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https://phdisegutl.sharepoint.com/sites/LIS-GENERAL-SecuritiesResearch/Shared Documents/Research/Equity Research/24-25/4th cycle/Team 10 (Maria Pilar)/"/>
    </mc:Choice>
  </mc:AlternateContent>
  <xr:revisionPtr revIDLastSave="4743" documentId="8_{551FC50B-CDC4-4B78-90EC-D05F5DDB7841}" xr6:coauthVersionLast="47" xr6:coauthVersionMax="47" xr10:uidLastSave="{A0327F32-AA31-47E0-A3F8-7D6452A64FAB}"/>
  <bookViews>
    <workbookView xWindow="-120" yWindow="-120" windowWidth="29040" windowHeight="15720" tabRatio="644" xr2:uid="{00000000-000D-0000-FFFF-FFFF00000000}"/>
  </bookViews>
  <sheets>
    <sheet name="OP" sheetId="1" r:id="rId1"/>
    <sheet name="COVID-19 impact" sheetId="12" state="hidden" r:id="rId2"/>
    <sheet name="Segments" sheetId="3" r:id="rId3"/>
    <sheet name="Peers" sheetId="10" r:id="rId4"/>
    <sheet name="Acuerdo" sheetId="11" state="hidden" r:id="rId5"/>
    <sheet name="DCF" sheetId="4" state="hidden" r:id="rId6"/>
    <sheet name="DCFF" sheetId="16" r:id="rId7"/>
    <sheet name="ESG" sheetId="7" r:id="rId8"/>
    <sheet name="Cifras_en_Millones" sheetId="17" r:id="rId9"/>
    <sheet name="Q" sheetId="19" state="hidden" r:id="rId10"/>
    <sheet name="Cifras_Originales" sheetId="18" r:id="rId11"/>
  </sheets>
  <definedNames>
    <definedName name="Benchmark">#REF!</definedName>
    <definedName name="BestConsOv">#REF!</definedName>
    <definedName name="Broker_Name">OFFSET(#REF!,0,0,#REF!, 1)</definedName>
    <definedName name="calCODE">#REF!</definedName>
    <definedName name="Chart_Benchmark_100_Size">OFFSET(#REF!, 0, 0,#REF!, 1)</definedName>
    <definedName name="Chart_Date_Size">OFFSET(#REF!, 0, 0,#REF!, 1)</definedName>
    <definedName name="Chart_Date_VAL1_Size">OFFSET(#REF!, 0, 0,#REF!, 1)</definedName>
    <definedName name="Chart_Date_VAL2_Size">OFFSET(#REF!, 0, 0,#REF!, 1)</definedName>
    <definedName name="Chart_Peer_100_Size">OFFSET(#REF!, 0, 0,#REF!, 1)</definedName>
    <definedName name="Chart_Price_100_Size">OFFSET(#REF!, 0, 0,#REF!, 1)</definedName>
    <definedName name="Chart_Price_Size">OFFSET(#REF!, 0, 0,#REF!, 1)</definedName>
    <definedName name="Chart_VAL1_FY1_Size">OFFSET(#REF!, 0, 0,#REF!, 1)</definedName>
    <definedName name="Chart_VAL1_FY2_Size">OFFSET(#REF!, 0, 0,#REF!, 1)</definedName>
    <definedName name="Chart_VAL1_FY3_Size">OFFSET(#REF!, 0, 0,#REF!, 1)</definedName>
    <definedName name="Chart_VAL2_FY1_Size">OFFSET(#REF!, 0, 0,#REF!, 1)</definedName>
    <definedName name="Chart_VAL2_FY2_Size">OFFSET(#REF!, 0, 0,#REF!, 1)</definedName>
    <definedName name="Chart_VAL2_FY3_Size">OFFSET(#REF!, 0, 0,#REF!, 1)</definedName>
    <definedName name="Chart_Volume_Size">OFFSET(#REF!, 0, 0,#REF!, 1)</definedName>
    <definedName name="compNAME">#REF!</definedName>
    <definedName name="CURRENCY">#REF!</definedName>
    <definedName name="currPRICE">#REF!</definedName>
    <definedName name="custBenchmark">#REF!</definedName>
    <definedName name="custED">#REF!</definedName>
    <definedName name="custSD">#REF!</definedName>
    <definedName name="dayCODE">#REF!</definedName>
    <definedName name="ED">#REF!</definedName>
    <definedName name="ESTBrokersItem">#REF!</definedName>
    <definedName name="ESTBrokersPeriod">#REF!</definedName>
    <definedName name="ESTDetailBroker">#REF!</definedName>
    <definedName name="ESTDetailBroker2">#REF!</definedName>
    <definedName name="ESTDetailPeriod">#REF!</definedName>
    <definedName name="EstDetPerO">#REF!</definedName>
    <definedName name="EstDetPerT">#REF!</definedName>
    <definedName name="FinancialsPeriod">#REF!</definedName>
    <definedName name="fundTICKER">#REF!</definedName>
    <definedName name="GraphValRatio1">#REF!</definedName>
    <definedName name="GraphValRatio2">#REF!</definedName>
    <definedName name="Index1">#REF!</definedName>
    <definedName name="Lang">#REF!</definedName>
    <definedName name="newCrncy">#REF!</definedName>
    <definedName name="newEstBrokerPeriod">#REF!</definedName>
    <definedName name="newEstBrokersItem">#REF!</definedName>
    <definedName name="newEstDetailBroker">#REF!</definedName>
    <definedName name="newEstDetailBroker2">#REF!</definedName>
    <definedName name="newEstDetailPeriod">#REF!</definedName>
    <definedName name="newFinancialsPeriod">#REF!</definedName>
    <definedName name="newOverviewCon">#REF!</definedName>
    <definedName name="newOverviewYear">#REF!</definedName>
    <definedName name="newOwners">#REF!</definedName>
    <definedName name="newPeersRatio">#REF!</definedName>
    <definedName name="newPeriod">#REF!</definedName>
    <definedName name="newValRatio1">#REF!</definedName>
    <definedName name="newValRatio2">#REF!</definedName>
    <definedName name="OverviewValRatioPeriod">#REF!</definedName>
    <definedName name="PeerDate1">#REF!</definedName>
    <definedName name="peerHist1">#REF!</definedName>
    <definedName name="PeerIndex">#REF!</definedName>
    <definedName name="Peers">OFFSET(#REF!,0,0,MAX(COUNTA(#REF!),1),1)</definedName>
    <definedName name="peersWEIGHT">#REF!</definedName>
    <definedName name="PERIODICITY">#REF!</definedName>
    <definedName name="_xlnm.Print_Area" localSheetId="8">Cifras_en_Millones!$A$1:$L$88</definedName>
    <definedName name="_xlnm.Print_Area" localSheetId="0">OP!$A$1:$M$51</definedName>
    <definedName name="_xlnm.Print_Area" localSheetId="2">Segments!#REF!</definedName>
    <definedName name="salesGEOG">OFFSET(#REF!, 0, 0,#REF!, 1)</definedName>
    <definedName name="salesPROD">OFFSET(#REF!, 0, 0,#REF!, 1)</definedName>
    <definedName name="SD">#REF!</definedName>
    <definedName name="shBroker1">#REF!</definedName>
    <definedName name="shBrokerRange">#REF!</definedName>
    <definedName name="shOverviewYear">#REF!</definedName>
    <definedName name="shPeer1">#REF!</definedName>
    <definedName name="shPeerRange">#REF!</definedName>
    <definedName name="shPeersDate1">#REF!</definedName>
    <definedName name="startingDate">#REF!</definedName>
    <definedName name="Target_Price">OFFSET(#REF!,0,0,#REF!, 1)</definedName>
    <definedName name="TICKER">#REF!</definedName>
    <definedName name="Top20OwnerType">#REF!</definedName>
    <definedName name="ViewConsolidatedOrParent">#REF!</definedName>
    <definedName name="ViewYear">#REF!</definedName>
    <definedName name="YTDd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7" i="1" l="1"/>
  <c r="H28" i="1"/>
  <c r="H29" i="1"/>
  <c r="H30" i="1"/>
  <c r="H31" i="1"/>
  <c r="H32" i="1"/>
  <c r="H33" i="1"/>
  <c r="H34" i="1"/>
  <c r="H35" i="1"/>
  <c r="H36" i="1"/>
  <c r="H37" i="1"/>
  <c r="G28" i="1"/>
  <c r="G29" i="1"/>
  <c r="G30" i="1"/>
  <c r="G31" i="1"/>
  <c r="G32" i="1"/>
  <c r="G33" i="1"/>
  <c r="G34" i="1"/>
  <c r="G35" i="1"/>
  <c r="G36" i="1"/>
  <c r="G37" i="1"/>
  <c r="E26" i="1" l="1"/>
  <c r="E27" i="1"/>
  <c r="E28" i="1"/>
  <c r="E29" i="1"/>
  <c r="E30" i="1"/>
  <c r="D26" i="1"/>
  <c r="D27" i="1"/>
  <c r="D28" i="1"/>
  <c r="D29" i="1"/>
  <c r="D30" i="1"/>
  <c r="D31" i="1"/>
  <c r="D32" i="1"/>
  <c r="D33" i="1"/>
  <c r="D34" i="1"/>
  <c r="D35" i="1"/>
  <c r="D36" i="1"/>
  <c r="D37" i="1"/>
  <c r="F14" i="1"/>
  <c r="H14" i="1"/>
  <c r="D41" i="1"/>
  <c r="U7" i="16"/>
  <c r="P7" i="16"/>
  <c r="Q7" i="16"/>
  <c r="R7" i="16"/>
  <c r="S7" i="16"/>
  <c r="O7" i="16"/>
  <c r="N7" i="16"/>
  <c r="K7" i="16"/>
  <c r="L7" i="16" s="1"/>
  <c r="J7" i="16"/>
  <c r="I7" i="16"/>
  <c r="H6" i="16"/>
  <c r="I92" i="16"/>
  <c r="H92" i="16"/>
  <c r="G92" i="16"/>
  <c r="F92" i="16"/>
  <c r="X91" i="16"/>
  <c r="W91" i="16"/>
  <c r="V91" i="16"/>
  <c r="U91" i="16"/>
  <c r="T91" i="16"/>
  <c r="S91" i="16"/>
  <c r="R91" i="16"/>
  <c r="Q91" i="16"/>
  <c r="P91" i="16"/>
  <c r="O91" i="16"/>
  <c r="N91" i="16"/>
  <c r="M91" i="16"/>
  <c r="I91" i="16"/>
  <c r="H91" i="16"/>
  <c r="G91" i="16"/>
  <c r="F91" i="16"/>
  <c r="I90" i="16"/>
  <c r="H90" i="16"/>
  <c r="G90" i="16"/>
  <c r="F90" i="16"/>
  <c r="N89" i="16"/>
  <c r="O89" i="16" s="1"/>
  <c r="P89" i="16" s="1"/>
  <c r="Q89" i="16" s="1"/>
  <c r="R89" i="16" s="1"/>
  <c r="S89" i="16" s="1"/>
  <c r="T89" i="16" s="1"/>
  <c r="U89" i="16" s="1"/>
  <c r="V89" i="16" s="1"/>
  <c r="W89" i="16" s="1"/>
  <c r="X89" i="16" s="1"/>
  <c r="Y89" i="16" s="1"/>
  <c r="Z89" i="16" s="1"/>
  <c r="AA89" i="16" s="1"/>
  <c r="AB89" i="16" s="1"/>
  <c r="AC89" i="16" s="1"/>
  <c r="AD89" i="16" s="1"/>
  <c r="AE89" i="16" s="1"/>
  <c r="AF89" i="16" s="1"/>
  <c r="AG89" i="16" s="1"/>
  <c r="K89" i="16"/>
  <c r="L89" i="16" s="1"/>
  <c r="N88" i="16"/>
  <c r="O88" i="16" s="1"/>
  <c r="P88" i="16" s="1"/>
  <c r="Q88" i="16" s="1"/>
  <c r="R88" i="16" s="1"/>
  <c r="S88" i="16" s="1"/>
  <c r="T88" i="16" s="1"/>
  <c r="U88" i="16" s="1"/>
  <c r="V88" i="16" s="1"/>
  <c r="W88" i="16" s="1"/>
  <c r="X88" i="16" s="1"/>
  <c r="Y88" i="16" s="1"/>
  <c r="Z88" i="16" s="1"/>
  <c r="AA88" i="16" s="1"/>
  <c r="AB88" i="16" s="1"/>
  <c r="AC88" i="16" s="1"/>
  <c r="AD88" i="16" s="1"/>
  <c r="AE88" i="16" s="1"/>
  <c r="AF88" i="16" s="1"/>
  <c r="AG88" i="16" s="1"/>
  <c r="K88" i="16"/>
  <c r="L88" i="16" s="1"/>
  <c r="F87" i="16"/>
  <c r="G87" i="16" s="1"/>
  <c r="H87" i="16" s="1"/>
  <c r="I87" i="16" s="1"/>
  <c r="J87" i="16" s="1"/>
  <c r="K87" i="16" s="1"/>
  <c r="L87" i="16" s="1"/>
  <c r="M87" i="16" s="1"/>
  <c r="N87" i="16" s="1"/>
  <c r="O87" i="16" s="1"/>
  <c r="P87" i="16" s="1"/>
  <c r="Q87" i="16" s="1"/>
  <c r="R87" i="16" s="1"/>
  <c r="S87" i="16" s="1"/>
  <c r="T87" i="16" s="1"/>
  <c r="U87" i="16" s="1"/>
  <c r="V87" i="16" s="1"/>
  <c r="W87" i="16" s="1"/>
  <c r="X87" i="16" s="1"/>
  <c r="Y87" i="16" s="1"/>
  <c r="Z87" i="16" s="1"/>
  <c r="AA87" i="16" s="1"/>
  <c r="AB87" i="16" s="1"/>
  <c r="AC87" i="16" s="1"/>
  <c r="AD87" i="16" s="1"/>
  <c r="AE87" i="16" s="1"/>
  <c r="AF87" i="16" s="1"/>
  <c r="AG87" i="16" s="1"/>
  <c r="J81" i="16"/>
  <c r="K81" i="16" s="1"/>
  <c r="L81" i="16" s="1"/>
  <c r="M81" i="16" s="1"/>
  <c r="J80" i="16"/>
  <c r="K80" i="16" s="1"/>
  <c r="L80" i="16" s="1"/>
  <c r="M80" i="16" s="1"/>
  <c r="N80" i="16" s="1"/>
  <c r="O80" i="16" s="1"/>
  <c r="P80" i="16" s="1"/>
  <c r="Q80" i="16" s="1"/>
  <c r="R80" i="16" s="1"/>
  <c r="S80" i="16" s="1"/>
  <c r="T80" i="16" s="1"/>
  <c r="U80" i="16" s="1"/>
  <c r="V80" i="16" s="1"/>
  <c r="W80" i="16" s="1"/>
  <c r="X80" i="16" s="1"/>
  <c r="Y80" i="16" s="1"/>
  <c r="Z80" i="16" s="1"/>
  <c r="AA80" i="16" s="1"/>
  <c r="AB80" i="16" s="1"/>
  <c r="AC80" i="16" s="1"/>
  <c r="AD80" i="16" s="1"/>
  <c r="AE80" i="16" s="1"/>
  <c r="AF80" i="16" s="1"/>
  <c r="AG80" i="16" s="1"/>
  <c r="J79" i="16"/>
  <c r="J78" i="16"/>
  <c r="F77" i="16"/>
  <c r="G77" i="16" s="1"/>
  <c r="H77" i="16" s="1"/>
  <c r="I77" i="16" s="1"/>
  <c r="J77" i="16" s="1"/>
  <c r="K77" i="16" s="1"/>
  <c r="L77" i="16" s="1"/>
  <c r="M77" i="16" s="1"/>
  <c r="N77" i="16" s="1"/>
  <c r="O77" i="16" s="1"/>
  <c r="P77" i="16" s="1"/>
  <c r="Q77" i="16" s="1"/>
  <c r="R77" i="16" s="1"/>
  <c r="S77" i="16" s="1"/>
  <c r="T77" i="16" s="1"/>
  <c r="U77" i="16" s="1"/>
  <c r="V77" i="16" s="1"/>
  <c r="W77" i="16" s="1"/>
  <c r="X77" i="16" s="1"/>
  <c r="Y77" i="16" s="1"/>
  <c r="Z77" i="16" s="1"/>
  <c r="AA77" i="16" s="1"/>
  <c r="AB77" i="16" s="1"/>
  <c r="AC77" i="16" s="1"/>
  <c r="AD77" i="16" s="1"/>
  <c r="AE77" i="16" s="1"/>
  <c r="AF77" i="16" s="1"/>
  <c r="AG77" i="16" s="1"/>
  <c r="B16" i="10"/>
  <c r="E16" i="10"/>
  <c r="D16" i="10"/>
  <c r="C16" i="10"/>
  <c r="E16" i="1"/>
  <c r="C11" i="1"/>
  <c r="K206" i="16"/>
  <c r="J206" i="16"/>
  <c r="E151" i="16"/>
  <c r="F151" i="16"/>
  <c r="G151" i="16"/>
  <c r="H151" i="16"/>
  <c r="I151" i="16"/>
  <c r="J151" i="16"/>
  <c r="D151" i="16"/>
  <c r="M19" i="18"/>
  <c r="M20" i="18"/>
  <c r="B19" i="18"/>
  <c r="B20" i="18"/>
  <c r="C19" i="18"/>
  <c r="C20" i="18" s="1"/>
  <c r="D19" i="18"/>
  <c r="D20" i="18" s="1"/>
  <c r="E19" i="18"/>
  <c r="E20" i="18" s="1"/>
  <c r="F19" i="18"/>
  <c r="F20" i="18" s="1"/>
  <c r="G19" i="18"/>
  <c r="H19" i="18"/>
  <c r="I19" i="18"/>
  <c r="I20" i="18" s="1"/>
  <c r="J19" i="18"/>
  <c r="K19" i="18"/>
  <c r="L19" i="18"/>
  <c r="L20" i="18" s="1"/>
  <c r="G20" i="18"/>
  <c r="H20" i="18"/>
  <c r="J20" i="18"/>
  <c r="K20" i="18"/>
  <c r="G10" i="16"/>
  <c r="F10" i="16"/>
  <c r="E10" i="16"/>
  <c r="D10" i="16"/>
  <c r="D53" i="16"/>
  <c r="D50" i="16"/>
  <c r="E20" i="10"/>
  <c r="D20" i="10"/>
  <c r="C20" i="10"/>
  <c r="D39" i="1" l="1"/>
  <c r="K79" i="16"/>
  <c r="L79" i="16" s="1"/>
  <c r="M79" i="16" s="1"/>
  <c r="N79" i="16" s="1"/>
  <c r="N81" i="16"/>
  <c r="O81" i="16" s="1"/>
  <c r="P81" i="16" s="1"/>
  <c r="Q81" i="16" s="1"/>
  <c r="R81" i="16" s="1"/>
  <c r="S81" i="16" s="1"/>
  <c r="T81" i="16" s="1"/>
  <c r="U81" i="16" s="1"/>
  <c r="V81" i="16" s="1"/>
  <c r="W81" i="16" s="1"/>
  <c r="X81" i="16" s="1"/>
  <c r="Y81" i="16" s="1"/>
  <c r="Z81" i="16" s="1"/>
  <c r="AA81" i="16" s="1"/>
  <c r="AB81" i="16" s="1"/>
  <c r="AC81" i="16" s="1"/>
  <c r="AD81" i="16" s="1"/>
  <c r="AE81" i="16" s="1"/>
  <c r="AF81" i="16" s="1"/>
  <c r="AG81" i="16" s="1"/>
  <c r="K78" i="16"/>
  <c r="O79" i="16"/>
  <c r="P79" i="16" s="1"/>
  <c r="Q79" i="16" s="1"/>
  <c r="R79" i="16" s="1"/>
  <c r="S79" i="16" s="1"/>
  <c r="T79" i="16" s="1"/>
  <c r="U79" i="16" s="1"/>
  <c r="V79" i="16" s="1"/>
  <c r="W79" i="16" s="1"/>
  <c r="X79" i="16" s="1"/>
  <c r="Y79" i="16" s="1"/>
  <c r="Z79" i="16" s="1"/>
  <c r="AA79" i="16" s="1"/>
  <c r="AB79" i="16" s="1"/>
  <c r="AC79" i="16" s="1"/>
  <c r="AD79" i="16" s="1"/>
  <c r="AE79" i="16" s="1"/>
  <c r="AF79" i="16" s="1"/>
  <c r="AG79" i="16" s="1"/>
  <c r="K82" i="16"/>
  <c r="J6" i="16" s="1"/>
  <c r="L78" i="16"/>
  <c r="J82" i="16"/>
  <c r="E214" i="16"/>
  <c r="F214" i="16"/>
  <c r="G214" i="16"/>
  <c r="H214" i="16"/>
  <c r="I214" i="16"/>
  <c r="J214" i="16"/>
  <c r="D214" i="16"/>
  <c r="D165" i="16"/>
  <c r="J92" i="16" l="1"/>
  <c r="I6" i="16"/>
  <c r="I5" i="16" s="1"/>
  <c r="K92" i="16"/>
  <c r="M78" i="16"/>
  <c r="L82" i="16"/>
  <c r="E36" i="1"/>
  <c r="E32" i="1"/>
  <c r="F31" i="1"/>
  <c r="F32" i="1"/>
  <c r="F33" i="1"/>
  <c r="F34" i="1"/>
  <c r="F35" i="1"/>
  <c r="F37" i="1"/>
  <c r="F36" i="1"/>
  <c r="L92" i="16" l="1"/>
  <c r="K6" i="16"/>
  <c r="M82" i="16"/>
  <c r="N78" i="16"/>
  <c r="B13" i="10"/>
  <c r="G36" i="16"/>
  <c r="F36" i="16"/>
  <c r="E36" i="16"/>
  <c r="D36" i="16"/>
  <c r="E17" i="1"/>
  <c r="K2" i="1" a="1"/>
  <c r="K2" i="1" s="1"/>
  <c r="L28" i="1"/>
  <c r="A4" i="18" a="1"/>
  <c r="A4" i="18" s="1"/>
  <c r="C9" i="1" a="1"/>
  <c r="C9" i="1" s="1"/>
  <c r="C8" i="1" a="1"/>
  <c r="C8" i="1" s="1"/>
  <c r="E9" i="1" s="1"/>
  <c r="C13" i="10"/>
  <c r="D13" i="10"/>
  <c r="E13" i="10"/>
  <c r="M92" i="16" l="1"/>
  <c r="L6" i="16"/>
  <c r="O78" i="16"/>
  <c r="N82" i="16"/>
  <c r="E138" i="16"/>
  <c r="D138" i="16"/>
  <c r="E102" i="16"/>
  <c r="F102" i="16"/>
  <c r="G102" i="16"/>
  <c r="H102" i="16"/>
  <c r="I102" i="16"/>
  <c r="J102" i="16"/>
  <c r="D102" i="16"/>
  <c r="F103" i="16"/>
  <c r="G103" i="16"/>
  <c r="H103" i="16"/>
  <c r="I103" i="16"/>
  <c r="J103" i="16"/>
  <c r="E103" i="16"/>
  <c r="D103" i="16"/>
  <c r="D105" i="16" s="1"/>
  <c r="E101" i="16"/>
  <c r="F101" i="16" s="1"/>
  <c r="G101" i="16" s="1"/>
  <c r="H101" i="16" s="1"/>
  <c r="I101" i="16" s="1"/>
  <c r="J101" i="16" s="1"/>
  <c r="E53" i="16"/>
  <c r="C7" i="1" a="1"/>
  <c r="C7" i="1" s="1"/>
  <c r="B4" i="10"/>
  <c r="E10" i="10"/>
  <c r="E9" i="10"/>
  <c r="E6" i="10"/>
  <c r="E5" i="10"/>
  <c r="E11" i="10"/>
  <c r="B12" i="10"/>
  <c r="N92" i="16" l="1"/>
  <c r="M6" i="16"/>
  <c r="P78" i="16"/>
  <c r="O82" i="16"/>
  <c r="D11" i="10"/>
  <c r="D9" i="10"/>
  <c r="C10" i="10"/>
  <c r="C9" i="10"/>
  <c r="C37" i="1"/>
  <c r="C36" i="1"/>
  <c r="C35" i="1"/>
  <c r="C34" i="1"/>
  <c r="C33" i="1"/>
  <c r="C32" i="1"/>
  <c r="C31" i="1"/>
  <c r="C30" i="1"/>
  <c r="C29" i="1"/>
  <c r="C28" i="1"/>
  <c r="C27" i="1"/>
  <c r="C26" i="1"/>
  <c r="O92" i="16" l="1"/>
  <c r="N6" i="16"/>
  <c r="P82" i="16"/>
  <c r="Q78" i="16"/>
  <c r="E10" i="1"/>
  <c r="L33" i="1"/>
  <c r="K33" i="1"/>
  <c r="L31" i="1"/>
  <c r="K31" i="1"/>
  <c r="J10" i="1"/>
  <c r="J13" i="16"/>
  <c r="P92" i="16" l="1"/>
  <c r="O6" i="16"/>
  <c r="R78" i="16"/>
  <c r="Q82" i="16"/>
  <c r="H8" i="16"/>
  <c r="H13" i="16"/>
  <c r="E205" i="16"/>
  <c r="F205" i="16" s="1"/>
  <c r="G205" i="16" s="1"/>
  <c r="H205" i="16" s="1"/>
  <c r="I205" i="16" s="1"/>
  <c r="J205" i="16" s="1"/>
  <c r="K205" i="16" s="1"/>
  <c r="E178" i="16"/>
  <c r="E179" i="16" s="1"/>
  <c r="F178" i="16"/>
  <c r="F179" i="16" s="1"/>
  <c r="G178" i="16"/>
  <c r="G179" i="16" s="1"/>
  <c r="H178" i="16"/>
  <c r="H179" i="16" s="1"/>
  <c r="I178" i="16"/>
  <c r="I179" i="16" s="1"/>
  <c r="J178" i="16"/>
  <c r="J179" i="16" s="1"/>
  <c r="D178" i="16"/>
  <c r="D179" i="16" s="1"/>
  <c r="E193" i="16"/>
  <c r="F193" i="16"/>
  <c r="G193" i="16"/>
  <c r="H193" i="16"/>
  <c r="I193" i="16"/>
  <c r="J193" i="16"/>
  <c r="D193" i="16"/>
  <c r="E192" i="16"/>
  <c r="F192" i="16"/>
  <c r="G192" i="16"/>
  <c r="H192" i="16"/>
  <c r="I192" i="16"/>
  <c r="J192" i="16"/>
  <c r="D192" i="16"/>
  <c r="E176" i="16"/>
  <c r="F176" i="16" s="1"/>
  <c r="G176" i="16" s="1"/>
  <c r="H176" i="16" s="1"/>
  <c r="I176" i="16" s="1"/>
  <c r="J176" i="16" s="1"/>
  <c r="J12" i="1"/>
  <c r="I166" i="16"/>
  <c r="J166" i="16"/>
  <c r="H165" i="16"/>
  <c r="H166" i="16" s="1"/>
  <c r="G165" i="16"/>
  <c r="G166" i="16" s="1"/>
  <c r="F165" i="16"/>
  <c r="F166" i="16" s="1"/>
  <c r="E165" i="16"/>
  <c r="E166" i="16" s="1"/>
  <c r="D166" i="16"/>
  <c r="E163" i="16"/>
  <c r="F163" i="16" s="1"/>
  <c r="G163" i="16" s="1"/>
  <c r="H163" i="16" s="1"/>
  <c r="I163" i="16" s="1"/>
  <c r="J163" i="16" s="1"/>
  <c r="E50" i="16"/>
  <c r="E125" i="16"/>
  <c r="F125" i="16" s="1"/>
  <c r="G125" i="16" s="1"/>
  <c r="H125" i="16" s="1"/>
  <c r="I125" i="16" s="1"/>
  <c r="J125" i="16" s="1"/>
  <c r="J127" i="16"/>
  <c r="I127" i="16"/>
  <c r="H127" i="16"/>
  <c r="E126" i="16"/>
  <c r="F126" i="16"/>
  <c r="G126" i="16"/>
  <c r="E51" i="16"/>
  <c r="E55" i="16" s="1"/>
  <c r="J114" i="16"/>
  <c r="J116" i="16" s="1"/>
  <c r="D114" i="16"/>
  <c r="D116" i="16" s="1"/>
  <c r="E114" i="16"/>
  <c r="E116" i="16" s="1"/>
  <c r="F114" i="16"/>
  <c r="F116" i="16" s="1"/>
  <c r="G114" i="16"/>
  <c r="G116" i="16" s="1"/>
  <c r="H114" i="16"/>
  <c r="H116" i="16" s="1"/>
  <c r="I114" i="16"/>
  <c r="I116" i="16" s="1"/>
  <c r="E112" i="16"/>
  <c r="F112" i="16" s="1"/>
  <c r="G112" i="16" s="1"/>
  <c r="H112" i="16" s="1"/>
  <c r="I112" i="16" s="1"/>
  <c r="J112" i="16" s="1"/>
  <c r="E8" i="1"/>
  <c r="E11" i="1" s="1"/>
  <c r="E7" i="1"/>
  <c r="E12" i="1" s="1"/>
  <c r="C10" i="1"/>
  <c r="L9" i="1"/>
  <c r="B17" i="10" s="1"/>
  <c r="L8" i="1"/>
  <c r="C11" i="10"/>
  <c r="Q92" i="16" l="1"/>
  <c r="P6" i="16"/>
  <c r="S78" i="16"/>
  <c r="R82" i="16"/>
  <c r="I13" i="16"/>
  <c r="H194" i="16"/>
  <c r="D119" i="16"/>
  <c r="D170" i="16"/>
  <c r="F194" i="16"/>
  <c r="K13" i="16"/>
  <c r="E194" i="16"/>
  <c r="G194" i="16"/>
  <c r="I194" i="16"/>
  <c r="D194" i="16"/>
  <c r="J194" i="16"/>
  <c r="D169" i="16"/>
  <c r="D168" i="16"/>
  <c r="D120" i="16"/>
  <c r="D118" i="16"/>
  <c r="D183" i="16"/>
  <c r="D182" i="16"/>
  <c r="D181" i="16"/>
  <c r="B55" i="18"/>
  <c r="C55" i="18"/>
  <c r="E191" i="16"/>
  <c r="F191" i="16" s="1"/>
  <c r="G191" i="16" s="1"/>
  <c r="H191" i="16" s="1"/>
  <c r="I191" i="16" s="1"/>
  <c r="J191" i="16" s="1"/>
  <c r="D10" i="10"/>
  <c r="F136" i="16"/>
  <c r="G136" i="16"/>
  <c r="H136" i="16"/>
  <c r="I136" i="16"/>
  <c r="J136" i="16"/>
  <c r="K136" i="16"/>
  <c r="F135" i="16"/>
  <c r="G135" i="16" s="1"/>
  <c r="H135" i="16" s="1"/>
  <c r="I135" i="16" s="1"/>
  <c r="J135" i="16" s="1"/>
  <c r="K135" i="16" s="1"/>
  <c r="E26" i="16"/>
  <c r="E29" i="16" s="1"/>
  <c r="D26" i="16"/>
  <c r="D29" i="16" s="1"/>
  <c r="F26" i="16"/>
  <c r="F29" i="16" s="1"/>
  <c r="G26" i="16"/>
  <c r="G29" i="16" s="1"/>
  <c r="F20" i="16"/>
  <c r="F18" i="16" s="1"/>
  <c r="G20" i="16"/>
  <c r="G18" i="16" s="1"/>
  <c r="E20" i="16"/>
  <c r="E18" i="16" s="1"/>
  <c r="D20" i="16"/>
  <c r="D18" i="16" s="1"/>
  <c r="G22" i="16"/>
  <c r="F22" i="16"/>
  <c r="F23" i="16" s="1"/>
  <c r="E22" i="16"/>
  <c r="E23" i="16" s="1"/>
  <c r="D22" i="16"/>
  <c r="D23" i="16" s="1"/>
  <c r="E152" i="16"/>
  <c r="F152" i="16"/>
  <c r="G152" i="16"/>
  <c r="H152" i="16"/>
  <c r="I152" i="16"/>
  <c r="J152" i="16"/>
  <c r="D152" i="16"/>
  <c r="F17" i="17"/>
  <c r="D9" i="16" s="1"/>
  <c r="C12" i="10"/>
  <c r="R92" i="16" l="1"/>
  <c r="Q6" i="16"/>
  <c r="T78" i="16"/>
  <c r="S82" i="16"/>
  <c r="D198" i="16"/>
  <c r="D196" i="16"/>
  <c r="D197" i="16"/>
  <c r="L13" i="16"/>
  <c r="G23" i="16"/>
  <c r="G153" i="16"/>
  <c r="H153" i="16"/>
  <c r="F153" i="16"/>
  <c r="D153" i="16"/>
  <c r="E153" i="16"/>
  <c r="J153" i="16"/>
  <c r="I153" i="16"/>
  <c r="S92" i="16" l="1"/>
  <c r="R6" i="16"/>
  <c r="T82" i="16"/>
  <c r="U78" i="16"/>
  <c r="D158" i="16"/>
  <c r="M13" i="16"/>
  <c r="D157" i="16"/>
  <c r="H22" i="16"/>
  <c r="T92" i="16" l="1"/>
  <c r="S6" i="16"/>
  <c r="V78" i="16"/>
  <c r="U82" i="16"/>
  <c r="N13" i="16"/>
  <c r="U92" i="16" l="1"/>
  <c r="T6" i="16"/>
  <c r="W78" i="16"/>
  <c r="V82" i="16"/>
  <c r="O13" i="16"/>
  <c r="D126" i="16"/>
  <c r="J9" i="3"/>
  <c r="J10" i="3"/>
  <c r="J11" i="3"/>
  <c r="J12" i="3"/>
  <c r="J13" i="3"/>
  <c r="J18" i="1"/>
  <c r="J11" i="1"/>
  <c r="F8" i="1"/>
  <c r="F10" i="1"/>
  <c r="F12" i="1"/>
  <c r="V92" i="16" l="1"/>
  <c r="U6" i="16"/>
  <c r="X78" i="16"/>
  <c r="W82" i="16"/>
  <c r="P13" i="16"/>
  <c r="C12" i="1"/>
  <c r="B20" i="10" s="1"/>
  <c r="L16" i="1"/>
  <c r="B10" i="10"/>
  <c r="B9" i="10"/>
  <c r="W92" i="16" l="1"/>
  <c r="V6" i="16"/>
  <c r="X82" i="16"/>
  <c r="Y78" i="16"/>
  <c r="Q13" i="16"/>
  <c r="I3" i="16"/>
  <c r="J3" i="16" s="1"/>
  <c r="K3" i="16" s="1"/>
  <c r="L3" i="16" s="1"/>
  <c r="AC38" i="19"/>
  <c r="AB38" i="19"/>
  <c r="AA38" i="19"/>
  <c r="Z38" i="19"/>
  <c r="AC41" i="19"/>
  <c r="AB41" i="19"/>
  <c r="AA41" i="19"/>
  <c r="Z41" i="19"/>
  <c r="C25" i="19"/>
  <c r="C36" i="19" s="1"/>
  <c r="D25" i="19"/>
  <c r="D36" i="19" s="1"/>
  <c r="E25" i="19"/>
  <c r="E36" i="19" s="1"/>
  <c r="F25" i="19"/>
  <c r="F36" i="19" s="1"/>
  <c r="G25" i="19"/>
  <c r="G36" i="19" s="1"/>
  <c r="H25" i="19"/>
  <c r="H36" i="19" s="1"/>
  <c r="I25" i="19"/>
  <c r="I36" i="19" s="1"/>
  <c r="J25" i="19"/>
  <c r="J36" i="19" s="1"/>
  <c r="K25" i="19"/>
  <c r="K36" i="19" s="1"/>
  <c r="L25" i="19"/>
  <c r="L36" i="19" s="1"/>
  <c r="M25" i="19"/>
  <c r="M36" i="19" s="1"/>
  <c r="N25" i="19"/>
  <c r="N36" i="19" s="1"/>
  <c r="O25" i="19"/>
  <c r="O36" i="19" s="1"/>
  <c r="P25" i="19"/>
  <c r="P36" i="19" s="1"/>
  <c r="Q25" i="19"/>
  <c r="Q36" i="19" s="1"/>
  <c r="R25" i="19"/>
  <c r="R36" i="19" s="1"/>
  <c r="S25" i="19"/>
  <c r="S36" i="19" s="1"/>
  <c r="T25" i="19"/>
  <c r="T36" i="19" s="1"/>
  <c r="U25" i="19"/>
  <c r="U36" i="19" s="1"/>
  <c r="V25" i="19"/>
  <c r="V36" i="19" s="1"/>
  <c r="W25" i="19"/>
  <c r="X25" i="19"/>
  <c r="X36" i="19" s="1"/>
  <c r="AD34" i="19"/>
  <c r="AC34" i="19"/>
  <c r="AB34" i="19"/>
  <c r="AA34" i="19"/>
  <c r="Z34" i="19"/>
  <c r="AD33" i="19"/>
  <c r="AC33" i="19"/>
  <c r="AB33" i="19"/>
  <c r="AA33" i="19"/>
  <c r="Z33" i="19"/>
  <c r="AD31" i="19"/>
  <c r="AC31" i="19"/>
  <c r="AB31" i="19"/>
  <c r="AA31" i="19"/>
  <c r="Z31" i="19"/>
  <c r="AD30" i="19"/>
  <c r="AC30" i="19"/>
  <c r="AB30" i="19"/>
  <c r="AA30" i="19"/>
  <c r="Z30" i="19"/>
  <c r="AF5" i="19"/>
  <c r="AG5" i="19" s="1"/>
  <c r="AH5" i="19" s="1"/>
  <c r="AI5" i="19" s="1"/>
  <c r="AJ5" i="19" s="1"/>
  <c r="AK5" i="19" s="1"/>
  <c r="AL5" i="19" s="1"/>
  <c r="AM5" i="19" s="1"/>
  <c r="AN5" i="19" s="1"/>
  <c r="AO5" i="19" s="1"/>
  <c r="AP5" i="19" s="1"/>
  <c r="AQ5" i="19" s="1"/>
  <c r="AR5" i="19" s="1"/>
  <c r="AS5" i="19" s="1"/>
  <c r="AT5" i="19" s="1"/>
  <c r="AU5" i="19" s="1"/>
  <c r="AV5" i="19" s="1"/>
  <c r="AW5" i="19" s="1"/>
  <c r="AX5" i="19" s="1"/>
  <c r="AY5" i="19" s="1"/>
  <c r="AZ5" i="19" s="1"/>
  <c r="BA5" i="19" s="1"/>
  <c r="BB5" i="19" s="1"/>
  <c r="AF6" i="19"/>
  <c r="Z27" i="19"/>
  <c r="AA27" i="19"/>
  <c r="Z26" i="19"/>
  <c r="AA26" i="19"/>
  <c r="AB27" i="19"/>
  <c r="AB26" i="19"/>
  <c r="AB25" i="19" s="1"/>
  <c r="AC27" i="19"/>
  <c r="AC26" i="19"/>
  <c r="AD27" i="19"/>
  <c r="AE27" i="19" s="1"/>
  <c r="AD26" i="19"/>
  <c r="AE26" i="19" s="1"/>
  <c r="C40" i="19"/>
  <c r="C42" i="19" s="1"/>
  <c r="D40" i="19"/>
  <c r="D42" i="19" s="1"/>
  <c r="E53" i="19"/>
  <c r="E54" i="19"/>
  <c r="E55" i="19"/>
  <c r="E56" i="19"/>
  <c r="E57" i="19"/>
  <c r="E52" i="19"/>
  <c r="I53" i="19"/>
  <c r="I54" i="19"/>
  <c r="I55" i="19"/>
  <c r="I56" i="19"/>
  <c r="I57" i="19"/>
  <c r="I52" i="19"/>
  <c r="J57" i="19"/>
  <c r="F57" i="19"/>
  <c r="F56" i="19"/>
  <c r="F55" i="19"/>
  <c r="F54" i="19"/>
  <c r="F53" i="19"/>
  <c r="F52" i="19"/>
  <c r="G57" i="19"/>
  <c r="G56" i="19"/>
  <c r="G55" i="19"/>
  <c r="G54" i="19"/>
  <c r="G53" i="19"/>
  <c r="G52" i="19"/>
  <c r="H57" i="19"/>
  <c r="H56" i="19"/>
  <c r="H55" i="19"/>
  <c r="H54" i="19"/>
  <c r="H53" i="19"/>
  <c r="H52" i="19"/>
  <c r="J52" i="19"/>
  <c r="K52" i="19"/>
  <c r="J53" i="19"/>
  <c r="K53" i="19"/>
  <c r="J54" i="19"/>
  <c r="K54" i="19"/>
  <c r="J55" i="19"/>
  <c r="K55" i="19"/>
  <c r="J56" i="19"/>
  <c r="K56" i="19"/>
  <c r="K57" i="19"/>
  <c r="L53" i="19"/>
  <c r="L54" i="19"/>
  <c r="L55" i="19"/>
  <c r="L56" i="19"/>
  <c r="L57" i="19"/>
  <c r="L52" i="19"/>
  <c r="E40" i="19"/>
  <c r="E42" i="19" s="1"/>
  <c r="I40" i="19"/>
  <c r="I42" i="19" s="1"/>
  <c r="F40" i="19"/>
  <c r="F42" i="19" s="1"/>
  <c r="J40" i="19"/>
  <c r="J42" i="19" s="1"/>
  <c r="G40" i="19"/>
  <c r="G42" i="19" s="1"/>
  <c r="K40" i="19"/>
  <c r="K42" i="19" s="1"/>
  <c r="H40" i="19"/>
  <c r="H42" i="19" s="1"/>
  <c r="L40" i="19"/>
  <c r="L42" i="19" s="1"/>
  <c r="M53" i="19"/>
  <c r="N53" i="19"/>
  <c r="O53" i="19"/>
  <c r="P53" i="19"/>
  <c r="M54" i="19"/>
  <c r="N54" i="19"/>
  <c r="O54" i="19"/>
  <c r="P54" i="19"/>
  <c r="M55" i="19"/>
  <c r="N55" i="19"/>
  <c r="O55" i="19"/>
  <c r="P55" i="19"/>
  <c r="M56" i="19"/>
  <c r="N56" i="19"/>
  <c r="O56" i="19"/>
  <c r="P56" i="19"/>
  <c r="M57" i="19"/>
  <c r="N57" i="19"/>
  <c r="O57" i="19"/>
  <c r="P57" i="19"/>
  <c r="M52" i="19"/>
  <c r="N52" i="19"/>
  <c r="O52" i="19"/>
  <c r="P52" i="19"/>
  <c r="M40" i="19"/>
  <c r="M42" i="19" s="1"/>
  <c r="N40" i="19"/>
  <c r="N42" i="19" s="1"/>
  <c r="O40" i="19"/>
  <c r="O42" i="19" s="1"/>
  <c r="Q53" i="19"/>
  <c r="R53" i="19"/>
  <c r="S53" i="19"/>
  <c r="T53" i="19"/>
  <c r="U53" i="19"/>
  <c r="V53" i="19"/>
  <c r="W53" i="19"/>
  <c r="Q54" i="19"/>
  <c r="R54" i="19"/>
  <c r="S54" i="19"/>
  <c r="T54" i="19"/>
  <c r="U54" i="19"/>
  <c r="V54" i="19"/>
  <c r="W54" i="19"/>
  <c r="Q55" i="19"/>
  <c r="R55" i="19"/>
  <c r="S55" i="19"/>
  <c r="T55" i="19"/>
  <c r="U55" i="19"/>
  <c r="V55" i="19"/>
  <c r="W55" i="19"/>
  <c r="Q56" i="19"/>
  <c r="R56" i="19"/>
  <c r="S56" i="19"/>
  <c r="T56" i="19"/>
  <c r="U56" i="19"/>
  <c r="V56" i="19"/>
  <c r="W56" i="19"/>
  <c r="Q57" i="19"/>
  <c r="R57" i="19"/>
  <c r="S57" i="19"/>
  <c r="T57" i="19"/>
  <c r="U57" i="19"/>
  <c r="V57" i="19"/>
  <c r="W57" i="19"/>
  <c r="W52" i="19"/>
  <c r="V52" i="19"/>
  <c r="U52" i="19"/>
  <c r="T52" i="19"/>
  <c r="S52" i="19"/>
  <c r="R52" i="19"/>
  <c r="Q52" i="19"/>
  <c r="AC52" i="19" s="1"/>
  <c r="P40" i="19"/>
  <c r="P42" i="19" s="1"/>
  <c r="T40" i="19"/>
  <c r="T42" i="19" s="1"/>
  <c r="Q40" i="19"/>
  <c r="Q42" i="19" s="1"/>
  <c r="U40" i="19"/>
  <c r="U42" i="19" s="1"/>
  <c r="V40" i="19"/>
  <c r="V42" i="19" s="1"/>
  <c r="R40" i="19"/>
  <c r="R42" i="19" s="1"/>
  <c r="S40" i="19"/>
  <c r="S42" i="19" s="1"/>
  <c r="W40" i="19"/>
  <c r="W42" i="19" s="1"/>
  <c r="C39" i="1"/>
  <c r="X92" i="16" l="1"/>
  <c r="W6" i="16"/>
  <c r="Z78" i="16"/>
  <c r="Y82" i="16"/>
  <c r="M3" i="16"/>
  <c r="N3" i="16" s="1"/>
  <c r="O3" i="16" s="1"/>
  <c r="P3" i="16" s="1"/>
  <c r="Q3" i="16" s="1"/>
  <c r="R3" i="16" s="1"/>
  <c r="S3" i="16" s="1"/>
  <c r="T3" i="16" s="1"/>
  <c r="U3" i="16" s="1"/>
  <c r="V3" i="16" s="1"/>
  <c r="W3" i="16" s="1"/>
  <c r="X3" i="16" s="1"/>
  <c r="Y3" i="16" s="1"/>
  <c r="Z3" i="16" s="1"/>
  <c r="AA3" i="16" s="1"/>
  <c r="AB3" i="16" s="1"/>
  <c r="AC3" i="16" s="1"/>
  <c r="AD3" i="16" s="1"/>
  <c r="AE3" i="16" s="1"/>
  <c r="AF3" i="16" s="1"/>
  <c r="R13" i="16"/>
  <c r="Z10" i="19"/>
  <c r="W36" i="19"/>
  <c r="U21" i="19"/>
  <c r="U22" i="19"/>
  <c r="AC54" i="19"/>
  <c r="AA57" i="19"/>
  <c r="Z55" i="19"/>
  <c r="Z22" i="19" s="1"/>
  <c r="AA55" i="19"/>
  <c r="AA22" i="19" s="1"/>
  <c r="AC12" i="19"/>
  <c r="AB56" i="19"/>
  <c r="AB54" i="19"/>
  <c r="AA54" i="19"/>
  <c r="AC25" i="19"/>
  <c r="AC19" i="19" s="1"/>
  <c r="AC56" i="19"/>
  <c r="AB55" i="19"/>
  <c r="AB22" i="19" s="1"/>
  <c r="AB53" i="19"/>
  <c r="Z52" i="19"/>
  <c r="Z53" i="19"/>
  <c r="AA52" i="19"/>
  <c r="AA19" i="19" s="1"/>
  <c r="AB52" i="19"/>
  <c r="AB19" i="19" s="1"/>
  <c r="AA53" i="19"/>
  <c r="AB36" i="19"/>
  <c r="AC55" i="19"/>
  <c r="AC22" i="19" s="1"/>
  <c r="AC53" i="19"/>
  <c r="Z57" i="19"/>
  <c r="AB57" i="19"/>
  <c r="Z54" i="19"/>
  <c r="AC57" i="19"/>
  <c r="AA56" i="19"/>
  <c r="AC36" i="19"/>
  <c r="Z56" i="19"/>
  <c r="Z40" i="19"/>
  <c r="Z17" i="19" s="1"/>
  <c r="AA40" i="19"/>
  <c r="AA17" i="19" s="1"/>
  <c r="AB40" i="19"/>
  <c r="AB17" i="19" s="1"/>
  <c r="AC40" i="19"/>
  <c r="AC17" i="19" s="1"/>
  <c r="AE25" i="19"/>
  <c r="AA25" i="19"/>
  <c r="AB12" i="19"/>
  <c r="AB13" i="19"/>
  <c r="Z25" i="19"/>
  <c r="AC9" i="19"/>
  <c r="AB10" i="19"/>
  <c r="AA9" i="19"/>
  <c r="AA10" i="19"/>
  <c r="AC10" i="19"/>
  <c r="Z9" i="19"/>
  <c r="AB9" i="19"/>
  <c r="AF27" i="19"/>
  <c r="AG6" i="19"/>
  <c r="AH6" i="19" s="1"/>
  <c r="AI6" i="19" s="1"/>
  <c r="AJ6" i="19" s="1"/>
  <c r="AK6" i="19" s="1"/>
  <c r="AL6" i="19" s="1"/>
  <c r="AM6" i="19" s="1"/>
  <c r="AN6" i="19" s="1"/>
  <c r="AO6" i="19" s="1"/>
  <c r="AP6" i="19" s="1"/>
  <c r="AQ6" i="19" s="1"/>
  <c r="AR6" i="19" s="1"/>
  <c r="AS6" i="19" s="1"/>
  <c r="AT6" i="19" s="1"/>
  <c r="AU6" i="19" s="1"/>
  <c r="AV6" i="19" s="1"/>
  <c r="AW6" i="19" s="1"/>
  <c r="AX6" i="19" s="1"/>
  <c r="AY6" i="19" s="1"/>
  <c r="AZ6" i="19" s="1"/>
  <c r="BA6" i="19" s="1"/>
  <c r="BB6" i="19" s="1"/>
  <c r="AD9" i="19"/>
  <c r="AE9" i="19" s="1"/>
  <c r="AD10" i="19"/>
  <c r="AE10" i="19" s="1"/>
  <c r="AF26" i="19"/>
  <c r="AD25" i="19"/>
  <c r="AD36" i="19" s="1"/>
  <c r="L41" i="1"/>
  <c r="K41" i="1"/>
  <c r="K42" i="1" s="1"/>
  <c r="C42" i="1"/>
  <c r="C41" i="1"/>
  <c r="N37" i="1"/>
  <c r="D38" i="1"/>
  <c r="C38" i="1"/>
  <c r="Y92" i="16" l="1"/>
  <c r="X6" i="16"/>
  <c r="AA78" i="16"/>
  <c r="Z82" i="16"/>
  <c r="S13" i="16"/>
  <c r="K29" i="17"/>
  <c r="K27" i="17"/>
  <c r="K23" i="17"/>
  <c r="K21" i="17"/>
  <c r="K34" i="17"/>
  <c r="K33" i="17"/>
  <c r="K18" i="17"/>
  <c r="K17" i="17"/>
  <c r="K15" i="17"/>
  <c r="K14" i="17"/>
  <c r="K7" i="17"/>
  <c r="K5" i="17"/>
  <c r="Z21" i="19"/>
  <c r="Z20" i="19"/>
  <c r="Z19" i="19"/>
  <c r="AC21" i="19"/>
  <c r="AC20" i="19"/>
  <c r="AB20" i="19"/>
  <c r="AB21" i="19"/>
  <c r="AB23" i="19" s="1"/>
  <c r="AA21" i="19"/>
  <c r="AA20" i="19"/>
  <c r="AC13" i="19"/>
  <c r="Z13" i="19"/>
  <c r="Z36" i="19"/>
  <c r="AA12" i="19"/>
  <c r="AA36" i="19"/>
  <c r="AA13" i="19"/>
  <c r="AD12" i="19"/>
  <c r="AE12" i="19" s="1"/>
  <c r="AD13" i="19"/>
  <c r="AE13" i="19" s="1"/>
  <c r="Z12" i="19"/>
  <c r="AF10" i="19"/>
  <c r="AE31" i="19"/>
  <c r="AF9" i="19"/>
  <c r="AE30" i="19"/>
  <c r="AF25" i="19"/>
  <c r="J5" i="16" s="1"/>
  <c r="AG27" i="19"/>
  <c r="AH27" i="19" s="1"/>
  <c r="AI27" i="19" s="1"/>
  <c r="AJ27" i="19" s="1"/>
  <c r="AK27" i="19" s="1"/>
  <c r="AL27" i="19" s="1"/>
  <c r="AM27" i="19" s="1"/>
  <c r="AN27" i="19" s="1"/>
  <c r="AO27" i="19" s="1"/>
  <c r="AP27" i="19" s="1"/>
  <c r="AQ27" i="19" s="1"/>
  <c r="AR27" i="19" s="1"/>
  <c r="AS27" i="19" s="1"/>
  <c r="AT27" i="19" s="1"/>
  <c r="AU27" i="19" s="1"/>
  <c r="AV27" i="19" s="1"/>
  <c r="AW27" i="19" s="1"/>
  <c r="AX27" i="19" s="1"/>
  <c r="AY27" i="19" s="1"/>
  <c r="AZ27" i="19" s="1"/>
  <c r="BA27" i="19" s="1"/>
  <c r="BB27" i="19" s="1"/>
  <c r="AG26" i="19"/>
  <c r="AH26" i="19" s="1"/>
  <c r="B60" i="17"/>
  <c r="B59" i="17" s="1"/>
  <c r="B66" i="17"/>
  <c r="B56" i="17"/>
  <c r="B35" i="17"/>
  <c r="B36" i="17" s="1"/>
  <c r="B24" i="17"/>
  <c r="B19" i="17"/>
  <c r="B20" i="17" s="1"/>
  <c r="B16" i="17"/>
  <c r="B22" i="17" s="1"/>
  <c r="B12" i="17"/>
  <c r="B9" i="17"/>
  <c r="B10" i="17" s="1"/>
  <c r="B8" i="17"/>
  <c r="D67" i="16"/>
  <c r="D77" i="17"/>
  <c r="A75" i="17"/>
  <c r="H57" i="17"/>
  <c r="G57" i="17"/>
  <c r="M56" i="17"/>
  <c r="L56" i="17"/>
  <c r="K56" i="17"/>
  <c r="J56" i="17"/>
  <c r="I56" i="17"/>
  <c r="H56" i="17"/>
  <c r="G56" i="17"/>
  <c r="F56" i="17"/>
  <c r="E56" i="17"/>
  <c r="D56" i="17"/>
  <c r="C56" i="17"/>
  <c r="M52" i="17"/>
  <c r="L52" i="17"/>
  <c r="K52" i="17"/>
  <c r="J52" i="17"/>
  <c r="I52" i="17"/>
  <c r="H52" i="17"/>
  <c r="G52" i="17"/>
  <c r="F52" i="17"/>
  <c r="E52" i="17"/>
  <c r="D52" i="17"/>
  <c r="C52" i="17"/>
  <c r="M44" i="17"/>
  <c r="L44" i="17"/>
  <c r="K44" i="17"/>
  <c r="J44" i="17"/>
  <c r="I44" i="17"/>
  <c r="H44" i="17"/>
  <c r="G44" i="17"/>
  <c r="F44" i="17"/>
  <c r="E44" i="17"/>
  <c r="D44" i="17"/>
  <c r="C44" i="17"/>
  <c r="J29" i="17"/>
  <c r="I29" i="17"/>
  <c r="AB16" i="18"/>
  <c r="AA16" i="18"/>
  <c r="Z16" i="18"/>
  <c r="Y16" i="18"/>
  <c r="X16" i="18"/>
  <c r="W16" i="18"/>
  <c r="V16" i="18"/>
  <c r="U16" i="18"/>
  <c r="T16" i="18"/>
  <c r="S16" i="18"/>
  <c r="E33" i="17"/>
  <c r="AC11" i="18"/>
  <c r="AB11" i="18"/>
  <c r="AA11" i="18"/>
  <c r="Z11" i="18"/>
  <c r="Y11" i="18"/>
  <c r="X11" i="18"/>
  <c r="W11" i="18"/>
  <c r="V11" i="18"/>
  <c r="U11" i="18"/>
  <c r="T11" i="18"/>
  <c r="S11" i="18"/>
  <c r="AC10" i="18"/>
  <c r="AB10" i="18"/>
  <c r="AA10" i="18"/>
  <c r="Z10" i="18"/>
  <c r="Z14" i="18" s="1"/>
  <c r="Y10" i="18"/>
  <c r="X10" i="18"/>
  <c r="W10" i="18"/>
  <c r="V10" i="18"/>
  <c r="U10" i="18"/>
  <c r="T10" i="18"/>
  <c r="S10" i="18"/>
  <c r="S9" i="18"/>
  <c r="E14" i="17"/>
  <c r="E12" i="16" s="1"/>
  <c r="D14" i="17"/>
  <c r="F12" i="16" s="1"/>
  <c r="E7" i="17"/>
  <c r="D7" i="17"/>
  <c r="A1" i="17"/>
  <c r="E85" i="17"/>
  <c r="D85" i="17"/>
  <c r="C85" i="17"/>
  <c r="B85" i="17"/>
  <c r="A85" i="17"/>
  <c r="E84" i="17"/>
  <c r="D84" i="17"/>
  <c r="C84" i="17"/>
  <c r="B84" i="17"/>
  <c r="A84" i="17"/>
  <c r="E83" i="17"/>
  <c r="D83" i="17"/>
  <c r="C83" i="17"/>
  <c r="B83" i="17"/>
  <c r="A83" i="17"/>
  <c r="E82" i="17"/>
  <c r="D82" i="17"/>
  <c r="C82" i="17"/>
  <c r="B82" i="17"/>
  <c r="A82" i="17"/>
  <c r="A81" i="17"/>
  <c r="D79" i="17"/>
  <c r="C79" i="17"/>
  <c r="B79" i="17"/>
  <c r="A79" i="17"/>
  <c r="B78" i="17"/>
  <c r="A78" i="17"/>
  <c r="B77" i="17"/>
  <c r="IH75" i="17"/>
  <c r="M75" i="17"/>
  <c r="L75" i="17"/>
  <c r="K75" i="17"/>
  <c r="J75" i="17"/>
  <c r="I75" i="17"/>
  <c r="H75" i="17"/>
  <c r="G75" i="17"/>
  <c r="F75" i="17"/>
  <c r="E75" i="17"/>
  <c r="D75" i="17"/>
  <c r="C75" i="17"/>
  <c r="M74" i="17"/>
  <c r="L74" i="17"/>
  <c r="K74" i="17"/>
  <c r="J74" i="17"/>
  <c r="I74" i="17"/>
  <c r="H74" i="17"/>
  <c r="G74" i="17"/>
  <c r="F74" i="17"/>
  <c r="E74" i="17"/>
  <c r="D74" i="17"/>
  <c r="C74" i="17"/>
  <c r="M73" i="17"/>
  <c r="L73" i="17"/>
  <c r="K73" i="17"/>
  <c r="J73" i="17"/>
  <c r="I73" i="17"/>
  <c r="H73" i="17"/>
  <c r="G73" i="17"/>
  <c r="F73" i="17"/>
  <c r="E73" i="17"/>
  <c r="D73" i="17"/>
  <c r="C73" i="17"/>
  <c r="M72" i="17"/>
  <c r="L72" i="17"/>
  <c r="K72" i="17"/>
  <c r="J72" i="17"/>
  <c r="I72" i="17"/>
  <c r="H72" i="17"/>
  <c r="G72" i="17"/>
  <c r="F72" i="17"/>
  <c r="E72" i="17"/>
  <c r="D72" i="17"/>
  <c r="C72" i="17"/>
  <c r="M71" i="17"/>
  <c r="L71" i="17"/>
  <c r="K71" i="17"/>
  <c r="J71" i="17"/>
  <c r="I71" i="17"/>
  <c r="H71" i="17"/>
  <c r="G71" i="17"/>
  <c r="F71" i="17"/>
  <c r="E71" i="17"/>
  <c r="D71" i="17"/>
  <c r="C71" i="17"/>
  <c r="M70" i="17"/>
  <c r="L70" i="17"/>
  <c r="K70" i="17"/>
  <c r="J70" i="17"/>
  <c r="I70" i="17"/>
  <c r="H70" i="17"/>
  <c r="G70" i="17"/>
  <c r="F70" i="17"/>
  <c r="E70" i="17"/>
  <c r="D70" i="17"/>
  <c r="C70" i="17"/>
  <c r="M63" i="17"/>
  <c r="L63" i="17"/>
  <c r="K63" i="17"/>
  <c r="J63" i="17"/>
  <c r="I63" i="17"/>
  <c r="H63" i="17"/>
  <c r="G63" i="17"/>
  <c r="F63" i="17"/>
  <c r="E63" i="17"/>
  <c r="D63" i="17"/>
  <c r="C63" i="17"/>
  <c r="F57" i="17"/>
  <c r="M55" i="17"/>
  <c r="L55" i="17"/>
  <c r="K55" i="17"/>
  <c r="J55" i="17"/>
  <c r="I55" i="17"/>
  <c r="H55" i="17"/>
  <c r="G55" i="17"/>
  <c r="F55" i="17"/>
  <c r="E55" i="17"/>
  <c r="D55" i="17"/>
  <c r="C55" i="17"/>
  <c r="M54" i="17"/>
  <c r="L54" i="17"/>
  <c r="K54" i="17"/>
  <c r="J54" i="17"/>
  <c r="I54" i="17"/>
  <c r="H54" i="17"/>
  <c r="G54" i="17"/>
  <c r="F54" i="17"/>
  <c r="E54" i="17"/>
  <c r="D54" i="17"/>
  <c r="C54" i="17"/>
  <c r="M53" i="17"/>
  <c r="L53" i="17"/>
  <c r="K53" i="17"/>
  <c r="J53" i="17"/>
  <c r="I53" i="17"/>
  <c r="H53" i="17"/>
  <c r="G53" i="17"/>
  <c r="F53" i="17"/>
  <c r="E53" i="17"/>
  <c r="D53" i="17"/>
  <c r="C53" i="17"/>
  <c r="M51" i="17"/>
  <c r="L51" i="17"/>
  <c r="K51" i="17"/>
  <c r="J51" i="17"/>
  <c r="I51" i="17"/>
  <c r="H51" i="17"/>
  <c r="G51" i="17"/>
  <c r="F51" i="17"/>
  <c r="E51" i="17"/>
  <c r="D51" i="17"/>
  <c r="C51" i="17"/>
  <c r="M50" i="17"/>
  <c r="L50" i="17"/>
  <c r="K50" i="17"/>
  <c r="J50" i="17"/>
  <c r="I50" i="17"/>
  <c r="H50" i="17"/>
  <c r="G50" i="17"/>
  <c r="F50" i="17"/>
  <c r="E50" i="17"/>
  <c r="D50" i="17"/>
  <c r="C50" i="17"/>
  <c r="M49" i="17"/>
  <c r="L49" i="17"/>
  <c r="K49" i="17"/>
  <c r="J49" i="17"/>
  <c r="I49" i="17"/>
  <c r="H49" i="17"/>
  <c r="G49" i="17"/>
  <c r="F49" i="17"/>
  <c r="E49" i="17"/>
  <c r="D49" i="17"/>
  <c r="C49" i="17"/>
  <c r="M45" i="17"/>
  <c r="L45" i="17"/>
  <c r="K45" i="17"/>
  <c r="J45" i="17"/>
  <c r="I45" i="17"/>
  <c r="H45" i="17"/>
  <c r="G45" i="17"/>
  <c r="F45" i="17"/>
  <c r="E45" i="17"/>
  <c r="D45" i="17"/>
  <c r="C45" i="17"/>
  <c r="M43" i="17"/>
  <c r="L43" i="17"/>
  <c r="K43" i="17"/>
  <c r="J43" i="17"/>
  <c r="I43" i="17"/>
  <c r="H43" i="17"/>
  <c r="G43" i="17"/>
  <c r="F43" i="17"/>
  <c r="E43" i="17"/>
  <c r="D43" i="17"/>
  <c r="C43" i="17"/>
  <c r="M42" i="17"/>
  <c r="L42" i="17"/>
  <c r="K42" i="17"/>
  <c r="J42" i="17"/>
  <c r="I42" i="17"/>
  <c r="H42" i="17"/>
  <c r="G42" i="17"/>
  <c r="F42" i="17"/>
  <c r="E42" i="17"/>
  <c r="D42" i="17"/>
  <c r="C42" i="17"/>
  <c r="M41" i="17"/>
  <c r="L41" i="17"/>
  <c r="K41" i="17"/>
  <c r="J41" i="17"/>
  <c r="I41" i="17"/>
  <c r="H41" i="17"/>
  <c r="G41" i="17"/>
  <c r="F41" i="17"/>
  <c r="E41" i="17"/>
  <c r="D41" i="17"/>
  <c r="C41" i="17"/>
  <c r="M40" i="17"/>
  <c r="M26" i="17" s="1"/>
  <c r="L40" i="17"/>
  <c r="K40" i="17"/>
  <c r="J40" i="17"/>
  <c r="I40" i="17"/>
  <c r="H40" i="17"/>
  <c r="G40" i="17"/>
  <c r="F40" i="17"/>
  <c r="E40" i="17"/>
  <c r="D40" i="17"/>
  <c r="C40" i="17"/>
  <c r="J34" i="17"/>
  <c r="I34" i="17"/>
  <c r="H34" i="17"/>
  <c r="G34" i="17"/>
  <c r="F34" i="17"/>
  <c r="E34" i="17"/>
  <c r="D34" i="17"/>
  <c r="C34" i="17"/>
  <c r="J33" i="17"/>
  <c r="I33" i="17"/>
  <c r="H33" i="17"/>
  <c r="G33" i="17"/>
  <c r="F33" i="17"/>
  <c r="D33" i="17"/>
  <c r="C33" i="17"/>
  <c r="H29" i="17"/>
  <c r="G29" i="17"/>
  <c r="F29" i="17"/>
  <c r="E29" i="17"/>
  <c r="D29" i="17"/>
  <c r="C29" i="17"/>
  <c r="J27" i="17"/>
  <c r="I27" i="17"/>
  <c r="H27" i="17"/>
  <c r="G27" i="17"/>
  <c r="F27" i="17"/>
  <c r="E27" i="17"/>
  <c r="D27" i="17"/>
  <c r="C27" i="17"/>
  <c r="B28" i="17" s="1"/>
  <c r="B37" i="17" s="1"/>
  <c r="J23" i="17"/>
  <c r="I23" i="17"/>
  <c r="H23" i="17"/>
  <c r="G23" i="17"/>
  <c r="F23" i="17"/>
  <c r="E23" i="17"/>
  <c r="D23" i="17"/>
  <c r="C23" i="17"/>
  <c r="J21" i="17"/>
  <c r="I21" i="17"/>
  <c r="K137" i="16" s="1"/>
  <c r="K138" i="16" s="1"/>
  <c r="H21" i="17"/>
  <c r="J137" i="16" s="1"/>
  <c r="J138" i="16" s="1"/>
  <c r="G21" i="17"/>
  <c r="I137" i="16" s="1"/>
  <c r="I138" i="16" s="1"/>
  <c r="F21" i="17"/>
  <c r="D15" i="16" s="1"/>
  <c r="E21" i="17"/>
  <c r="E15" i="16" s="1"/>
  <c r="D21" i="17"/>
  <c r="F15" i="16" s="1"/>
  <c r="C21" i="17"/>
  <c r="J18" i="17"/>
  <c r="I18" i="17"/>
  <c r="H18" i="17"/>
  <c r="G18" i="17"/>
  <c r="F18" i="17"/>
  <c r="E18" i="17"/>
  <c r="D18" i="17"/>
  <c r="C18" i="17"/>
  <c r="J17" i="17"/>
  <c r="I17" i="17"/>
  <c r="H17" i="17"/>
  <c r="G17" i="17"/>
  <c r="E17" i="17"/>
  <c r="E9" i="16" s="1"/>
  <c r="D17" i="17"/>
  <c r="F9" i="16" s="1"/>
  <c r="C17" i="17"/>
  <c r="J15" i="17"/>
  <c r="I15" i="17"/>
  <c r="J225" i="16" s="1"/>
  <c r="H15" i="17"/>
  <c r="I225" i="16" s="1"/>
  <c r="G15" i="17"/>
  <c r="H225" i="16" s="1"/>
  <c r="F15" i="17"/>
  <c r="E15" i="17"/>
  <c r="D15" i="17"/>
  <c r="C15" i="17"/>
  <c r="J14" i="17"/>
  <c r="I14" i="17"/>
  <c r="H14" i="17"/>
  <c r="G14" i="17"/>
  <c r="F14" i="17"/>
  <c r="D12" i="16" s="1"/>
  <c r="C14" i="17"/>
  <c r="G12" i="16" s="1"/>
  <c r="J11" i="17"/>
  <c r="I11" i="17"/>
  <c r="H11" i="17"/>
  <c r="G11" i="17"/>
  <c r="J7" i="17"/>
  <c r="I7" i="17"/>
  <c r="H7" i="17"/>
  <c r="G7" i="17"/>
  <c r="F7" i="17"/>
  <c r="J5" i="17"/>
  <c r="I5" i="17"/>
  <c r="J226" i="16" s="1"/>
  <c r="H5" i="17"/>
  <c r="I226" i="16" s="1"/>
  <c r="G5" i="17"/>
  <c r="H226" i="16" s="1"/>
  <c r="F5" i="17"/>
  <c r="E5" i="17"/>
  <c r="D5" i="17"/>
  <c r="C5" i="17"/>
  <c r="D226" i="16" s="1"/>
  <c r="D4" i="17"/>
  <c r="C4" i="17"/>
  <c r="A2" i="17"/>
  <c r="Z92" i="16" l="1"/>
  <c r="Y6" i="16"/>
  <c r="AA82" i="16"/>
  <c r="AB78" i="16"/>
  <c r="H227" i="16"/>
  <c r="I227" i="16"/>
  <c r="J227" i="16"/>
  <c r="D6" i="16"/>
  <c r="D3" i="16" s="1"/>
  <c r="G226" i="16"/>
  <c r="G9" i="16"/>
  <c r="H9" i="16" s="1" a="1"/>
  <c r="H9" i="16" s="1"/>
  <c r="G15" i="16"/>
  <c r="G13" i="16"/>
  <c r="D225" i="16"/>
  <c r="D227" i="16" s="1"/>
  <c r="F13" i="16"/>
  <c r="E225" i="16"/>
  <c r="F6" i="16"/>
  <c r="E127" i="16" s="1"/>
  <c r="E226" i="16"/>
  <c r="E13" i="16"/>
  <c r="F225" i="16"/>
  <c r="E6" i="16"/>
  <c r="F127" i="16" s="1"/>
  <c r="F226" i="16"/>
  <c r="D13" i="16"/>
  <c r="G225" i="16"/>
  <c r="T13" i="16"/>
  <c r="G127" i="16"/>
  <c r="F3" i="16"/>
  <c r="F39" i="16" s="1"/>
  <c r="H137" i="16"/>
  <c r="H138" i="16" s="1"/>
  <c r="F137" i="16"/>
  <c r="F138" i="16" s="1"/>
  <c r="B6" i="17"/>
  <c r="G6" i="16"/>
  <c r="G137" i="16"/>
  <c r="G138" i="16" s="1"/>
  <c r="AA15" i="18"/>
  <c r="I28" i="17"/>
  <c r="I37" i="17" s="1"/>
  <c r="S15" i="18"/>
  <c r="K57" i="17"/>
  <c r="K66" i="17" s="1"/>
  <c r="L57" i="17"/>
  <c r="L66" i="17" s="1"/>
  <c r="T14" i="18"/>
  <c r="U15" i="18"/>
  <c r="V15" i="18"/>
  <c r="T15" i="18"/>
  <c r="W14" i="18"/>
  <c r="X15" i="18"/>
  <c r="AB15" i="18"/>
  <c r="K11" i="17"/>
  <c r="K19" i="17" s="1"/>
  <c r="K20" i="17" s="1"/>
  <c r="L29" i="17"/>
  <c r="L27" i="17"/>
  <c r="L23" i="17"/>
  <c r="K25" i="17" s="1"/>
  <c r="L21" i="17"/>
  <c r="L34" i="17"/>
  <c r="L33" i="17"/>
  <c r="L18" i="17"/>
  <c r="L17" i="17"/>
  <c r="L15" i="17"/>
  <c r="L14" i="17"/>
  <c r="L7" i="17"/>
  <c r="L5" i="17"/>
  <c r="K6" i="17" s="1"/>
  <c r="C77" i="17"/>
  <c r="AB14" i="18"/>
  <c r="V14" i="18"/>
  <c r="W15" i="18"/>
  <c r="X14" i="18"/>
  <c r="Y15" i="18"/>
  <c r="I35" i="17"/>
  <c r="I36" i="17" s="1"/>
  <c r="Y14" i="18"/>
  <c r="D60" i="17"/>
  <c r="F37" i="16" s="1"/>
  <c r="J60" i="17"/>
  <c r="J59" i="17" s="1"/>
  <c r="D57" i="17"/>
  <c r="D66" i="17" s="1"/>
  <c r="C60" i="17"/>
  <c r="G37" i="16" s="1"/>
  <c r="H12" i="16" s="1"/>
  <c r="H14" i="16" s="1"/>
  <c r="AA23" i="19"/>
  <c r="C57" i="17"/>
  <c r="C66" i="17" s="1"/>
  <c r="AC23" i="19"/>
  <c r="K60" i="17"/>
  <c r="K59" i="17" s="1"/>
  <c r="E57" i="17"/>
  <c r="E66" i="17" s="1"/>
  <c r="E4" i="17"/>
  <c r="F66" i="17"/>
  <c r="I26" i="17"/>
  <c r="L60" i="17"/>
  <c r="L59" i="17" s="1"/>
  <c r="Z23" i="19"/>
  <c r="E60" i="17"/>
  <c r="E37" i="16" s="1"/>
  <c r="M60" i="17"/>
  <c r="M59" i="17" s="1"/>
  <c r="F60" i="17"/>
  <c r="F61" i="17" s="1"/>
  <c r="G60" i="17"/>
  <c r="G59" i="17" s="1"/>
  <c r="H60" i="17"/>
  <c r="H59" i="17" s="1"/>
  <c r="I60" i="17"/>
  <c r="I61" i="17" s="1"/>
  <c r="J57" i="17"/>
  <c r="J66" i="17" s="1"/>
  <c r="I57" i="17"/>
  <c r="I66" i="17" s="1"/>
  <c r="M57" i="17"/>
  <c r="M66" i="17" s="1"/>
  <c r="G66" i="17"/>
  <c r="S14" i="18"/>
  <c r="S17" i="18" s="1"/>
  <c r="AA14" i="18"/>
  <c r="AA17" i="18" s="1"/>
  <c r="J26" i="17"/>
  <c r="U14" i="18"/>
  <c r="Z15" i="18"/>
  <c r="Z17" i="18" s="1"/>
  <c r="B25" i="17"/>
  <c r="J17" i="1"/>
  <c r="L13" i="1" s="1"/>
  <c r="H19" i="17"/>
  <c r="AG25" i="19"/>
  <c r="K5" i="16" s="1"/>
  <c r="AF13" i="19"/>
  <c r="AE34" i="19"/>
  <c r="AF12" i="19"/>
  <c r="AE33" i="19"/>
  <c r="AG9" i="19"/>
  <c r="AF30" i="19"/>
  <c r="AG10" i="19"/>
  <c r="AF31" i="19"/>
  <c r="AH25" i="19"/>
  <c r="AI26" i="19"/>
  <c r="B26" i="17"/>
  <c r="B30" i="17" s="1"/>
  <c r="I6" i="17"/>
  <c r="H28" i="17"/>
  <c r="H37" i="17" s="1"/>
  <c r="E8" i="17"/>
  <c r="B44" i="17"/>
  <c r="B61" i="17"/>
  <c r="J19" i="17"/>
  <c r="J20" i="17" s="1"/>
  <c r="C35" i="17"/>
  <c r="C36" i="17" s="1"/>
  <c r="D24" i="17"/>
  <c r="F25" i="17"/>
  <c r="H25" i="17"/>
  <c r="J9" i="17"/>
  <c r="J10" i="17" s="1"/>
  <c r="G26" i="17"/>
  <c r="K35" i="17"/>
  <c r="K36" i="17" s="1"/>
  <c r="F8" i="17"/>
  <c r="G19" i="17"/>
  <c r="F35" i="17"/>
  <c r="F36" i="17" s="1"/>
  <c r="L26" i="17"/>
  <c r="H6" i="17"/>
  <c r="H8" i="17"/>
  <c r="J25" i="17"/>
  <c r="H35" i="17"/>
  <c r="H36" i="17" s="1"/>
  <c r="E26" i="17"/>
  <c r="H9" i="17"/>
  <c r="H10" i="17" s="1"/>
  <c r="G8" i="17"/>
  <c r="I9" i="17"/>
  <c r="I10" i="17" s="1"/>
  <c r="G12" i="17"/>
  <c r="I24" i="17"/>
  <c r="D35" i="17"/>
  <c r="D36" i="17" s="1"/>
  <c r="D8" i="17"/>
  <c r="I25" i="17"/>
  <c r="I8" i="17"/>
  <c r="C24" i="17"/>
  <c r="K24" i="17"/>
  <c r="J8" i="17"/>
  <c r="I19" i="17"/>
  <c r="D25" i="17"/>
  <c r="F26" i="17"/>
  <c r="G35" i="17"/>
  <c r="G36" i="17" s="1"/>
  <c r="H12" i="17"/>
  <c r="E25" i="17"/>
  <c r="J28" i="17"/>
  <c r="D26" i="17"/>
  <c r="E35" i="17"/>
  <c r="E36" i="17" s="1"/>
  <c r="J24" i="17"/>
  <c r="H26" i="17"/>
  <c r="G9" i="17"/>
  <c r="G10" i="17" s="1"/>
  <c r="G25" i="17"/>
  <c r="E24" i="17"/>
  <c r="J35" i="17"/>
  <c r="J36" i="17" s="1"/>
  <c r="F11" i="17"/>
  <c r="F19" i="17" s="1"/>
  <c r="G215" i="16" s="1"/>
  <c r="G216" i="16" s="1"/>
  <c r="H66" i="17"/>
  <c r="C7" i="17"/>
  <c r="C8" i="17" s="1"/>
  <c r="U9" i="18"/>
  <c r="F4" i="17"/>
  <c r="J6" i="17"/>
  <c r="I12" i="17"/>
  <c r="F24" i="17"/>
  <c r="C25" i="17"/>
  <c r="C28" i="17"/>
  <c r="C37" i="17" s="1"/>
  <c r="T9" i="18"/>
  <c r="K8" i="17"/>
  <c r="C6" i="17"/>
  <c r="G5" i="16" s="1"/>
  <c r="J12" i="17"/>
  <c r="G13" i="17"/>
  <c r="G16" i="17"/>
  <c r="G22" i="17" s="1"/>
  <c r="G24" i="17"/>
  <c r="D28" i="17"/>
  <c r="D6" i="17"/>
  <c r="F5" i="16" s="1"/>
  <c r="H13" i="17"/>
  <c r="H16" i="17"/>
  <c r="H22" i="17" s="1"/>
  <c r="H24" i="17"/>
  <c r="C26" i="17"/>
  <c r="K26" i="17"/>
  <c r="E28" i="17"/>
  <c r="E6" i="17"/>
  <c r="E5" i="16" s="1"/>
  <c r="I13" i="17"/>
  <c r="I16" i="17"/>
  <c r="I22" i="17" s="1"/>
  <c r="F28" i="17"/>
  <c r="F6" i="17"/>
  <c r="D5" i="16" s="1"/>
  <c r="J16" i="17"/>
  <c r="J22" i="17" s="1"/>
  <c r="G28" i="17"/>
  <c r="G37" i="17" s="1"/>
  <c r="G6" i="17"/>
  <c r="AA92" i="16" l="1"/>
  <c r="Z6" i="16"/>
  <c r="AC78" i="16"/>
  <c r="AB82" i="16"/>
  <c r="E3" i="16"/>
  <c r="G227" i="16"/>
  <c r="I20" i="17"/>
  <c r="J215" i="16"/>
  <c r="J216" i="16" s="1"/>
  <c r="E227" i="16"/>
  <c r="H20" i="17"/>
  <c r="I215" i="16"/>
  <c r="I216" i="16" s="1"/>
  <c r="H11" i="16"/>
  <c r="I30" i="17"/>
  <c r="G51" i="16"/>
  <c r="F227" i="16"/>
  <c r="G20" i="17"/>
  <c r="H215" i="16"/>
  <c r="H216" i="16" s="1"/>
  <c r="H15" i="16"/>
  <c r="U13" i="16"/>
  <c r="F40" i="16"/>
  <c r="H5" i="16"/>
  <c r="B11" i="10"/>
  <c r="D127" i="16"/>
  <c r="F9" i="17"/>
  <c r="F10" i="17" s="1"/>
  <c r="D7" i="16"/>
  <c r="U17" i="18"/>
  <c r="K61" i="17"/>
  <c r="X17" i="18"/>
  <c r="W17" i="18"/>
  <c r="T17" i="18"/>
  <c r="V17" i="18"/>
  <c r="Y17" i="18"/>
  <c r="AB17" i="18"/>
  <c r="L35" i="17"/>
  <c r="L36" i="17" s="1"/>
  <c r="L24" i="17"/>
  <c r="K9" i="17"/>
  <c r="K10" i="17" s="1"/>
  <c r="J13" i="17"/>
  <c r="K16" i="17"/>
  <c r="K22" i="17" s="1"/>
  <c r="K12" i="17"/>
  <c r="L8" i="17"/>
  <c r="L11" i="17"/>
  <c r="L9" i="17" s="1"/>
  <c r="L10" i="17" s="1"/>
  <c r="K28" i="17"/>
  <c r="K37" i="17" s="1"/>
  <c r="M29" i="17"/>
  <c r="M27" i="17"/>
  <c r="M23" i="17"/>
  <c r="M21" i="17"/>
  <c r="M34" i="17"/>
  <c r="M33" i="17"/>
  <c r="M18" i="17"/>
  <c r="M17" i="17"/>
  <c r="M15" i="17"/>
  <c r="M14" i="17"/>
  <c r="M7" i="17"/>
  <c r="M5" i="17"/>
  <c r="E30" i="17"/>
  <c r="E31" i="17" s="1"/>
  <c r="E32" i="17" s="1"/>
  <c r="L61" i="17"/>
  <c r="D61" i="17"/>
  <c r="E61" i="17"/>
  <c r="B31" i="17"/>
  <c r="B32" i="17" s="1"/>
  <c r="C61" i="17"/>
  <c r="D59" i="17"/>
  <c r="M61" i="17"/>
  <c r="J61" i="17"/>
  <c r="F59" i="17"/>
  <c r="D37" i="16"/>
  <c r="I59" i="17"/>
  <c r="C59" i="17"/>
  <c r="E59" i="17"/>
  <c r="H61" i="17"/>
  <c r="G61" i="17"/>
  <c r="J30" i="17"/>
  <c r="J31" i="17" s="1"/>
  <c r="J32" i="17" s="1"/>
  <c r="F30" i="17"/>
  <c r="F31" i="17" s="1"/>
  <c r="F32" i="17" s="1"/>
  <c r="C30" i="17"/>
  <c r="C31" i="17" s="1"/>
  <c r="C32" i="17" s="1"/>
  <c r="L5" i="16"/>
  <c r="AE36" i="19"/>
  <c r="AF33" i="19"/>
  <c r="AG12" i="19"/>
  <c r="AG13" i="19"/>
  <c r="AF34" i="19"/>
  <c r="AH10" i="19"/>
  <c r="AG31" i="19"/>
  <c r="AH9" i="19"/>
  <c r="AG30" i="19"/>
  <c r="AJ26" i="19"/>
  <c r="AI25" i="19"/>
  <c r="M5" i="16" s="1"/>
  <c r="H30" i="17"/>
  <c r="H31" i="17" s="1"/>
  <c r="H32" i="17" s="1"/>
  <c r="D30" i="17"/>
  <c r="D31" i="17" s="1"/>
  <c r="D32" i="17" s="1"/>
  <c r="I31" i="17"/>
  <c r="I32" i="17" s="1"/>
  <c r="J37" i="17"/>
  <c r="C11" i="17"/>
  <c r="D37" i="17"/>
  <c r="F12" i="17"/>
  <c r="F20" i="17"/>
  <c r="F16" i="17"/>
  <c r="F22" i="17" s="1"/>
  <c r="F13" i="17"/>
  <c r="G4" i="17"/>
  <c r="V9" i="18"/>
  <c r="D11" i="17"/>
  <c r="F7" i="16" s="1"/>
  <c r="E37" i="17"/>
  <c r="F37" i="17"/>
  <c r="E11" i="17"/>
  <c r="E7" i="16" s="1"/>
  <c r="G30" i="17"/>
  <c r="G31" i="17" s="1"/>
  <c r="G32" i="17" s="1"/>
  <c r="AB92" i="16" l="1"/>
  <c r="AA6" i="16"/>
  <c r="AC82" i="16"/>
  <c r="AD78" i="16"/>
  <c r="C19" i="17"/>
  <c r="D215" i="16" s="1"/>
  <c r="D216" i="16" s="1"/>
  <c r="C16" i="17"/>
  <c r="C22" i="17" s="1"/>
  <c r="G7" i="16"/>
  <c r="V13" i="16"/>
  <c r="D129" i="16"/>
  <c r="D131" i="16"/>
  <c r="D130" i="16"/>
  <c r="B13" i="17"/>
  <c r="M24" i="17"/>
  <c r="L25" i="17"/>
  <c r="M30" i="17"/>
  <c r="M31" i="17" s="1"/>
  <c r="M32" i="17" s="1"/>
  <c r="M37" i="17"/>
  <c r="M8" i="17"/>
  <c r="M11" i="17"/>
  <c r="L13" i="17" s="1"/>
  <c r="K30" i="17"/>
  <c r="K31" i="17" s="1"/>
  <c r="K32" i="17" s="1"/>
  <c r="L12" i="17"/>
  <c r="L19" i="17"/>
  <c r="L20" i="17" s="1"/>
  <c r="K13" i="17"/>
  <c r="L6" i="17"/>
  <c r="L28" i="17"/>
  <c r="M35" i="17"/>
  <c r="M36" i="17" s="1"/>
  <c r="L16" i="17"/>
  <c r="L22" i="17" s="1"/>
  <c r="AF36" i="19"/>
  <c r="AG34" i="19"/>
  <c r="AH13" i="19"/>
  <c r="AG33" i="19"/>
  <c r="AH12" i="19"/>
  <c r="AI9" i="19"/>
  <c r="AH30" i="19"/>
  <c r="AI10" i="19"/>
  <c r="AH31" i="19"/>
  <c r="AK26" i="19"/>
  <c r="AJ25" i="19"/>
  <c r="N5" i="16" s="1"/>
  <c r="D12" i="17"/>
  <c r="D16" i="17"/>
  <c r="D22" i="17" s="1"/>
  <c r="D13" i="17"/>
  <c r="D19" i="17"/>
  <c r="D9" i="17"/>
  <c r="D10" i="17" s="1"/>
  <c r="C13" i="17"/>
  <c r="C12" i="17"/>
  <c r="C9" i="17"/>
  <c r="C10" i="17" s="1"/>
  <c r="E12" i="17"/>
  <c r="E16" i="17"/>
  <c r="E22" i="17" s="1"/>
  <c r="E19" i="17"/>
  <c r="E13" i="17"/>
  <c r="E9" i="17"/>
  <c r="E10" i="17" s="1"/>
  <c r="W9" i="18"/>
  <c r="H4" i="17"/>
  <c r="AC92" i="16" l="1"/>
  <c r="AB6" i="16"/>
  <c r="AE78" i="16"/>
  <c r="AD82" i="16"/>
  <c r="E20" i="17"/>
  <c r="F215" i="16"/>
  <c r="F216" i="16" s="1"/>
  <c r="G129" i="16"/>
  <c r="D51" i="16"/>
  <c r="H10" i="16" s="1"/>
  <c r="D20" i="17"/>
  <c r="E215" i="16"/>
  <c r="E216" i="16" s="1"/>
  <c r="W13" i="16"/>
  <c r="M16" i="17"/>
  <c r="M22" i="17" s="1"/>
  <c r="M12" i="17"/>
  <c r="M19" i="17"/>
  <c r="M20" i="17" s="1"/>
  <c r="L37" i="17"/>
  <c r="L30" i="17"/>
  <c r="L31" i="17" s="1"/>
  <c r="L32" i="17" s="1"/>
  <c r="M9" i="17"/>
  <c r="M10" i="17" s="1"/>
  <c r="C20" i="17"/>
  <c r="J16" i="1"/>
  <c r="AG36" i="19"/>
  <c r="AH34" i="19"/>
  <c r="AI13" i="19"/>
  <c r="AI12" i="19"/>
  <c r="AH33" i="19"/>
  <c r="AJ10" i="19"/>
  <c r="AI31" i="19"/>
  <c r="AJ9" i="19"/>
  <c r="AI30" i="19"/>
  <c r="AK25" i="19"/>
  <c r="O5" i="16" s="1"/>
  <c r="AL26" i="19"/>
  <c r="X9" i="18"/>
  <c r="I4" i="17"/>
  <c r="AD92" i="16" l="1"/>
  <c r="AC6" i="16"/>
  <c r="AF78" i="16"/>
  <c r="AE82" i="16"/>
  <c r="D55" i="16"/>
  <c r="X13" i="16"/>
  <c r="AH36" i="19"/>
  <c r="AI34" i="19"/>
  <c r="AJ13" i="19"/>
  <c r="AI33" i="19"/>
  <c r="AJ12" i="19"/>
  <c r="AK9" i="19"/>
  <c r="AJ30" i="19"/>
  <c r="AK10" i="19"/>
  <c r="AJ31" i="19"/>
  <c r="AL25" i="19"/>
  <c r="P5" i="16" s="1"/>
  <c r="AM26" i="19"/>
  <c r="Y9" i="18"/>
  <c r="J4" i="17"/>
  <c r="AE92" i="16" l="1"/>
  <c r="AD6" i="16"/>
  <c r="AF82" i="16"/>
  <c r="AG78" i="16"/>
  <c r="AG82" i="16" s="1"/>
  <c r="AF6" i="16" s="1"/>
  <c r="J49" i="16" s="1"/>
  <c r="Y13" i="16"/>
  <c r="AI36" i="19"/>
  <c r="AJ33" i="19"/>
  <c r="AK12" i="19"/>
  <c r="AK13" i="19"/>
  <c r="AJ34" i="19"/>
  <c r="AL10" i="19"/>
  <c r="AK31" i="19"/>
  <c r="AL9" i="19"/>
  <c r="AK30" i="19"/>
  <c r="AN26" i="19"/>
  <c r="AM25" i="19"/>
  <c r="Q5" i="16" s="1"/>
  <c r="Z9" i="18"/>
  <c r="K4" i="17"/>
  <c r="AF92" i="16" l="1"/>
  <c r="AE6" i="16"/>
  <c r="Z13" i="16"/>
  <c r="AJ36" i="19"/>
  <c r="AK34" i="19"/>
  <c r="AL13" i="19"/>
  <c r="AK33" i="19"/>
  <c r="AL12" i="19"/>
  <c r="AM9" i="19"/>
  <c r="AL30" i="19"/>
  <c r="AM10" i="19"/>
  <c r="AL31" i="19"/>
  <c r="AO26" i="19"/>
  <c r="AN25" i="19"/>
  <c r="R5" i="16" s="1"/>
  <c r="L4" i="17"/>
  <c r="AA9" i="18"/>
  <c r="AA13" i="16" l="1"/>
  <c r="AK36" i="19"/>
  <c r="AL33" i="19"/>
  <c r="AM12" i="19"/>
  <c r="AM13" i="19"/>
  <c r="AL34" i="19"/>
  <c r="AN10" i="19"/>
  <c r="AM31" i="19"/>
  <c r="AN9" i="19"/>
  <c r="AM30" i="19"/>
  <c r="AP26" i="19"/>
  <c r="AO25" i="19"/>
  <c r="S5" i="16" s="1"/>
  <c r="M4" i="17"/>
  <c r="AB9" i="18"/>
  <c r="AB13" i="16" l="1"/>
  <c r="AL36" i="19"/>
  <c r="AN13" i="19"/>
  <c r="AM34" i="19"/>
  <c r="AN12" i="19"/>
  <c r="AM33" i="19"/>
  <c r="AO9" i="19"/>
  <c r="AN30" i="19"/>
  <c r="AO10" i="19"/>
  <c r="AN31" i="19"/>
  <c r="AQ26" i="19"/>
  <c r="AP25" i="19"/>
  <c r="T5" i="16" s="1"/>
  <c r="D47" i="16"/>
  <c r="J24" i="1" s="1"/>
  <c r="F33" i="16"/>
  <c r="E33" i="16"/>
  <c r="D33" i="16"/>
  <c r="F30" i="16"/>
  <c r="E30" i="16"/>
  <c r="D30" i="16"/>
  <c r="F24" i="16"/>
  <c r="E24" i="16"/>
  <c r="D24" i="16"/>
  <c r="I4" i="16"/>
  <c r="J4" i="16" s="1"/>
  <c r="K4" i="16" s="1"/>
  <c r="L4" i="16" s="1"/>
  <c r="M4" i="16" s="1"/>
  <c r="N4" i="16" s="1"/>
  <c r="O4" i="16" s="1"/>
  <c r="P4" i="16" s="1"/>
  <c r="Q4" i="16" s="1"/>
  <c r="R4" i="16" s="1"/>
  <c r="S4" i="16" s="1"/>
  <c r="T4" i="16" s="1"/>
  <c r="U4" i="16" s="1"/>
  <c r="V4" i="16" s="1"/>
  <c r="W4" i="16" s="1"/>
  <c r="X4" i="16" s="1"/>
  <c r="Y4" i="16" s="1"/>
  <c r="Z4" i="16" s="1"/>
  <c r="AA4" i="16" s="1"/>
  <c r="AB4" i="16" s="1"/>
  <c r="AC4" i="16" s="1"/>
  <c r="AD4" i="16" s="1"/>
  <c r="AE4" i="16" s="1"/>
  <c r="AF4" i="16" s="1"/>
  <c r="AC13" i="16" l="1"/>
  <c r="AM36" i="19"/>
  <c r="AO12" i="19"/>
  <c r="AN33" i="19"/>
  <c r="AO13" i="19"/>
  <c r="AN34" i="19"/>
  <c r="AP10" i="19"/>
  <c r="AO31" i="19"/>
  <c r="AP9" i="19"/>
  <c r="AO30" i="19"/>
  <c r="AR26" i="19"/>
  <c r="AQ25" i="19"/>
  <c r="U5" i="16" s="1"/>
  <c r="AE40" i="16"/>
  <c r="AD40" i="16"/>
  <c r="AB40" i="16"/>
  <c r="L40" i="16"/>
  <c r="T39" i="16"/>
  <c r="AA40" i="16"/>
  <c r="K40" i="16"/>
  <c r="S39" i="16"/>
  <c r="Y40" i="16"/>
  <c r="V40" i="16"/>
  <c r="U40" i="16"/>
  <c r="T40" i="16"/>
  <c r="Z40" i="16"/>
  <c r="J40" i="16"/>
  <c r="R39" i="16"/>
  <c r="I40" i="16"/>
  <c r="Q39" i="16"/>
  <c r="AD39" i="16"/>
  <c r="AC39" i="16"/>
  <c r="X40" i="16"/>
  <c r="H40" i="16"/>
  <c r="P39" i="16"/>
  <c r="W40" i="16"/>
  <c r="AE39" i="16"/>
  <c r="O39" i="16"/>
  <c r="N39" i="16"/>
  <c r="M39" i="16"/>
  <c r="AB39" i="16"/>
  <c r="G39" i="16"/>
  <c r="AC40" i="16"/>
  <c r="L39" i="16"/>
  <c r="U39" i="16"/>
  <c r="S40" i="16"/>
  <c r="AA39" i="16"/>
  <c r="K39" i="16"/>
  <c r="R40" i="16"/>
  <c r="Q40" i="16"/>
  <c r="I39" i="16"/>
  <c r="X39" i="16"/>
  <c r="O40" i="16"/>
  <c r="G40" i="16"/>
  <c r="N40" i="16"/>
  <c r="M40" i="16"/>
  <c r="Z39" i="16"/>
  <c r="J39" i="16"/>
  <c r="Y39" i="16"/>
  <c r="P40" i="16"/>
  <c r="H39" i="16"/>
  <c r="W39" i="16"/>
  <c r="V39" i="16"/>
  <c r="J38" i="16"/>
  <c r="AC38" i="16"/>
  <c r="K38" i="16"/>
  <c r="U38" i="16"/>
  <c r="AD38" i="16"/>
  <c r="M38" i="16"/>
  <c r="V38" i="16"/>
  <c r="AE38" i="16"/>
  <c r="N38" i="16"/>
  <c r="W38" i="16"/>
  <c r="AF38" i="16"/>
  <c r="X38" i="16"/>
  <c r="G38" i="16"/>
  <c r="P38" i="16"/>
  <c r="Y38" i="16"/>
  <c r="H38" i="16"/>
  <c r="Q38" i="16"/>
  <c r="Z38" i="16"/>
  <c r="S38" i="16"/>
  <c r="O38" i="16"/>
  <c r="I38" i="16"/>
  <c r="R38" i="16"/>
  <c r="AA38" i="16"/>
  <c r="G8" i="16"/>
  <c r="F8" i="16"/>
  <c r="F14" i="16" s="1"/>
  <c r="F16" i="16" s="1"/>
  <c r="E8" i="16"/>
  <c r="D8" i="16"/>
  <c r="D11" i="16" s="1"/>
  <c r="L38" i="16"/>
  <c r="T38" i="16"/>
  <c r="AB38" i="16"/>
  <c r="D14" i="16" l="1"/>
  <c r="D16" i="16" s="1"/>
  <c r="E14" i="16"/>
  <c r="E16" i="16" s="1"/>
  <c r="E21" i="16" s="1"/>
  <c r="E32" i="16" s="1"/>
  <c r="E34" i="16" s="1"/>
  <c r="G14" i="16"/>
  <c r="G16" i="16" s="1"/>
  <c r="G11" i="16"/>
  <c r="AD13" i="16"/>
  <c r="D21" i="16"/>
  <c r="D32" i="16" s="1"/>
  <c r="D34" i="16" s="1"/>
  <c r="AN36" i="19"/>
  <c r="AP13" i="19"/>
  <c r="AO34" i="19"/>
  <c r="AP12" i="19"/>
  <c r="AO33" i="19"/>
  <c r="AQ9" i="19"/>
  <c r="AP30" i="19"/>
  <c r="AQ10" i="19"/>
  <c r="AP31" i="19"/>
  <c r="AS26" i="19"/>
  <c r="AR25" i="19"/>
  <c r="V5" i="16" s="1"/>
  <c r="H20" i="16"/>
  <c r="F21" i="16"/>
  <c r="F32" i="16" s="1"/>
  <c r="F34" i="16" s="1"/>
  <c r="F11" i="16"/>
  <c r="E11" i="16"/>
  <c r="G24" i="16"/>
  <c r="I9" i="16" a="1"/>
  <c r="H19" i="16"/>
  <c r="H24" i="16" l="1"/>
  <c r="I9" i="16"/>
  <c r="AO36" i="19"/>
  <c r="AQ12" i="19"/>
  <c r="AP33" i="19"/>
  <c r="AQ13" i="19"/>
  <c r="AP34" i="19"/>
  <c r="AR10" i="19"/>
  <c r="AQ31" i="19"/>
  <c r="AR9" i="19"/>
  <c r="AQ30" i="19"/>
  <c r="AT26" i="19"/>
  <c r="AS25" i="19"/>
  <c r="W5" i="16" s="1"/>
  <c r="I20" i="16"/>
  <c r="G21" i="16"/>
  <c r="G32" i="16" s="1"/>
  <c r="H37" i="16"/>
  <c r="I10" i="16"/>
  <c r="I19" i="16" s="1"/>
  <c r="I22" i="16"/>
  <c r="I8" i="16"/>
  <c r="AE8" i="16" l="1"/>
  <c r="AE13" i="16"/>
  <c r="H26" i="16"/>
  <c r="I24" i="16"/>
  <c r="J9" i="16" a="1"/>
  <c r="J9" i="16" s="1"/>
  <c r="AP36" i="19"/>
  <c r="AR13" i="19"/>
  <c r="AQ34" i="19"/>
  <c r="AR12" i="19"/>
  <c r="AQ33" i="19"/>
  <c r="AQ36" i="19" s="1"/>
  <c r="AS9" i="19"/>
  <c r="AR30" i="19"/>
  <c r="AS10" i="19"/>
  <c r="AR31" i="19"/>
  <c r="AU26" i="19"/>
  <c r="AT25" i="19"/>
  <c r="X5" i="16" s="1"/>
  <c r="J20" i="16"/>
  <c r="G33" i="16"/>
  <c r="J10" i="16"/>
  <c r="J19" i="16" s="1"/>
  <c r="J22" i="16"/>
  <c r="J24" i="16" s="1"/>
  <c r="J8" i="16"/>
  <c r="I11" i="16"/>
  <c r="I37" i="16" s="1"/>
  <c r="I26" i="16" s="1"/>
  <c r="AF8" i="16" l="1"/>
  <c r="AF13" i="16"/>
  <c r="K9" i="16" a="1"/>
  <c r="K9" i="16" s="1"/>
  <c r="AS12" i="19"/>
  <c r="AR33" i="19"/>
  <c r="AS13" i="19"/>
  <c r="AR34" i="19"/>
  <c r="AT10" i="19"/>
  <c r="AS31" i="19"/>
  <c r="AT9" i="19"/>
  <c r="AS30" i="19"/>
  <c r="AV26" i="19"/>
  <c r="AU25" i="19"/>
  <c r="Y5" i="16" s="1"/>
  <c r="K20" i="16"/>
  <c r="G30" i="16"/>
  <c r="G34" i="16"/>
  <c r="J11" i="16"/>
  <c r="J37" i="16" s="1"/>
  <c r="J26" i="16" s="1"/>
  <c r="K22" i="16"/>
  <c r="K10" i="16"/>
  <c r="K19" i="16" s="1"/>
  <c r="K8" i="16"/>
  <c r="H18" i="16" l="1"/>
  <c r="H21" i="16" s="1"/>
  <c r="H27" i="16" s="1"/>
  <c r="L9" i="16" a="1"/>
  <c r="L9" i="16" s="1"/>
  <c r="AR36" i="19"/>
  <c r="AT13" i="19"/>
  <c r="AS34" i="19"/>
  <c r="AT12" i="19"/>
  <c r="AS33" i="19"/>
  <c r="AU9" i="19"/>
  <c r="AT30" i="19"/>
  <c r="AU10" i="19"/>
  <c r="AT31" i="19"/>
  <c r="AW26" i="19"/>
  <c r="AV25" i="19"/>
  <c r="Z5" i="16" s="1"/>
  <c r="L20" i="16"/>
  <c r="L22" i="16"/>
  <c r="L10" i="16"/>
  <c r="L19" i="16" s="1"/>
  <c r="L8" i="16"/>
  <c r="K11" i="16"/>
  <c r="K37" i="16" s="1"/>
  <c r="K26" i="16" s="1"/>
  <c r="K24" i="16"/>
  <c r="L24" i="16" l="1"/>
  <c r="AS36" i="19"/>
  <c r="M9" i="16" a="1"/>
  <c r="M9" i="16" s="1"/>
  <c r="AU12" i="19"/>
  <c r="AT33" i="19"/>
  <c r="AU13" i="19"/>
  <c r="AT34" i="19"/>
  <c r="AV10" i="19"/>
  <c r="AU31" i="19"/>
  <c r="AV9" i="19"/>
  <c r="AU30" i="19"/>
  <c r="AX26" i="19"/>
  <c r="AW25" i="19"/>
  <c r="AA5" i="16" s="1"/>
  <c r="M20" i="16"/>
  <c r="L11" i="16"/>
  <c r="L37" i="16" s="1"/>
  <c r="L26" i="16" s="1"/>
  <c r="M22" i="16"/>
  <c r="M10" i="16"/>
  <c r="M19" i="16" s="1"/>
  <c r="M8" i="16"/>
  <c r="N9" i="16" l="1" a="1"/>
  <c r="N9" i="16" s="1"/>
  <c r="AT36" i="19"/>
  <c r="AV13" i="19"/>
  <c r="AU34" i="19"/>
  <c r="AV12" i="19"/>
  <c r="AU33" i="19"/>
  <c r="AW9" i="19"/>
  <c r="AV30" i="19"/>
  <c r="AW10" i="19"/>
  <c r="AV31" i="19"/>
  <c r="AY26" i="19"/>
  <c r="AX25" i="19"/>
  <c r="AB5" i="16" s="1"/>
  <c r="N20" i="16"/>
  <c r="M24" i="16"/>
  <c r="M11" i="16"/>
  <c r="M37" i="16" s="1"/>
  <c r="N22" i="16"/>
  <c r="N10" i="16"/>
  <c r="N19" i="16" s="1"/>
  <c r="N8" i="16"/>
  <c r="H33" i="16"/>
  <c r="N24" i="16" l="1"/>
  <c r="M26" i="16"/>
  <c r="O9" i="16" a="1"/>
  <c r="O9" i="16" s="1"/>
  <c r="AU36" i="19"/>
  <c r="AW12" i="19"/>
  <c r="AV33" i="19"/>
  <c r="AW13" i="19"/>
  <c r="AV34" i="19"/>
  <c r="AX10" i="19"/>
  <c r="AW31" i="19"/>
  <c r="AX9" i="19"/>
  <c r="AW30" i="19"/>
  <c r="AZ26" i="19"/>
  <c r="AY25" i="19"/>
  <c r="AC5" i="16" s="1"/>
  <c r="O20" i="16"/>
  <c r="H16" i="16"/>
  <c r="H42" i="16" s="1"/>
  <c r="N11" i="16"/>
  <c r="N37" i="16" s="1"/>
  <c r="H32" i="16"/>
  <c r="H34" i="16" s="1"/>
  <c r="H36" i="16" s="1"/>
  <c r="I12" i="16" s="1"/>
  <c r="I14" i="16" s="1"/>
  <c r="O22" i="16"/>
  <c r="O24" i="16" s="1"/>
  <c r="O10" i="16"/>
  <c r="O19" i="16" s="1"/>
  <c r="O8" i="16"/>
  <c r="N26" i="16" l="1"/>
  <c r="P9" i="16" a="1"/>
  <c r="P9" i="16" s="1"/>
  <c r="AV36" i="19"/>
  <c r="AX13" i="19"/>
  <c r="AW34" i="19"/>
  <c r="AX12" i="19"/>
  <c r="AW33" i="19"/>
  <c r="AY9" i="19"/>
  <c r="AX30" i="19"/>
  <c r="AY10" i="19"/>
  <c r="AX31" i="19"/>
  <c r="BA26" i="19"/>
  <c r="AZ25" i="19"/>
  <c r="AD5" i="16" s="1"/>
  <c r="P20" i="16"/>
  <c r="H30" i="16"/>
  <c r="P10" i="16"/>
  <c r="P19" i="16" s="1"/>
  <c r="P22" i="16"/>
  <c r="P24" i="16" s="1"/>
  <c r="P8" i="16"/>
  <c r="O11" i="16"/>
  <c r="O37" i="16" l="1"/>
  <c r="O26" i="16" s="1"/>
  <c r="Q9" i="16" a="1"/>
  <c r="Q9" i="16" s="1"/>
  <c r="AW36" i="19"/>
  <c r="AY12" i="19"/>
  <c r="AX33" i="19"/>
  <c r="AY13" i="19"/>
  <c r="AX34" i="19"/>
  <c r="AZ10" i="19"/>
  <c r="AY31" i="19"/>
  <c r="AZ9" i="19"/>
  <c r="AY30" i="19"/>
  <c r="BB26" i="19"/>
  <c r="BB25" i="19" s="1"/>
  <c r="BA25" i="19"/>
  <c r="AE5" i="16" s="1"/>
  <c r="Q20" i="16"/>
  <c r="P11" i="16"/>
  <c r="Q10" i="16"/>
  <c r="Q19" i="16" s="1"/>
  <c r="Q22" i="16"/>
  <c r="Q24" i="16" s="1"/>
  <c r="Q8" i="16"/>
  <c r="P37" i="16" l="1"/>
  <c r="P26" i="16" s="1"/>
  <c r="R9" i="16" a="1"/>
  <c r="R9" i="16" s="1"/>
  <c r="AX36" i="19"/>
  <c r="AZ13" i="19"/>
  <c r="AY34" i="19"/>
  <c r="AZ12" i="19"/>
  <c r="AY33" i="19"/>
  <c r="AY36" i="19" s="1"/>
  <c r="BA9" i="19"/>
  <c r="AZ30" i="19"/>
  <c r="BA10" i="19"/>
  <c r="AZ31" i="19"/>
  <c r="R20" i="16"/>
  <c r="Q11" i="16"/>
  <c r="R22" i="16"/>
  <c r="R24" i="16" s="1"/>
  <c r="R10" i="16"/>
  <c r="R19" i="16" s="1"/>
  <c r="R8" i="16"/>
  <c r="Q37" i="16" l="1"/>
  <c r="Q26" i="16" s="1"/>
  <c r="S9" i="16" a="1"/>
  <c r="S9" i="16" s="1"/>
  <c r="BA12" i="19"/>
  <c r="AZ33" i="19"/>
  <c r="BA13" i="19"/>
  <c r="AZ34" i="19"/>
  <c r="BB10" i="19"/>
  <c r="BB31" i="19" s="1"/>
  <c r="BA31" i="19"/>
  <c r="BB9" i="19"/>
  <c r="BB30" i="19" s="1"/>
  <c r="BA30" i="19"/>
  <c r="S20" i="16"/>
  <c r="I15" i="16"/>
  <c r="I18" i="16" s="1"/>
  <c r="I21" i="16" s="1"/>
  <c r="S22" i="16"/>
  <c r="S24" i="16" s="1"/>
  <c r="S10" i="16"/>
  <c r="S19" i="16" s="1"/>
  <c r="S8" i="16"/>
  <c r="R11" i="16"/>
  <c r="R37" i="16" l="1"/>
  <c r="R26" i="16" s="1"/>
  <c r="T9" i="16" a="1"/>
  <c r="T9" i="16" s="1"/>
  <c r="I32" i="16"/>
  <c r="AZ36" i="19"/>
  <c r="BB13" i="19"/>
  <c r="BB34" i="19" s="1"/>
  <c r="BA34" i="19"/>
  <c r="BB12" i="19"/>
  <c r="BB33" i="19" s="1"/>
  <c r="BB36" i="19" s="1"/>
  <c r="BA33" i="19"/>
  <c r="BA36" i="19" s="1"/>
  <c r="T20" i="16"/>
  <c r="I16" i="16"/>
  <c r="T22" i="16"/>
  <c r="T24" i="16" s="1"/>
  <c r="T10" i="16"/>
  <c r="T19" i="16" s="1"/>
  <c r="T8" i="16"/>
  <c r="S11" i="16"/>
  <c r="I42" i="16" l="1"/>
  <c r="I28" i="16"/>
  <c r="I27" i="16" s="1"/>
  <c r="I30" i="16" s="1"/>
  <c r="S37" i="16"/>
  <c r="S26" i="16" s="1"/>
  <c r="U9" i="16" a="1"/>
  <c r="U9" i="16" s="1"/>
  <c r="U20" i="16"/>
  <c r="U22" i="16"/>
  <c r="U24" i="16" s="1"/>
  <c r="U10" i="16"/>
  <c r="U19" i="16" s="1"/>
  <c r="U8" i="16"/>
  <c r="T11" i="16"/>
  <c r="I33" i="16" l="1"/>
  <c r="T37" i="16"/>
  <c r="T26" i="16" s="1"/>
  <c r="V9" i="16" a="1"/>
  <c r="V9" i="16" s="1"/>
  <c r="V20" i="16"/>
  <c r="U11" i="16"/>
  <c r="U37" i="16" s="1"/>
  <c r="U26" i="16" s="1"/>
  <c r="V22" i="16"/>
  <c r="V24" i="16" s="1"/>
  <c r="V10" i="16"/>
  <c r="V19" i="16" s="1"/>
  <c r="V8" i="16"/>
  <c r="I34" i="16"/>
  <c r="I36" i="16" s="1"/>
  <c r="J12" i="16" s="1"/>
  <c r="J14" i="16" s="1"/>
  <c r="W9" i="16" l="1" a="1"/>
  <c r="W9" i="16" s="1"/>
  <c r="W20" i="16"/>
  <c r="W22" i="16"/>
  <c r="W24" i="16" s="1"/>
  <c r="W10" i="16"/>
  <c r="W19" i="16" s="1"/>
  <c r="W8" i="16"/>
  <c r="V11" i="16"/>
  <c r="V37" i="16" s="1"/>
  <c r="V26" i="16" s="1"/>
  <c r="X9" i="16" l="1" a="1"/>
  <c r="X9" i="16" s="1"/>
  <c r="X20" i="16"/>
  <c r="X10" i="16"/>
  <c r="X19" i="16" s="1"/>
  <c r="X22" i="16"/>
  <c r="X24" i="16" s="1"/>
  <c r="X8" i="16"/>
  <c r="W11" i="16"/>
  <c r="W37" i="16" s="1"/>
  <c r="W26" i="16" s="1"/>
  <c r="Y9" i="16" l="1" a="1"/>
  <c r="Y9" i="16" s="1"/>
  <c r="Y20" i="16"/>
  <c r="X11" i="16"/>
  <c r="X37" i="16" s="1"/>
  <c r="X26" i="16" s="1"/>
  <c r="Y10" i="16"/>
  <c r="Y19" i="16" s="1"/>
  <c r="Y22" i="16"/>
  <c r="Y24" i="16" s="1"/>
  <c r="Y8" i="16"/>
  <c r="J15" i="16"/>
  <c r="J18" i="16" s="1"/>
  <c r="J21" i="16" s="1"/>
  <c r="Z9" i="16" l="1" a="1"/>
  <c r="Z9" i="16" s="1"/>
  <c r="Z20" i="16"/>
  <c r="J16" i="16"/>
  <c r="J32" i="16"/>
  <c r="Y11" i="16"/>
  <c r="Y37" i="16" s="1"/>
  <c r="Y26" i="16" s="1"/>
  <c r="Z22" i="16"/>
  <c r="Z24" i="16" s="1"/>
  <c r="Z10" i="16"/>
  <c r="Z19" i="16" s="1"/>
  <c r="Z8" i="16"/>
  <c r="J42" i="16" l="1"/>
  <c r="J28" i="16"/>
  <c r="J27" i="16" s="1"/>
  <c r="J33" i="16" s="1"/>
  <c r="AA9" i="16" a="1"/>
  <c r="AA9" i="16" s="1"/>
  <c r="AA20" i="16"/>
  <c r="AA22" i="16"/>
  <c r="AA24" i="16" s="1"/>
  <c r="AA10" i="16"/>
  <c r="AA19" i="16" s="1"/>
  <c r="AA8" i="16"/>
  <c r="Z11" i="16"/>
  <c r="Z37" i="16" s="1"/>
  <c r="Z26" i="16" s="1"/>
  <c r="J30" i="16" l="1"/>
  <c r="AB9" i="16" a="1"/>
  <c r="AB9" i="16" s="1"/>
  <c r="AB20" i="16"/>
  <c r="J34" i="16"/>
  <c r="J36" i="16" s="1"/>
  <c r="K12" i="16" s="1"/>
  <c r="K14" i="16" s="1"/>
  <c r="AA11" i="16"/>
  <c r="AA37" i="16" s="1"/>
  <c r="AA26" i="16" s="1"/>
  <c r="AB22" i="16"/>
  <c r="AB24" i="16" s="1"/>
  <c r="AB10" i="16"/>
  <c r="AB19" i="16" s="1"/>
  <c r="AB8" i="16"/>
  <c r="AC9" i="16" l="1" a="1"/>
  <c r="AC9" i="16" s="1"/>
  <c r="AC20" i="16"/>
  <c r="AC22" i="16"/>
  <c r="AC24" i="16" s="1"/>
  <c r="AC10" i="16"/>
  <c r="AC19" i="16" s="1"/>
  <c r="AC8" i="16"/>
  <c r="AB11" i="16"/>
  <c r="AB37" i="16" s="1"/>
  <c r="AB26" i="16" s="1"/>
  <c r="AD9" i="16" l="1" a="1"/>
  <c r="AD9" i="16" s="1"/>
  <c r="AD20" i="16"/>
  <c r="AC11" i="16"/>
  <c r="AC37" i="16" s="1"/>
  <c r="AC26" i="16" s="1"/>
  <c r="AD22" i="16"/>
  <c r="AD24" i="16" s="1"/>
  <c r="AD10" i="16"/>
  <c r="AD19" i="16" s="1"/>
  <c r="AD8" i="16"/>
  <c r="K15" i="16"/>
  <c r="K18" i="16" s="1"/>
  <c r="K21" i="16" s="1"/>
  <c r="AE9" i="16" l="1" a="1"/>
  <c r="AE9" i="16" s="1"/>
  <c r="AE20" i="16"/>
  <c r="AE22" i="16"/>
  <c r="AE24" i="16" s="1"/>
  <c r="AE10" i="16"/>
  <c r="AE19" i="16" s="1"/>
  <c r="K32" i="16"/>
  <c r="K16" i="16"/>
  <c r="K28" i="16" s="1"/>
  <c r="K27" i="16" s="1"/>
  <c r="AD11" i="16"/>
  <c r="AD37" i="16" s="1"/>
  <c r="AD26" i="16" s="1"/>
  <c r="AF9" i="16" l="1" a="1"/>
  <c r="AF9" i="16" s="1"/>
  <c r="AF20" i="16"/>
  <c r="K33" i="16"/>
  <c r="K30" i="16"/>
  <c r="AF10" i="16"/>
  <c r="AF19" i="16" s="1"/>
  <c r="AF22" i="16"/>
  <c r="AE11" i="16"/>
  <c r="AE37" i="16" s="1"/>
  <c r="AE26" i="16" s="1"/>
  <c r="G50" i="16" l="1"/>
  <c r="AF11" i="16"/>
  <c r="AF37" i="16" s="1"/>
  <c r="AF26" i="16" s="1"/>
  <c r="AF24" i="16"/>
  <c r="K34" i="16"/>
  <c r="K36" i="16" s="1"/>
  <c r="L12" i="16" s="1"/>
  <c r="L14" i="16" s="1"/>
  <c r="L15" i="16" l="1"/>
  <c r="L18" i="16" s="1"/>
  <c r="L21" i="16" s="1"/>
  <c r="L32" i="16" l="1"/>
  <c r="L16" i="16"/>
  <c r="L28" i="16" s="1"/>
  <c r="L27" i="16" s="1"/>
  <c r="L33" i="16" l="1"/>
  <c r="L30" i="16"/>
  <c r="L34" i="16" l="1"/>
  <c r="L36" i="16" s="1"/>
  <c r="M12" i="16" s="1"/>
  <c r="M14" i="16" s="1"/>
  <c r="M15" i="16" l="1"/>
  <c r="M18" i="16" s="1"/>
  <c r="M21" i="16" s="1"/>
  <c r="M32" i="16" l="1"/>
  <c r="M16" i="16"/>
  <c r="M28" i="16" s="1"/>
  <c r="M27" i="16" s="1"/>
  <c r="M33" i="16" l="1"/>
  <c r="M30" i="16"/>
  <c r="M34" i="16" l="1"/>
  <c r="M36" i="16" s="1"/>
  <c r="N12" i="16" s="1"/>
  <c r="N14" i="16" s="1"/>
  <c r="N15" i="16" l="1"/>
  <c r="N18" i="16" s="1"/>
  <c r="N21" i="16" s="1"/>
  <c r="N16" i="16" l="1"/>
  <c r="N28" i="16" s="1"/>
  <c r="N27" i="16" s="1"/>
  <c r="N32" i="16"/>
  <c r="N33" i="16" l="1"/>
  <c r="N30" i="16"/>
  <c r="N34" i="16" l="1"/>
  <c r="N36" i="16" s="1"/>
  <c r="O12" i="16" s="1"/>
  <c r="O14" i="16" s="1"/>
  <c r="O15" i="16" l="1"/>
  <c r="O18" i="16" s="1"/>
  <c r="O21" i="16" s="1"/>
  <c r="O16" i="16" l="1"/>
  <c r="O28" i="16" s="1"/>
  <c r="O27" i="16" s="1"/>
  <c r="O32" i="16"/>
  <c r="O33" i="16" l="1"/>
  <c r="O30" i="16"/>
  <c r="O34" i="16" l="1"/>
  <c r="O36" i="16" s="1"/>
  <c r="P12" i="16" s="1"/>
  <c r="P14" i="16" s="1"/>
  <c r="P15" i="16" l="1"/>
  <c r="P18" i="16" s="1"/>
  <c r="P21" i="16" s="1"/>
  <c r="P16" i="16" l="1"/>
  <c r="P28" i="16" s="1"/>
  <c r="P27" i="16" s="1"/>
  <c r="P32" i="16"/>
  <c r="P33" i="16" l="1"/>
  <c r="P30" i="16"/>
  <c r="P34" i="16" l="1"/>
  <c r="P36" i="16" s="1"/>
  <c r="Q12" i="16" s="1"/>
  <c r="Q14" i="16" s="1"/>
  <c r="Q15" i="16" l="1"/>
  <c r="Q18" i="16" s="1"/>
  <c r="Q21" i="16" s="1"/>
  <c r="Q16" i="16" l="1"/>
  <c r="Q28" i="16" s="1"/>
  <c r="Q27" i="16" s="1"/>
  <c r="Q32" i="16"/>
  <c r="Q33" i="16" l="1"/>
  <c r="Q30" i="16"/>
  <c r="Q34" i="16" l="1"/>
  <c r="Q36" i="16" s="1"/>
  <c r="R12" i="16" s="1"/>
  <c r="R14" i="16" s="1"/>
  <c r="R15" i="16" l="1"/>
  <c r="R18" i="16" s="1"/>
  <c r="R21" i="16" s="1"/>
  <c r="R16" i="16" l="1"/>
  <c r="R28" i="16" s="1"/>
  <c r="R27" i="16" s="1"/>
  <c r="R32" i="16"/>
  <c r="R33" i="16" l="1"/>
  <c r="R30" i="16"/>
  <c r="R34" i="16" l="1"/>
  <c r="R36" i="16" s="1"/>
  <c r="S12" i="16" s="1"/>
  <c r="S14" i="16" s="1"/>
  <c r="S15" i="16" l="1"/>
  <c r="S18" i="16" s="1"/>
  <c r="S21" i="16" s="1"/>
  <c r="S32" i="16" l="1"/>
  <c r="S16" i="16"/>
  <c r="S28" i="16" s="1"/>
  <c r="S27" i="16" s="1"/>
  <c r="S33" i="16" l="1"/>
  <c r="S30" i="16"/>
  <c r="S34" i="16" l="1"/>
  <c r="S36" i="16" s="1"/>
  <c r="T12" i="16" s="1"/>
  <c r="T14" i="16" s="1"/>
  <c r="T15" i="16" l="1"/>
  <c r="T18" i="16" s="1"/>
  <c r="T21" i="16" s="1"/>
  <c r="T32" i="16" l="1"/>
  <c r="T16" i="16"/>
  <c r="T28" i="16" s="1"/>
  <c r="T27" i="16" s="1"/>
  <c r="T33" i="16" l="1"/>
  <c r="T30" i="16"/>
  <c r="T34" i="16" l="1"/>
  <c r="T36" i="16" s="1"/>
  <c r="U12" i="16" s="1"/>
  <c r="U14" i="16" s="1"/>
  <c r="U15" i="16" l="1"/>
  <c r="U18" i="16" s="1"/>
  <c r="U21" i="16" s="1"/>
  <c r="U32" i="16" l="1"/>
  <c r="U16" i="16"/>
  <c r="U28" i="16" s="1"/>
  <c r="U27" i="16" s="1"/>
  <c r="U33" i="16" l="1"/>
  <c r="U30" i="16"/>
  <c r="U34" i="16" l="1"/>
  <c r="U36" i="16" s="1"/>
  <c r="V12" i="16" s="1"/>
  <c r="V14" i="16" s="1"/>
  <c r="V15" i="16" l="1"/>
  <c r="V18" i="16" s="1"/>
  <c r="V21" i="16" s="1"/>
  <c r="V16" i="16" l="1"/>
  <c r="V28" i="16" s="1"/>
  <c r="V27" i="16" s="1"/>
  <c r="V32" i="16"/>
  <c r="V33" i="16" l="1"/>
  <c r="V30" i="16"/>
  <c r="V34" i="16" l="1"/>
  <c r="V36" i="16" s="1"/>
  <c r="W12" i="16" s="1"/>
  <c r="W14" i="16" s="1"/>
  <c r="W15" i="16" l="1"/>
  <c r="W18" i="16" s="1"/>
  <c r="W21" i="16" s="1"/>
  <c r="W16" i="16" l="1"/>
  <c r="W28" i="16" s="1"/>
  <c r="W27" i="16" s="1"/>
  <c r="W32" i="16"/>
  <c r="W33" i="16" l="1"/>
  <c r="W30" i="16"/>
  <c r="W34" i="16" l="1"/>
  <c r="W36" i="16" s="1"/>
  <c r="X12" i="16" s="1"/>
  <c r="X14" i="16" s="1"/>
  <c r="X15" i="16" l="1"/>
  <c r="X18" i="16" s="1"/>
  <c r="X21" i="16" s="1"/>
  <c r="X16" i="16" l="1"/>
  <c r="X28" i="16" s="1"/>
  <c r="X27" i="16" s="1"/>
  <c r="X32" i="16"/>
  <c r="X33" i="16" l="1"/>
  <c r="X30" i="16"/>
  <c r="X34" i="16" l="1"/>
  <c r="X36" i="16" s="1"/>
  <c r="Y12" i="16" s="1"/>
  <c r="Y14" i="16" s="1"/>
  <c r="Y15" i="16" l="1"/>
  <c r="Y18" i="16" s="1"/>
  <c r="Y21" i="16" s="1"/>
  <c r="Y16" i="16" l="1"/>
  <c r="Y28" i="16" s="1"/>
  <c r="Y27" i="16" s="1"/>
  <c r="Y32" i="16"/>
  <c r="Y33" i="16" l="1"/>
  <c r="Y30" i="16"/>
  <c r="Y34" i="16" l="1"/>
  <c r="Y36" i="16" s="1"/>
  <c r="Z12" i="16" s="1"/>
  <c r="Z14" i="16" s="1"/>
  <c r="Z15" i="16" l="1"/>
  <c r="Z18" i="16" s="1"/>
  <c r="Z21" i="16" s="1"/>
  <c r="Z16" i="16" l="1"/>
  <c r="Z28" i="16" s="1"/>
  <c r="Z27" i="16" s="1"/>
  <c r="Z32" i="16"/>
  <c r="Z33" i="16" l="1"/>
  <c r="Z30" i="16"/>
  <c r="Z34" i="16" l="1"/>
  <c r="Z36" i="16" s="1"/>
  <c r="AA12" i="16" s="1"/>
  <c r="AA14" i="16" s="1"/>
  <c r="AA15" i="16" l="1"/>
  <c r="AA18" i="16" s="1"/>
  <c r="AA21" i="16" s="1"/>
  <c r="AA32" i="16" l="1"/>
  <c r="AA16" i="16"/>
  <c r="AA28" i="16" s="1"/>
  <c r="AA27" i="16" s="1"/>
  <c r="AA33" i="16" l="1"/>
  <c r="AA30" i="16"/>
  <c r="AA34" i="16" l="1"/>
  <c r="AA36" i="16" s="1"/>
  <c r="AB12" i="16" s="1"/>
  <c r="AB14" i="16" s="1"/>
  <c r="AB15" i="16" l="1"/>
  <c r="AB18" i="16" s="1"/>
  <c r="AB21" i="16" s="1"/>
  <c r="AB16" i="16" l="1"/>
  <c r="AB28" i="16" s="1"/>
  <c r="AB27" i="16" s="1"/>
  <c r="AB32" i="16"/>
  <c r="AB33" i="16" l="1"/>
  <c r="AB30" i="16"/>
  <c r="AB34" i="16" l="1"/>
  <c r="AB36" i="16" s="1"/>
  <c r="AC12" i="16" s="1"/>
  <c r="AC14" i="16" s="1"/>
  <c r="AC15" i="16" l="1"/>
  <c r="AC18" i="16" s="1"/>
  <c r="AC21" i="16" s="1"/>
  <c r="AC16" i="16" l="1"/>
  <c r="AC28" i="16" s="1"/>
  <c r="AC27" i="16" s="1"/>
  <c r="AC32" i="16"/>
  <c r="AC33" i="16" l="1"/>
  <c r="AC30" i="16"/>
  <c r="AC34" i="16" l="1"/>
  <c r="AC36" i="16" s="1"/>
  <c r="AD12" i="16" s="1"/>
  <c r="AD14" i="16" s="1"/>
  <c r="AD15" i="16" l="1"/>
  <c r="AD18" i="16" s="1"/>
  <c r="AD21" i="16" s="1"/>
  <c r="AD16" i="16" l="1"/>
  <c r="AD28" i="16" s="1"/>
  <c r="AD27" i="16" s="1"/>
  <c r="AD32" i="16"/>
  <c r="AD33" i="16" l="1"/>
  <c r="AD30" i="16"/>
  <c r="AD34" i="16" l="1"/>
  <c r="AD36" i="16" s="1"/>
  <c r="AE12" i="16" s="1"/>
  <c r="AE14" i="16" s="1"/>
  <c r="AE15" i="16" l="1"/>
  <c r="AE18" i="16" s="1"/>
  <c r="AE21" i="16" s="1"/>
  <c r="AE32" i="16" l="1"/>
  <c r="AE16" i="16"/>
  <c r="AE28" i="16" s="1"/>
  <c r="AE27" i="16" s="1"/>
  <c r="AE33" i="16" l="1"/>
  <c r="AE30" i="16"/>
  <c r="AE34" i="16" l="1"/>
  <c r="AE36" i="16" s="1"/>
  <c r="AF12" i="16" s="1"/>
  <c r="AF14" i="16" s="1"/>
  <c r="D62" i="16" l="1"/>
  <c r="AE61" i="16"/>
  <c r="AE62" i="16" s="1"/>
  <c r="AF15" i="16" l="1"/>
  <c r="AF18" i="16" s="1"/>
  <c r="AF21" i="16" s="1"/>
  <c r="AF16" i="16" l="1"/>
  <c r="AF28" i="16" s="1"/>
  <c r="AF27" i="16" s="1"/>
  <c r="AF32" i="16"/>
  <c r="D63" i="16" s="1"/>
  <c r="AF33" i="16" l="1"/>
  <c r="AF30" i="16"/>
  <c r="D64" i="16" l="1"/>
  <c r="D66" i="16" s="1"/>
  <c r="D65" i="16" s="1"/>
  <c r="AF34" i="16"/>
  <c r="AF36" i="16" s="1"/>
  <c r="E63" i="16" l="1"/>
  <c r="L21" i="1"/>
  <c r="H24" i="1" s="1"/>
  <c r="I44" i="16"/>
  <c r="H44" i="16"/>
  <c r="E62" i="16"/>
  <c r="L23" i="1" l="1"/>
  <c r="O36" i="1" l="1"/>
  <c r="N36" i="1"/>
  <c r="O37" i="1" l="1"/>
  <c r="D42" i="1"/>
  <c r="L40" i="1"/>
  <c r="K40" i="1"/>
  <c r="J13" i="1" l="1"/>
  <c r="B59" i="4"/>
  <c r="E61" i="4"/>
  <c r="D61" i="4"/>
  <c r="B43" i="4" l="1"/>
  <c r="C43" i="4"/>
  <c r="D42" i="4"/>
  <c r="E38" i="4" l="1"/>
  <c r="D38" i="4"/>
  <c r="C50" i="4" l="1"/>
  <c r="B50" i="4"/>
  <c r="C47" i="4"/>
  <c r="C40" i="4" l="1"/>
  <c r="B40" i="4"/>
  <c r="C38" i="4"/>
  <c r="B38" i="4"/>
  <c r="C37" i="4"/>
  <c r="B37" i="4"/>
  <c r="R35" i="1" l="1"/>
  <c r="Q35" i="1"/>
  <c r="O35" i="1"/>
  <c r="N35" i="1"/>
  <c r="C36" i="4" s="1"/>
  <c r="D43" i="4" l="1"/>
  <c r="E43" i="4" s="1"/>
  <c r="F43" i="4" s="1"/>
  <c r="G43" i="4" s="1"/>
  <c r="H43" i="4" s="1"/>
  <c r="I43" i="4" s="1"/>
  <c r="J43" i="4" s="1"/>
  <c r="K43" i="4" s="1"/>
  <c r="L43" i="4" s="1"/>
  <c r="M43" i="4" s="1"/>
  <c r="N43" i="4" s="1"/>
  <c r="O43" i="4" s="1"/>
  <c r="P43" i="4" s="1"/>
  <c r="Q43" i="4" s="1"/>
  <c r="R43" i="4" s="1"/>
  <c r="S43" i="4" s="1"/>
  <c r="T43" i="4" s="1"/>
  <c r="U43" i="4" s="1"/>
  <c r="V43" i="4" s="1"/>
  <c r="W43" i="4" s="1"/>
  <c r="X43" i="4" s="1"/>
  <c r="Y43" i="4" s="1"/>
  <c r="Z43" i="4" s="1"/>
  <c r="AA43" i="4" s="1"/>
  <c r="AB43" i="4" s="1"/>
  <c r="AC43" i="4" s="1"/>
  <c r="P35" i="1" l="1"/>
  <c r="L42" i="1" l="1"/>
  <c r="B47" i="4"/>
  <c r="S35" i="1"/>
  <c r="F15" i="1"/>
  <c r="D14" i="3"/>
  <c r="C14" i="3"/>
  <c r="D48" i="4" l="1"/>
  <c r="E42" i="4" s="1"/>
  <c r="E48" i="4" l="1"/>
  <c r="F42" i="4" s="1"/>
  <c r="O27" i="1"/>
  <c r="O29" i="1"/>
  <c r="O30" i="1"/>
  <c r="O31" i="1"/>
  <c r="O32" i="1"/>
  <c r="O33" i="1"/>
  <c r="O34" i="1"/>
  <c r="D40" i="1" l="1"/>
  <c r="F48" i="4"/>
  <c r="G42" i="4" s="1"/>
  <c r="G48" i="4" l="1"/>
  <c r="H42" i="4" s="1"/>
  <c r="H48" i="4" l="1"/>
  <c r="I42" i="4" s="1"/>
  <c r="B44" i="4"/>
  <c r="C44" i="4"/>
  <c r="I48" i="4" l="1"/>
  <c r="J42" i="4" s="1"/>
  <c r="E47" i="4"/>
  <c r="J6" i="3"/>
  <c r="H12" i="1" s="1"/>
  <c r="J4" i="3" l="1"/>
  <c r="H8" i="1" s="1"/>
  <c r="J5" i="3"/>
  <c r="H10" i="1" s="1"/>
  <c r="J48" i="4"/>
  <c r="K42" i="4" s="1"/>
  <c r="E13" i="1"/>
  <c r="K48" i="4" l="1"/>
  <c r="L42" i="4" s="1"/>
  <c r="F47" i="4"/>
  <c r="N29" i="1"/>
  <c r="N32" i="1"/>
  <c r="N33" i="1"/>
  <c r="L48" i="4" l="1"/>
  <c r="M42" i="4" s="1"/>
  <c r="G47" i="4"/>
  <c r="M48" i="4" l="1"/>
  <c r="N42" i="4" s="1"/>
  <c r="J8" i="3"/>
  <c r="J7" i="3"/>
  <c r="N48" i="4" l="1"/>
  <c r="O42" i="4" s="1"/>
  <c r="O48" i="4" l="1"/>
  <c r="P42" i="4" s="1"/>
  <c r="B41" i="4"/>
  <c r="P48" i="4" l="1"/>
  <c r="Q42" i="4" s="1"/>
  <c r="E40" i="4"/>
  <c r="F40" i="4" s="1"/>
  <c r="G40" i="4" s="1"/>
  <c r="H40" i="4" s="1"/>
  <c r="I40" i="4" s="1"/>
  <c r="J40" i="4" s="1"/>
  <c r="K40" i="4" s="1"/>
  <c r="L40" i="4" s="1"/>
  <c r="M40" i="4" s="1"/>
  <c r="N40" i="4" s="1"/>
  <c r="O40" i="4" s="1"/>
  <c r="P40" i="4" s="1"/>
  <c r="Q40" i="4" s="1"/>
  <c r="R40" i="4" s="1"/>
  <c r="S40" i="4" s="1"/>
  <c r="T40" i="4" s="1"/>
  <c r="U40" i="4" s="1"/>
  <c r="V40" i="4" s="1"/>
  <c r="W40" i="4" s="1"/>
  <c r="X40" i="4" s="1"/>
  <c r="Y40" i="4" s="1"/>
  <c r="Z40" i="4" s="1"/>
  <c r="AA40" i="4" s="1"/>
  <c r="AB40" i="4" s="1"/>
  <c r="AC40" i="4" s="1"/>
  <c r="C41" i="4"/>
  <c r="Q48" i="4" l="1"/>
  <c r="R42" i="4" s="1"/>
  <c r="B27" i="1"/>
  <c r="R48" i="4" l="1"/>
  <c r="S42" i="4" s="1"/>
  <c r="S48" i="4" l="1"/>
  <c r="T42" i="4" s="1"/>
  <c r="T48" i="4" l="1"/>
  <c r="U42" i="4" s="1"/>
  <c r="C49" i="4"/>
  <c r="U48" i="4" l="1"/>
  <c r="V42" i="4" s="1"/>
  <c r="V48" i="4" l="1"/>
  <c r="W42" i="4" s="1"/>
  <c r="N13" i="1"/>
  <c r="W48" i="4" l="1"/>
  <c r="X42" i="4" s="1"/>
  <c r="B49" i="4"/>
  <c r="X48" i="4" l="1"/>
  <c r="Y42" i="4" s="1"/>
  <c r="H47" i="4"/>
  <c r="E14" i="3"/>
  <c r="N27" i="1"/>
  <c r="E35" i="4"/>
  <c r="F35" i="4" s="1"/>
  <c r="G35" i="4" s="1"/>
  <c r="H35" i="4" s="1"/>
  <c r="I35" i="4" s="1"/>
  <c r="J35" i="4" s="1"/>
  <c r="K35" i="4" s="1"/>
  <c r="L35" i="4" s="1"/>
  <c r="M35" i="4" s="1"/>
  <c r="N35" i="4" s="1"/>
  <c r="O35" i="4" s="1"/>
  <c r="P35" i="4" s="1"/>
  <c r="Q35" i="4" s="1"/>
  <c r="R35" i="4" s="1"/>
  <c r="S35" i="4" s="1"/>
  <c r="T35" i="4" s="1"/>
  <c r="U35" i="4" s="1"/>
  <c r="V35" i="4" s="1"/>
  <c r="W35" i="4" s="1"/>
  <c r="X35" i="4" s="1"/>
  <c r="Y35" i="4" s="1"/>
  <c r="Z35" i="4" s="1"/>
  <c r="AA35" i="4" s="1"/>
  <c r="AB35" i="4" s="1"/>
  <c r="AC35" i="4" s="1"/>
  <c r="B46" i="4"/>
  <c r="C46" i="4"/>
  <c r="C53" i="4" s="1"/>
  <c r="D37" i="4"/>
  <c r="D3" i="3"/>
  <c r="F6" i="1"/>
  <c r="J14" i="1"/>
  <c r="J15" i="1"/>
  <c r="L12" i="1"/>
  <c r="B28" i="1"/>
  <c r="B29" i="1" s="1"/>
  <c r="B30" i="1" s="1"/>
  <c r="B31" i="1" s="1"/>
  <c r="B32" i="1" s="1"/>
  <c r="B33" i="1" s="1"/>
  <c r="B34" i="1" s="1"/>
  <c r="B35" i="1" s="1"/>
  <c r="B36" i="1" s="1"/>
  <c r="B37" i="1" s="1"/>
  <c r="P28" i="1"/>
  <c r="S28" i="1"/>
  <c r="N28" i="1"/>
  <c r="O28" i="1"/>
  <c r="Q28" i="1"/>
  <c r="R28" i="1"/>
  <c r="P29" i="1"/>
  <c r="Q29" i="1"/>
  <c r="R29" i="1"/>
  <c r="S29" i="1"/>
  <c r="N30" i="1"/>
  <c r="P30" i="1"/>
  <c r="Q30" i="1"/>
  <c r="R30" i="1"/>
  <c r="S30" i="1"/>
  <c r="S31" i="1"/>
  <c r="N31" i="1"/>
  <c r="P31" i="1"/>
  <c r="Q31" i="1"/>
  <c r="R31" i="1"/>
  <c r="Q32" i="1"/>
  <c r="R32" i="1"/>
  <c r="S32" i="1"/>
  <c r="Q33" i="1"/>
  <c r="R33" i="1"/>
  <c r="P34" i="1"/>
  <c r="N34" i="1"/>
  <c r="B36" i="4" s="1"/>
  <c r="Q34" i="1"/>
  <c r="R34" i="1"/>
  <c r="P32" i="1"/>
  <c r="P33" i="1"/>
  <c r="S34" i="1"/>
  <c r="S33" i="1"/>
  <c r="C40" i="1" l="1"/>
  <c r="L18" i="1"/>
  <c r="Y33" i="4"/>
  <c r="Q33" i="4"/>
  <c r="I33" i="4"/>
  <c r="Z32" i="4"/>
  <c r="R32" i="4"/>
  <c r="J32" i="4"/>
  <c r="AA31" i="4"/>
  <c r="S31" i="4"/>
  <c r="K31" i="4"/>
  <c r="X33" i="4"/>
  <c r="P33" i="4"/>
  <c r="H33" i="4"/>
  <c r="Y32" i="4"/>
  <c r="Q32" i="4"/>
  <c r="I32" i="4"/>
  <c r="Z31" i="4"/>
  <c r="R31" i="4"/>
  <c r="J31" i="4"/>
  <c r="Z33" i="4"/>
  <c r="AB31" i="4"/>
  <c r="W33" i="4"/>
  <c r="O33" i="4"/>
  <c r="G33" i="4"/>
  <c r="X32" i="4"/>
  <c r="P32" i="4"/>
  <c r="H32" i="4"/>
  <c r="Y31" i="4"/>
  <c r="Q31" i="4"/>
  <c r="I31" i="4"/>
  <c r="D69" i="4"/>
  <c r="V33" i="4"/>
  <c r="N33" i="4"/>
  <c r="F33" i="4"/>
  <c r="W32" i="4"/>
  <c r="O32" i="4"/>
  <c r="G32" i="4"/>
  <c r="X31" i="4"/>
  <c r="P31" i="4"/>
  <c r="H31" i="4"/>
  <c r="AC33" i="4"/>
  <c r="U33" i="4"/>
  <c r="M33" i="4"/>
  <c r="E33" i="4"/>
  <c r="V32" i="4"/>
  <c r="N32" i="4"/>
  <c r="F32" i="4"/>
  <c r="W31" i="4"/>
  <c r="O31" i="4"/>
  <c r="G31" i="4"/>
  <c r="R33" i="4"/>
  <c r="AB33" i="4"/>
  <c r="T33" i="4"/>
  <c r="L33" i="4"/>
  <c r="AC32" i="4"/>
  <c r="U32" i="4"/>
  <c r="M32" i="4"/>
  <c r="E32" i="4"/>
  <c r="V31" i="4"/>
  <c r="N31" i="4"/>
  <c r="F31" i="4"/>
  <c r="AA32" i="4"/>
  <c r="K32" i="4"/>
  <c r="L31" i="4"/>
  <c r="AA33" i="4"/>
  <c r="S33" i="4"/>
  <c r="K33" i="4"/>
  <c r="AB32" i="4"/>
  <c r="T32" i="4"/>
  <c r="L32" i="4"/>
  <c r="AC31" i="4"/>
  <c r="U31" i="4"/>
  <c r="M31" i="4"/>
  <c r="E31" i="4"/>
  <c r="J33" i="4"/>
  <c r="S32" i="4"/>
  <c r="T31" i="4"/>
  <c r="Y48" i="4"/>
  <c r="Z42" i="4" s="1"/>
  <c r="I47" i="4"/>
  <c r="J47" i="4" s="1"/>
  <c r="K47" i="4" s="1"/>
  <c r="L47" i="4" s="1"/>
  <c r="M47" i="4" s="1"/>
  <c r="N47" i="4" s="1"/>
  <c r="O47" i="4" s="1"/>
  <c r="P47" i="4" s="1"/>
  <c r="Q47" i="4" s="1"/>
  <c r="R47" i="4" s="1"/>
  <c r="S47" i="4" s="1"/>
  <c r="T47" i="4" s="1"/>
  <c r="U47" i="4" s="1"/>
  <c r="V47" i="4" s="1"/>
  <c r="W47" i="4" s="1"/>
  <c r="X47" i="4" s="1"/>
  <c r="Y47" i="4" s="1"/>
  <c r="Z47" i="4" s="1"/>
  <c r="AA47" i="4" s="1"/>
  <c r="AB47" i="4" s="1"/>
  <c r="AC47" i="4" s="1"/>
  <c r="D39" i="4"/>
  <c r="D44" i="4" s="1"/>
  <c r="H14" i="3"/>
  <c r="E37" i="4"/>
  <c r="F14" i="3"/>
  <c r="G14" i="3"/>
  <c r="L14" i="1" l="1"/>
  <c r="B21" i="10"/>
  <c r="Z48" i="4"/>
  <c r="AA42" i="4" s="1"/>
  <c r="H64" i="4"/>
  <c r="H65" i="4"/>
  <c r="D45" i="4"/>
  <c r="D41" i="4"/>
  <c r="F37" i="4"/>
  <c r="E39" i="4"/>
  <c r="E44" i="4" s="1"/>
  <c r="L15" i="1"/>
  <c r="AA48" i="4" l="1"/>
  <c r="AB42" i="4" s="1"/>
  <c r="D50" i="4"/>
  <c r="D49" i="4"/>
  <c r="D46" i="4"/>
  <c r="D53" i="4" s="1"/>
  <c r="G37" i="4"/>
  <c r="F39" i="4"/>
  <c r="F44" i="4" s="1"/>
  <c r="E41" i="4"/>
  <c r="AB48" i="4" l="1"/>
  <c r="AC42" i="4" s="1"/>
  <c r="E49" i="4"/>
  <c r="E45" i="4"/>
  <c r="E46" i="4" s="1"/>
  <c r="E53" i="4" s="1"/>
  <c r="G39" i="4"/>
  <c r="G44" i="4" s="1"/>
  <c r="H37" i="4"/>
  <c r="F41" i="4"/>
  <c r="H63" i="4"/>
  <c r="AC48" i="4" l="1"/>
  <c r="E50" i="4"/>
  <c r="F45" i="4"/>
  <c r="F46" i="4" s="1"/>
  <c r="F53" i="4" s="1"/>
  <c r="G41" i="4"/>
  <c r="I37" i="4"/>
  <c r="H39" i="4"/>
  <c r="H44" i="4" s="1"/>
  <c r="E68" i="4" l="1"/>
  <c r="F50" i="4"/>
  <c r="F68" i="4" s="1"/>
  <c r="G45" i="4"/>
  <c r="G46" i="4" s="1"/>
  <c r="H45" i="4"/>
  <c r="I39" i="4"/>
  <c r="I44" i="4" s="1"/>
  <c r="H41" i="4"/>
  <c r="J37" i="4"/>
  <c r="H50" i="4" l="1"/>
  <c r="H68" i="4" s="1"/>
  <c r="G50" i="4"/>
  <c r="G68" i="4" s="1"/>
  <c r="H46" i="4"/>
  <c r="I45" i="4"/>
  <c r="I41" i="4"/>
  <c r="K37" i="4"/>
  <c r="J39" i="4"/>
  <c r="J44" i="4" s="1"/>
  <c r="I50" i="4" l="1"/>
  <c r="I68" i="4" s="1"/>
  <c r="I46" i="4"/>
  <c r="J41" i="4"/>
  <c r="K39" i="4"/>
  <c r="K44" i="4" s="1"/>
  <c r="L37" i="4"/>
  <c r="J45" i="4" l="1"/>
  <c r="J46" i="4" s="1"/>
  <c r="K41" i="4"/>
  <c r="M37" i="4"/>
  <c r="L39" i="4"/>
  <c r="L44" i="4" s="1"/>
  <c r="J50" i="4" l="1"/>
  <c r="K45" i="4"/>
  <c r="K46" i="4" s="1"/>
  <c r="N37" i="4"/>
  <c r="L41" i="4"/>
  <c r="M39" i="4"/>
  <c r="M44" i="4" s="1"/>
  <c r="J68" i="4" l="1"/>
  <c r="K50" i="4"/>
  <c r="K68" i="4" s="1"/>
  <c r="L45" i="4"/>
  <c r="L46" i="4" s="1"/>
  <c r="O37" i="4"/>
  <c r="N39" i="4"/>
  <c r="N44" i="4" s="1"/>
  <c r="M41" i="4"/>
  <c r="L50" i="4" l="1"/>
  <c r="L68" i="4" s="1"/>
  <c r="M45" i="4"/>
  <c r="M46" i="4" s="1"/>
  <c r="O39" i="4"/>
  <c r="O44" i="4" s="1"/>
  <c r="P37" i="4"/>
  <c r="N41" i="4"/>
  <c r="M50" i="4" l="1"/>
  <c r="M68" i="4" s="1"/>
  <c r="N45" i="4"/>
  <c r="N46" i="4" s="1"/>
  <c r="O41" i="4"/>
  <c r="Q37" i="4"/>
  <c r="P39" i="4"/>
  <c r="P44" i="4" s="1"/>
  <c r="N50" i="4" l="1"/>
  <c r="N68" i="4" s="1"/>
  <c r="O45" i="4"/>
  <c r="O46" i="4" s="1"/>
  <c r="P41" i="4"/>
  <c r="Q39" i="4"/>
  <c r="Q44" i="4" s="1"/>
  <c r="R37" i="4"/>
  <c r="O50" i="4" l="1"/>
  <c r="O68" i="4" s="1"/>
  <c r="P45" i="4"/>
  <c r="P46" i="4" s="1"/>
  <c r="Q41" i="4"/>
  <c r="Q45" i="4"/>
  <c r="S37" i="4"/>
  <c r="R39" i="4"/>
  <c r="R44" i="4" s="1"/>
  <c r="Q50" i="4" l="1"/>
  <c r="Q68" i="4" s="1"/>
  <c r="P50" i="4"/>
  <c r="P68" i="4" s="1"/>
  <c r="R41" i="4"/>
  <c r="Q46" i="4"/>
  <c r="S39" i="4"/>
  <c r="S44" i="4" s="1"/>
  <c r="T37" i="4"/>
  <c r="R45" i="4" l="1"/>
  <c r="R46" i="4" s="1"/>
  <c r="S41" i="4"/>
  <c r="S45" i="4"/>
  <c r="U37" i="4"/>
  <c r="T39" i="4"/>
  <c r="T44" i="4" s="1"/>
  <c r="S50" i="4" l="1"/>
  <c r="S68" i="4" s="1"/>
  <c r="R50" i="4"/>
  <c r="R68" i="4" s="1"/>
  <c r="T45" i="4"/>
  <c r="T41" i="4"/>
  <c r="V37" i="4"/>
  <c r="U39" i="4"/>
  <c r="U44" i="4" s="1"/>
  <c r="S46" i="4"/>
  <c r="T50" i="4" l="1"/>
  <c r="T68" i="4" s="1"/>
  <c r="T46" i="4"/>
  <c r="U41" i="4"/>
  <c r="U45" i="4"/>
  <c r="W37" i="4"/>
  <c r="V39" i="4"/>
  <c r="V44" i="4" s="1"/>
  <c r="U50" i="4" l="1"/>
  <c r="U68" i="4" s="1"/>
  <c r="X37" i="4"/>
  <c r="W39" i="4"/>
  <c r="W44" i="4" s="1"/>
  <c r="U46" i="4"/>
  <c r="V41" i="4"/>
  <c r="V45" i="4" l="1"/>
  <c r="V46" i="4" s="1"/>
  <c r="W45" i="4"/>
  <c r="W41" i="4"/>
  <c r="X39" i="4"/>
  <c r="X44" i="4" s="1"/>
  <c r="Y37" i="4"/>
  <c r="W50" i="4" l="1"/>
  <c r="W68" i="4" s="1"/>
  <c r="V50" i="4"/>
  <c r="V68" i="4" s="1"/>
  <c r="W46" i="4"/>
  <c r="X41" i="4"/>
  <c r="X45" i="4"/>
  <c r="Y39" i="4"/>
  <c r="Y44" i="4" s="1"/>
  <c r="Z37" i="4"/>
  <c r="X50" i="4" l="1"/>
  <c r="X68" i="4" s="1"/>
  <c r="Y41" i="4"/>
  <c r="AA37" i="4"/>
  <c r="X46" i="4"/>
  <c r="Z39" i="4"/>
  <c r="Z44" i="4" s="1"/>
  <c r="Y45" i="4" l="1"/>
  <c r="Y46" i="4" s="1"/>
  <c r="Z41" i="4"/>
  <c r="Z45" i="4"/>
  <c r="AA39" i="4"/>
  <c r="AA44" i="4" s="1"/>
  <c r="AB37" i="4"/>
  <c r="Z50" i="4" l="1"/>
  <c r="Z68" i="4" s="1"/>
  <c r="Y50" i="4"/>
  <c r="Y68" i="4" s="1"/>
  <c r="AA41" i="4"/>
  <c r="AB39" i="4"/>
  <c r="AB44" i="4" s="1"/>
  <c r="AC37" i="4"/>
  <c r="Z46" i="4"/>
  <c r="AA45" i="4" l="1"/>
  <c r="AA46" i="4" s="1"/>
  <c r="AB45" i="4"/>
  <c r="AB41" i="4"/>
  <c r="AC39" i="4"/>
  <c r="AC44" i="4" s="1"/>
  <c r="AB50" i="4" l="1"/>
  <c r="AA50" i="4"/>
  <c r="AA68" i="4" s="1"/>
  <c r="AB46" i="4"/>
  <c r="AC45" i="4"/>
  <c r="AC41" i="4"/>
  <c r="AB68" i="4" l="1"/>
  <c r="D68" i="4" s="1"/>
  <c r="E62" i="4"/>
  <c r="D62" i="4"/>
  <c r="AC50" i="4"/>
  <c r="AC46" i="4"/>
  <c r="AC68" i="4" l="1"/>
  <c r="D63" i="4"/>
  <c r="D64" i="4" s="1"/>
  <c r="E63" i="4"/>
  <c r="E64" i="4" s="1"/>
  <c r="AC52" i="4"/>
  <c r="C63" i="4" s="1"/>
  <c r="D51" i="4" l="1"/>
  <c r="E51" i="4" s="1"/>
  <c r="F51" i="4" s="1"/>
  <c r="G51" i="4" s="1"/>
  <c r="H51" i="4" s="1"/>
  <c r="I51" i="4" s="1"/>
  <c r="J51" i="4" s="1"/>
  <c r="K51" i="4" s="1"/>
  <c r="L51" i="4" s="1"/>
  <c r="M51" i="4" s="1"/>
  <c r="N51" i="4" s="1"/>
  <c r="O51" i="4" s="1"/>
  <c r="P51" i="4" s="1"/>
  <c r="Q51" i="4" s="1"/>
  <c r="R51" i="4" s="1"/>
  <c r="S51" i="4" s="1"/>
  <c r="T51" i="4" s="1"/>
  <c r="U51" i="4" s="1"/>
  <c r="V51" i="4" s="1"/>
  <c r="W51" i="4" s="1"/>
  <c r="X51" i="4" s="1"/>
  <c r="Y51" i="4" s="1"/>
  <c r="Z51" i="4" s="1"/>
  <c r="AA51" i="4" s="1"/>
  <c r="AB51" i="4" s="1"/>
  <c r="AC51" i="4" l="1"/>
  <c r="AB52" i="4"/>
  <c r="C62" i="4" s="1"/>
  <c r="B61" i="4" l="1"/>
  <c r="B62" i="4" s="1"/>
  <c r="B63" i="4" l="1"/>
  <c r="B67" i="4" s="1"/>
  <c r="F56" i="4"/>
  <c r="D55" i="4"/>
  <c r="F55" i="4"/>
  <c r="B64" i="4"/>
  <c r="D56" i="4"/>
  <c r="E56" i="4"/>
  <c r="E55" i="4"/>
  <c r="B65" i="4" l="1"/>
  <c r="D65" i="4"/>
  <c r="E65" i="4"/>
  <c r="B69" i="4"/>
  <c r="B6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bloomberg-alunos</author>
    <author>林伊婧</author>
    <author>Maria Pilar Barrocal Fortunato</author>
  </authors>
  <commentList>
    <comment ref="B2" authorId="0" shapeId="0" xr:uid="{00000000-0006-0000-0000-000001000000}">
      <text>
        <r>
          <rPr>
            <b/>
            <sz val="9"/>
            <color indexed="81"/>
            <rFont val="Tahoma"/>
            <family val="2"/>
          </rPr>
          <t>(date of last modification)</t>
        </r>
      </text>
    </comment>
    <comment ref="D2" authorId="0" shapeId="0" xr:uid="{00000000-0006-0000-0000-000002000000}">
      <text>
        <r>
          <rPr>
            <b/>
            <sz val="9"/>
            <color indexed="81"/>
            <rFont val="Tahoma"/>
            <family val="2"/>
          </rPr>
          <t>Date of last report/release</t>
        </r>
      </text>
    </comment>
    <comment ref="K2" authorId="0" shapeId="0" xr:uid="{00000000-0006-0000-0000-000003000000}">
      <text>
        <r>
          <rPr>
            <b/>
            <sz val="9"/>
            <color indexed="81"/>
            <rFont val="Tahoma"/>
            <family val="2"/>
          </rPr>
          <t>Stock market</t>
        </r>
      </text>
    </comment>
    <comment ref="B7" authorId="1" shapeId="0" xr:uid="{00000000-0006-0000-0000-000004000000}">
      <text>
        <r>
          <rPr>
            <b/>
            <sz val="10"/>
            <color rgb="FF000000"/>
            <rFont val="Tahoma"/>
            <family val="2"/>
          </rPr>
          <t>Last price</t>
        </r>
        <r>
          <rPr>
            <sz val="10"/>
            <color rgb="FF000000"/>
            <rFont val="Tahoma"/>
            <family val="2"/>
          </rPr>
          <t xml:space="preserve">
</t>
        </r>
      </text>
    </comment>
    <comment ref="D7" authorId="1" shapeId="0" xr:uid="{00000000-0006-0000-0000-000005000000}">
      <text>
        <r>
          <rPr>
            <b/>
            <sz val="10"/>
            <color rgb="FF000000"/>
            <rFont val="Tahoma"/>
            <family val="2"/>
          </rPr>
          <t>Total Assets</t>
        </r>
        <r>
          <rPr>
            <sz val="10"/>
            <color rgb="FF000000"/>
            <rFont val="Tahoma"/>
            <family val="2"/>
          </rPr>
          <t xml:space="preserve">
</t>
        </r>
      </text>
    </comment>
    <comment ref="I7" authorId="0" shapeId="0" xr:uid="{00000000-0006-0000-0000-000006000000}">
      <text>
        <r>
          <rPr>
            <b/>
            <sz val="9"/>
            <color indexed="81"/>
            <rFont val="Tahoma"/>
            <family val="2"/>
          </rPr>
          <t>End of financial year</t>
        </r>
      </text>
    </comment>
    <comment ref="D8" authorId="1" shapeId="0" xr:uid="{00000000-0006-0000-0000-000007000000}">
      <text>
        <r>
          <rPr>
            <b/>
            <sz val="10"/>
            <color rgb="FF000000"/>
            <rFont val="Tahoma"/>
            <family val="2"/>
          </rPr>
          <t>Total liabilities</t>
        </r>
        <r>
          <rPr>
            <sz val="10"/>
            <color rgb="FF000000"/>
            <rFont val="Tahoma"/>
            <family val="2"/>
          </rPr>
          <t xml:space="preserve">
</t>
        </r>
      </text>
    </comment>
    <comment ref="B10" authorId="1" shapeId="0" xr:uid="{00000000-0006-0000-0000-000008000000}">
      <text>
        <r>
          <rPr>
            <b/>
            <sz val="10"/>
            <color rgb="FF000000"/>
            <rFont val="Tahoma"/>
            <family val="2"/>
          </rPr>
          <t>Debt</t>
        </r>
        <r>
          <rPr>
            <sz val="10"/>
            <color rgb="FF000000"/>
            <rFont val="Tahoma"/>
            <family val="2"/>
          </rPr>
          <t xml:space="preserve">
</t>
        </r>
      </text>
    </comment>
    <comment ref="D10" authorId="1" shapeId="0" xr:uid="{00000000-0006-0000-0000-000009000000}">
      <text>
        <r>
          <rPr>
            <b/>
            <sz val="10"/>
            <color rgb="FF000000"/>
            <rFont val="Tahoma"/>
            <family val="2"/>
          </rPr>
          <t>EBITDA/Net financial cost</t>
        </r>
        <r>
          <rPr>
            <sz val="10"/>
            <color rgb="FF000000"/>
            <rFont val="Tahoma"/>
            <family val="2"/>
          </rPr>
          <t xml:space="preserve">
</t>
        </r>
      </text>
    </comment>
    <comment ref="D11" authorId="1" shapeId="0" xr:uid="{00000000-0006-0000-0000-00000A000000}">
      <text>
        <r>
          <rPr>
            <b/>
            <sz val="10"/>
            <color rgb="FF000000"/>
            <rFont val="Tahoma"/>
            <family val="2"/>
          </rPr>
          <t>Debt/EBITDA</t>
        </r>
        <r>
          <rPr>
            <sz val="10"/>
            <color rgb="FF000000"/>
            <rFont val="Tahoma"/>
            <family val="2"/>
          </rPr>
          <t xml:space="preserve">
</t>
        </r>
      </text>
    </comment>
    <comment ref="D12" authorId="1" shapeId="0" xr:uid="{00000000-0006-0000-0000-00000B000000}">
      <text>
        <r>
          <rPr>
            <b/>
            <sz val="10"/>
            <color rgb="FF000000"/>
            <rFont val="Tahoma"/>
            <family val="2"/>
          </rPr>
          <t>Other assets</t>
        </r>
        <r>
          <rPr>
            <sz val="10"/>
            <color rgb="FF000000"/>
            <rFont val="Tahoma"/>
            <family val="2"/>
          </rPr>
          <t xml:space="preserve">
</t>
        </r>
      </text>
    </comment>
    <comment ref="B13" authorId="1" shapeId="0" xr:uid="{00000000-0006-0000-0000-00000C000000}">
      <text>
        <r>
          <rPr>
            <sz val="10"/>
            <color rgb="FF000000"/>
            <rFont val="Arial"/>
            <family val="2"/>
          </rPr>
          <t>'Holdings (nac/int'l)</t>
        </r>
      </text>
    </comment>
    <comment ref="D13" authorId="1" shapeId="0" xr:uid="{00000000-0006-0000-0000-00000D000000}">
      <text>
        <r>
          <rPr>
            <b/>
            <sz val="10"/>
            <color rgb="FF000000"/>
            <rFont val="Tahoma"/>
            <family val="2"/>
          </rPr>
          <t>Debt/asset</t>
        </r>
      </text>
    </comment>
    <comment ref="B14" authorId="1" shapeId="0" xr:uid="{00000000-0006-0000-0000-00000E000000}">
      <text>
        <r>
          <rPr>
            <sz val="10"/>
            <color rgb="FF000000"/>
            <rFont val="Arial"/>
            <family val="2"/>
          </rPr>
          <t>t liq. (Holdings/Vol.)</t>
        </r>
      </text>
    </comment>
    <comment ref="D14" authorId="1" shapeId="0" xr:uid="{00000000-0006-0000-0000-00000F000000}">
      <text>
        <r>
          <rPr>
            <b/>
            <sz val="10"/>
            <color rgb="FF000000"/>
            <rFont val="Tahoma"/>
            <family val="2"/>
          </rPr>
          <t>Operating margin</t>
        </r>
      </text>
    </comment>
    <comment ref="D15" authorId="1" shapeId="0" xr:uid="{00000000-0006-0000-0000-000010000000}">
      <text>
        <r>
          <rPr>
            <b/>
            <sz val="10"/>
            <color rgb="FF000000"/>
            <rFont val="Tahoma"/>
            <family val="2"/>
          </rPr>
          <t>Net income margin</t>
        </r>
        <r>
          <rPr>
            <sz val="10"/>
            <color rgb="FF000000"/>
            <rFont val="Tahoma"/>
            <family val="2"/>
          </rPr>
          <t xml:space="preserve">
</t>
        </r>
      </text>
    </comment>
    <comment ref="D16" authorId="1" shapeId="0" xr:uid="{00000000-0006-0000-0000-000011000000}">
      <text>
        <r>
          <rPr>
            <b/>
            <sz val="10"/>
            <color rgb="FF000000"/>
            <rFont val="Tahoma"/>
            <family val="2"/>
          </rPr>
          <t>EBITDA/Revenue</t>
        </r>
        <r>
          <rPr>
            <sz val="10"/>
            <color rgb="FF000000"/>
            <rFont val="Tahoma"/>
            <family val="2"/>
          </rPr>
          <t xml:space="preserve">
</t>
        </r>
      </text>
    </comment>
    <comment ref="C17" authorId="2" shapeId="0" xr:uid="{C9D2C4C6-6ABA-457E-A0F8-3DB33BDDE681}">
      <text>
        <r>
          <rPr>
            <b/>
            <sz val="9"/>
            <color indexed="81"/>
            <rFont val="Tahoma"/>
            <family val="2"/>
          </rPr>
          <t>Maria Pilar Barrocal Fortunato:</t>
        </r>
        <r>
          <rPr>
            <sz val="9"/>
            <color indexed="81"/>
            <rFont val="Tahoma"/>
            <family val="2"/>
          </rPr>
          <t xml:space="preserve">
The education sector has a relatively low environmental impact compared to other industries, and Laureate reports on key sustainability metrics like energy and waste management.</t>
        </r>
      </text>
    </comment>
    <comment ref="D17" authorId="1" shapeId="0" xr:uid="{00000000-0006-0000-0000-000013000000}">
      <text>
        <r>
          <rPr>
            <b/>
            <sz val="10"/>
            <color rgb="FF000000"/>
            <rFont val="Tahoma"/>
            <family val="2"/>
          </rPr>
          <t>林伊婧</t>
        </r>
        <r>
          <rPr>
            <b/>
            <sz val="10"/>
            <color rgb="FF000000"/>
            <rFont val="Tahoma"/>
            <family val="2"/>
          </rPr>
          <t>:</t>
        </r>
        <r>
          <rPr>
            <sz val="10"/>
            <color rgb="FF000000"/>
            <rFont val="Tahoma"/>
            <family val="2"/>
          </rPr>
          <t xml:space="preserve">
</t>
        </r>
      </text>
    </comment>
    <comment ref="C18" authorId="2" shapeId="0" xr:uid="{16830EC3-C870-41AD-9E4D-2F0FEEB0572B}">
      <text>
        <r>
          <rPr>
            <b/>
            <sz val="9"/>
            <color indexed="81"/>
            <rFont val="Tahoma"/>
            <family val="2"/>
          </rPr>
          <t>Maria Pilar Barrocal Fortunato:</t>
        </r>
        <r>
          <rPr>
            <sz val="9"/>
            <color indexed="81"/>
            <rFont val="Tahoma"/>
            <family val="2"/>
          </rPr>
          <t xml:space="preserve">
</t>
        </r>
      </text>
    </comment>
    <comment ref="C19" authorId="2" shapeId="0" xr:uid="{5AE9A470-2136-49B5-95E8-7AE3153337B9}">
      <text>
        <r>
          <rPr>
            <b/>
            <sz val="9"/>
            <color indexed="81"/>
            <rFont val="Tahoma"/>
            <family val="2"/>
          </rPr>
          <t>Maria Pilar Barrocal Fortunato:</t>
        </r>
        <r>
          <rPr>
            <sz val="9"/>
            <color indexed="81"/>
            <rFont val="Tahoma"/>
            <family val="2"/>
          </rPr>
          <t xml:space="preserve">
Transparent corporate structure with initiatives to improve workplace culture, leadership diversity, and ethical business practices.</t>
        </r>
      </text>
    </comment>
    <comment ref="I24" authorId="1" shapeId="0" xr:uid="{00000000-0006-0000-0000-000014000000}">
      <text>
        <r>
          <rPr>
            <b/>
            <sz val="10"/>
            <color rgb="FF000000"/>
            <rFont val="Tahoma"/>
            <family val="2"/>
          </rPr>
          <t>Discount rate</t>
        </r>
        <r>
          <rPr>
            <sz val="10"/>
            <color rgb="FF000000"/>
            <rFont val="Tahoma"/>
            <family val="2"/>
          </rPr>
          <t xml:space="preserve">
</t>
        </r>
      </text>
    </comment>
    <comment ref="B53" authorId="0" shapeId="0" xr:uid="{00000000-0006-0000-0000-000015000000}">
      <text>
        <r>
          <rPr>
            <b/>
            <sz val="9"/>
            <color indexed="81"/>
            <rFont val="Tahoma"/>
            <family val="2"/>
          </rPr>
          <t>average of last 3 years</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Fernanda Salas</author>
    <author>sistemas</author>
  </authors>
  <commentList>
    <comment ref="D36" authorId="0" shapeId="0" xr:uid="{00000000-0006-0000-0600-000001000000}">
      <text>
        <r>
          <rPr>
            <sz val="9"/>
            <color indexed="81"/>
            <rFont val="Tahoma"/>
            <family val="2"/>
          </rPr>
          <t>Real al 3Q 2021</t>
        </r>
      </text>
    </comment>
    <comment ref="D38" authorId="0" shapeId="0" xr:uid="{00000000-0006-0000-0600-000002000000}">
      <text>
        <r>
          <rPr>
            <sz val="9"/>
            <color indexed="81"/>
            <rFont val="Tahoma"/>
            <family val="2"/>
          </rPr>
          <t>Tienen 30.2% al 3Q 2021</t>
        </r>
      </text>
    </comment>
    <comment ref="D42" authorId="0" shapeId="0" xr:uid="{00000000-0006-0000-0600-000003000000}">
      <text>
        <r>
          <rPr>
            <sz val="9"/>
            <color indexed="81"/>
            <rFont val="Tahoma"/>
            <family val="2"/>
          </rPr>
          <t xml:space="preserve">siempre han traído productos financieros… </t>
        </r>
      </text>
    </comment>
    <comment ref="D43" authorId="1" shapeId="0" xr:uid="{00000000-0006-0000-0600-000004000000}">
      <text>
        <r>
          <rPr>
            <b/>
            <sz val="9"/>
            <color indexed="81"/>
            <rFont val="Tahoma"/>
            <family val="2"/>
          </rPr>
          <t>sistemas:</t>
        </r>
        <r>
          <rPr>
            <sz val="9"/>
            <color indexed="81"/>
            <rFont val="Tahoma"/>
            <family val="2"/>
          </rPr>
          <t xml:space="preserve">
Agregamos a otros gastos el pago por la retención de impuestos de las acciones que otorga a los empleados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Ana Luiza Costa</author>
    <author>Maria Pilar Barrocal Fortunato</author>
  </authors>
  <commentList>
    <comment ref="E87" authorId="0" shapeId="0" xr:uid="{25DA2B34-F194-D24A-8AC8-0BC27BFD071C}">
      <text>
        <r>
          <rPr>
            <sz val="10"/>
            <color rgb="FF000000"/>
            <rFont val="Tahoma"/>
            <family val="2"/>
          </rPr>
          <t xml:space="preserve">In 2020, Mexico and Peru became the only countries </t>
        </r>
      </text>
    </comment>
    <comment ref="C114" authorId="1" shapeId="0" xr:uid="{7D4B6F04-A4CB-41B1-BFA8-65114E9C6D6B}">
      <text>
        <r>
          <rPr>
            <b/>
            <sz val="9"/>
            <color rgb="FF000000"/>
            <rFont val="Tahoma"/>
            <family val="2"/>
          </rPr>
          <t>Maria Pilar Barrocal Fortunato:</t>
        </r>
        <r>
          <rPr>
            <sz val="9"/>
            <color rgb="FF000000"/>
            <rFont val="Tahoma"/>
            <family val="2"/>
          </rPr>
          <t xml:space="preserve">
</t>
        </r>
        <r>
          <rPr>
            <sz val="9"/>
            <color rgb="FF000000"/>
            <rFont val="Tahoma"/>
            <family val="2"/>
          </rPr>
          <t xml:space="preserve">gross!
</t>
        </r>
      </text>
    </comment>
    <comment ref="D135" authorId="0" shapeId="0" xr:uid="{8F41F51E-2C96-EF4E-84F8-17909520B40E}">
      <text>
        <r>
          <rPr>
            <sz val="10"/>
            <color rgb="FF000000"/>
            <rFont val="Tahoma"/>
            <family val="2"/>
          </rPr>
          <t>30/09/2024 (Q4 2023 + Q1 2024 + Q2 2024 + Q3 2024)</t>
        </r>
      </text>
    </comment>
    <comment ref="D138" authorId="0" shapeId="0" xr:uid="{09555EA7-052D-C645-A408-F2A729A57BF3}">
      <text>
        <r>
          <rPr>
            <b/>
            <sz val="10"/>
            <color rgb="FF000000"/>
            <rFont val="Tahoma"/>
            <family val="2"/>
          </rPr>
          <t>The company currently pays corporate taxes in Mexico and Peru only</t>
        </r>
      </text>
    </comment>
    <comment ref="D205" authorId="0" shapeId="0" xr:uid="{7AA4057F-0FFB-DD4F-9215-4B6886BAB826}">
      <text>
        <r>
          <rPr>
            <sz val="10"/>
            <color rgb="FF000000"/>
            <rFont val="Tahoma"/>
            <family val="2"/>
          </rPr>
          <t>30/09/2024 (Q4 2023 + Q1 2024 + Q2 2024 + Q3 2024)</t>
        </r>
      </text>
    </comment>
    <comment ref="D206" authorId="0" shapeId="0" xr:uid="{B535803C-A2CE-EB42-921B-01B6D42C6F10}">
      <text>
        <r>
          <rPr>
            <sz val="10"/>
            <color rgb="FF000000"/>
            <rFont val="Tahoma"/>
            <family val="2"/>
          </rPr>
          <t>There has been dividend payments during the first 3 quarters of 2024 due to a relative decrease in indebtedness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林伊婧</author>
    <author>Maria Pilar Barrocal Fortunato</author>
  </authors>
  <commentList>
    <comment ref="C3" authorId="0" shapeId="0" xr:uid="{00000000-0006-0000-0500-000001000000}">
      <text>
        <r>
          <rPr>
            <b/>
            <sz val="10"/>
            <color rgb="FF000000"/>
            <rFont val="Tahoma"/>
            <family val="2"/>
          </rPr>
          <t>Impact, scale from: none,low,medium and high</t>
        </r>
      </text>
    </comment>
    <comment ref="D3" authorId="0" shapeId="0" xr:uid="{00000000-0006-0000-0500-000002000000}">
      <text>
        <r>
          <rPr>
            <b/>
            <sz val="10"/>
            <color rgb="FF000000"/>
            <rFont val="Tahoma"/>
            <family val="2"/>
          </rPr>
          <t>Does the company report? Yes/No</t>
        </r>
        <r>
          <rPr>
            <sz val="10"/>
            <color rgb="FF000000"/>
            <rFont val="Tahoma"/>
            <family val="2"/>
          </rPr>
          <t xml:space="preserve">
</t>
        </r>
      </text>
    </comment>
    <comment ref="F3" authorId="0" shapeId="0" xr:uid="{00000000-0006-0000-0500-000003000000}">
      <text>
        <r>
          <rPr>
            <b/>
            <sz val="10"/>
            <color rgb="FF000000"/>
            <rFont val="Tahoma"/>
            <family val="2"/>
          </rPr>
          <t>Mitigation plan
yes/no</t>
        </r>
      </text>
    </comment>
    <comment ref="G3" authorId="0" shapeId="0" xr:uid="{00000000-0006-0000-0500-000004000000}">
      <text>
        <r>
          <rPr>
            <b/>
            <sz val="10"/>
            <color rgb="FF000000"/>
            <rFont val="Tahoma"/>
            <family val="2"/>
          </rPr>
          <t>Traffic lights</t>
        </r>
      </text>
    </comment>
    <comment ref="H3" authorId="0" shapeId="0" xr:uid="{00000000-0006-0000-0500-000005000000}">
      <text>
        <r>
          <rPr>
            <b/>
            <sz val="10"/>
            <color rgb="FF000000"/>
            <rFont val="Tahoma"/>
            <family val="2"/>
          </rPr>
          <t>Comments</t>
        </r>
      </text>
    </comment>
    <comment ref="D4" authorId="1" shapeId="0" xr:uid="{D4D522AF-B858-4798-B0D2-A168091C9D17}">
      <text>
        <r>
          <rPr>
            <b/>
            <sz val="9"/>
            <color indexed="81"/>
            <rFont val="Tahoma"/>
            <family val="2"/>
          </rPr>
          <t>Maria Pilar Barrocal Fortunato:</t>
        </r>
        <r>
          <rPr>
            <sz val="9"/>
            <color indexed="81"/>
            <rFont val="Tahoma"/>
            <family val="2"/>
          </rPr>
          <t xml:space="preserve">
The company doesnt disclose any numbers but it discloses the measures it has been taking to reduce impact and the reductions 
</t>
        </r>
      </text>
    </comment>
    <comment ref="D5" authorId="1" shapeId="0" xr:uid="{3F8A84DA-B9DA-45FA-92CC-4749D68BE166}">
      <text>
        <r>
          <rPr>
            <b/>
            <sz val="9"/>
            <color indexed="81"/>
            <rFont val="Tahoma"/>
            <family val="2"/>
          </rPr>
          <t>Maria Pilar Barrocal Fortunato:</t>
        </r>
        <r>
          <rPr>
            <sz val="9"/>
            <color indexed="81"/>
            <rFont val="Tahoma"/>
            <family val="2"/>
          </rPr>
          <t xml:space="preserve">
It doesn´t report values but it reports measures being taken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林伊婧</author>
    <author>Maria Pilar Barrocal Fortunato</author>
  </authors>
  <commentList>
    <comment ref="A6" authorId="0" shapeId="0" xr:uid="{61D7F162-EFEF-4737-B7CC-8C3CFC1F29BB}">
      <text>
        <r>
          <rPr>
            <b/>
            <sz val="10"/>
            <color rgb="FF000000"/>
            <rFont val="Tahoma"/>
            <family val="2"/>
          </rPr>
          <t>Net Sales</t>
        </r>
      </text>
    </comment>
    <comment ref="A7" authorId="0" shapeId="0" xr:uid="{CD7BBA01-7418-4880-A7B6-B06BE5E48C66}">
      <text>
        <r>
          <rPr>
            <b/>
            <sz val="10"/>
            <color rgb="FF000000"/>
            <rFont val="Tahoma"/>
            <family val="2"/>
          </rPr>
          <t>Gross Profit</t>
        </r>
      </text>
    </comment>
    <comment ref="A8" authorId="0" shapeId="0" xr:uid="{9C2E6528-9749-4D4F-9711-CACC430F41F3}">
      <text>
        <r>
          <rPr>
            <b/>
            <sz val="10"/>
            <color rgb="FF000000"/>
            <rFont val="Tahoma"/>
            <family val="2"/>
          </rPr>
          <t>Operating income</t>
        </r>
      </text>
    </comment>
    <comment ref="A9" authorId="0" shapeId="0" xr:uid="{7F6D62AA-0F88-46B1-8160-D2EE1B1A7C8A}">
      <text>
        <r>
          <rPr>
            <b/>
            <sz val="10"/>
            <color rgb="FF000000"/>
            <rFont val="Tahoma"/>
            <family val="2"/>
          </rPr>
          <t>Net financial cost</t>
        </r>
      </text>
    </comment>
    <comment ref="A10" authorId="0" shapeId="0" xr:uid="{86C9BB88-0E69-40C7-8F66-33766213665E}">
      <text>
        <r>
          <rPr>
            <b/>
            <sz val="10"/>
            <color rgb="FF000000"/>
            <rFont val="Tahoma"/>
            <family val="2"/>
          </rPr>
          <t>Other expenses (income)</t>
        </r>
      </text>
    </comment>
    <comment ref="A11" authorId="0" shapeId="0" xr:uid="{68398F73-C6E2-4062-8282-C127B04C4B5A}">
      <text>
        <r>
          <rPr>
            <b/>
            <sz val="10"/>
            <color rgb="FF000000"/>
            <rFont val="Tahoma"/>
            <family val="2"/>
          </rPr>
          <t>Depreciation and amortization</t>
        </r>
      </text>
    </comment>
    <comment ref="A12" authorId="0" shapeId="0" xr:uid="{211CAE62-2C68-488B-8A36-B8133C92A042}">
      <text>
        <r>
          <rPr>
            <b/>
            <sz val="10"/>
            <color rgb="FF000000"/>
            <rFont val="Tahoma"/>
            <family val="2"/>
          </rPr>
          <t>Working Capital</t>
        </r>
      </text>
    </comment>
    <comment ref="A14" authorId="0" shapeId="0" xr:uid="{87D5DFA7-63CD-4F54-B6D3-C0415F9361D3}">
      <text>
        <r>
          <rPr>
            <b/>
            <sz val="10"/>
            <color rgb="FF000000"/>
            <rFont val="Tahoma"/>
            <family val="2"/>
          </rPr>
          <t>Investments</t>
        </r>
      </text>
    </comment>
    <comment ref="A16" authorId="0" shapeId="0" xr:uid="{F50C0A1E-3E18-4186-9F9D-035605555EE6}">
      <text>
        <r>
          <rPr>
            <b/>
            <sz val="10"/>
            <color rgb="FF000000"/>
            <rFont val="Tahoma"/>
            <family val="2"/>
          </rPr>
          <t>Net income</t>
        </r>
      </text>
    </comment>
    <comment ref="A17" authorId="0" shapeId="0" xr:uid="{7CD7DA65-6157-46FE-AEB0-9D8987EFB538}">
      <text>
        <r>
          <rPr>
            <b/>
            <sz val="10"/>
            <color rgb="FF000000"/>
            <rFont val="Tahoma"/>
            <family val="2"/>
          </rPr>
          <t>Dividens</t>
        </r>
      </text>
    </comment>
    <comment ref="A18" authorId="0" shapeId="0" xr:uid="{BB5CD9AC-0D2A-45A5-B23C-9F57B3516AC7}">
      <text>
        <r>
          <rPr>
            <b/>
            <sz val="10"/>
            <color rgb="FF000000"/>
            <rFont val="Tahoma"/>
            <family val="2"/>
          </rPr>
          <t>Purchase of shares</t>
        </r>
      </text>
    </comment>
    <comment ref="B20" authorId="1" shapeId="0" xr:uid="{4089A52D-E95C-4F10-8291-D1980C852276}">
      <text>
        <r>
          <rPr>
            <b/>
            <sz val="9"/>
            <color indexed="81"/>
            <rFont val="Tahoma"/>
            <family val="2"/>
          </rPr>
          <t>Maria Pilar Barrocal Fortunato:</t>
        </r>
        <r>
          <rPr>
            <sz val="9"/>
            <color indexed="81"/>
            <rFont val="Tahoma"/>
            <family val="2"/>
          </rPr>
          <t xml:space="preserve">
ver
</t>
        </r>
      </text>
    </comment>
    <comment ref="A22" authorId="0" shapeId="0" xr:uid="{00000000-0006-0000-0900-00000C000000}">
      <text>
        <r>
          <rPr>
            <b/>
            <sz val="10"/>
            <color rgb="FF000000"/>
            <rFont val="Tahoma"/>
            <family val="2"/>
          </rPr>
          <t>Cash &amp; equivalents</t>
        </r>
      </text>
    </comment>
    <comment ref="A23" authorId="0" shapeId="0" xr:uid="{00000000-0006-0000-0900-00000D000000}">
      <text>
        <r>
          <rPr>
            <b/>
            <sz val="10"/>
            <color rgb="FF000000"/>
            <rFont val="Tahoma"/>
            <family val="2"/>
          </rPr>
          <t>Accounts receivables</t>
        </r>
      </text>
    </comment>
    <comment ref="A24" authorId="0" shapeId="0" xr:uid="{00000000-0006-0000-0900-00000E000000}">
      <text>
        <r>
          <rPr>
            <b/>
            <sz val="10"/>
            <color rgb="FF000000"/>
            <rFont val="Tahoma"/>
            <family val="2"/>
          </rPr>
          <t>Inventories</t>
        </r>
      </text>
    </comment>
    <comment ref="A25" authorId="0" shapeId="0" xr:uid="{00000000-0006-0000-0900-00000F000000}">
      <text>
        <r>
          <rPr>
            <b/>
            <sz val="10"/>
            <color rgb="FF000000"/>
            <rFont val="Tahoma"/>
            <family val="2"/>
          </rPr>
          <t>PP&amp;E (net)</t>
        </r>
      </text>
    </comment>
    <comment ref="A26" authorId="0" shapeId="0" xr:uid="{00000000-0006-0000-0900-000010000000}">
      <text>
        <r>
          <rPr>
            <b/>
            <sz val="10"/>
            <color rgb="FF000000"/>
            <rFont val="Tahoma"/>
            <family val="2"/>
          </rPr>
          <t>Other assets</t>
        </r>
      </text>
    </comment>
    <comment ref="A27" authorId="0" shapeId="0" xr:uid="{00000000-0006-0000-0900-000011000000}">
      <text>
        <r>
          <rPr>
            <b/>
            <sz val="10"/>
            <color rgb="FF000000"/>
            <rFont val="Tahoma"/>
            <family val="2"/>
          </rPr>
          <t>Total assets</t>
        </r>
      </text>
    </comment>
    <comment ref="A32" authorId="0" shapeId="0" xr:uid="{00000000-0006-0000-0900-000013000000}">
      <text>
        <r>
          <rPr>
            <b/>
            <sz val="10"/>
            <color rgb="FF000000"/>
            <rFont val="Tahoma"/>
            <family val="2"/>
          </rPr>
          <t>short-term debt</t>
        </r>
      </text>
    </comment>
    <comment ref="A34" authorId="0" shapeId="0" xr:uid="{00000000-0006-0000-0900-000014000000}">
      <text>
        <r>
          <rPr>
            <b/>
            <sz val="10"/>
            <color rgb="FF000000"/>
            <rFont val="Tahoma"/>
            <family val="2"/>
          </rPr>
          <t>Other current liabilities</t>
        </r>
      </text>
    </comment>
    <comment ref="A35" authorId="0" shapeId="0" xr:uid="{00000000-0006-0000-0900-000015000000}">
      <text>
        <r>
          <rPr>
            <b/>
            <sz val="10"/>
            <color rgb="FF000000"/>
            <rFont val="Tahoma"/>
            <family val="2"/>
          </rPr>
          <t>Non-current liabilities</t>
        </r>
      </text>
    </comment>
    <comment ref="A36" authorId="0" shapeId="0" xr:uid="{00000000-0006-0000-0900-000016000000}">
      <text>
        <r>
          <rPr>
            <b/>
            <sz val="10"/>
            <color rgb="FF000000"/>
            <rFont val="Tahoma"/>
            <family val="2"/>
          </rPr>
          <t>Long-term debt</t>
        </r>
      </text>
    </comment>
    <comment ref="A38" authorId="0" shapeId="0" xr:uid="{00000000-0006-0000-0900-000017000000}">
      <text>
        <r>
          <rPr>
            <b/>
            <sz val="10"/>
            <color rgb="FF000000"/>
            <rFont val="Tahoma"/>
            <family val="2"/>
          </rPr>
          <t>Other non-current liabilities</t>
        </r>
      </text>
    </comment>
    <comment ref="A39" authorId="0" shapeId="0" xr:uid="{00000000-0006-0000-0900-000018000000}">
      <text>
        <r>
          <rPr>
            <b/>
            <sz val="10"/>
            <color rgb="FF000000"/>
            <rFont val="Tahoma"/>
            <family val="2"/>
          </rPr>
          <t>Total liabilities</t>
        </r>
      </text>
    </comment>
    <comment ref="A42" authorId="0" shapeId="0" xr:uid="{00000000-0006-0000-0900-000019000000}">
      <text>
        <r>
          <rPr>
            <b/>
            <sz val="10"/>
            <color rgb="FF000000"/>
            <rFont val="Tahoma"/>
            <family val="2"/>
          </rPr>
          <t>Minority Interest</t>
        </r>
      </text>
    </comment>
    <comment ref="A44" authorId="0" shapeId="0" xr:uid="{00000000-0006-0000-0900-00001A000000}">
      <text>
        <r>
          <rPr>
            <b/>
            <sz val="10"/>
            <color rgb="FF000000"/>
            <rFont val="Tahoma"/>
            <family val="2"/>
          </rPr>
          <t>Shareholder's equity</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3">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3">
    <bk>
      <rc t="2" v="0"/>
    </bk>
    <bk>
      <rc t="2" v="1"/>
    </bk>
    <bk>
      <rc t="2" v="2"/>
    </bk>
  </valueMetadata>
</metadata>
</file>

<file path=xl/sharedStrings.xml><?xml version="1.0" encoding="utf-8"?>
<sst xmlns="http://schemas.openxmlformats.org/spreadsheetml/2006/main" count="767" uniqueCount="550">
  <si>
    <t>Ingresos</t>
  </si>
  <si>
    <t>Margen Operativo</t>
  </si>
  <si>
    <t>Insiders Own:</t>
  </si>
  <si>
    <t>EBIT</t>
  </si>
  <si>
    <t>+Dep&amp;Amort</t>
  </si>
  <si>
    <t>=EBIDTA</t>
  </si>
  <si>
    <t>Deuda/Activo</t>
  </si>
  <si>
    <t>Precio/Valor en libros</t>
  </si>
  <si>
    <t>AAG</t>
  </si>
  <si>
    <t>Ventas</t>
  </si>
  <si>
    <t>Crecimiento</t>
  </si>
  <si>
    <t>ISR &amp; PTU</t>
  </si>
  <si>
    <t>FNP</t>
  </si>
  <si>
    <t>F(t)</t>
  </si>
  <si>
    <t>VPN/Acción</t>
  </si>
  <si>
    <t>VPN*@i%</t>
  </si>
  <si>
    <t>Calificación (S&amp;P)</t>
  </si>
  <si>
    <t>Deuda</t>
  </si>
  <si>
    <t>Utilidad antes de Impuestos</t>
  </si>
  <si>
    <t>Inversiones</t>
  </si>
  <si>
    <t>CVAR</t>
  </si>
  <si>
    <t>Dep&amp;Amort</t>
  </si>
  <si>
    <t>EBIDTA</t>
  </si>
  <si>
    <t>Otros Gastos</t>
  </si>
  <si>
    <t>Precio/Utilidad(p)</t>
  </si>
  <si>
    <t>Precio/FNP (p)</t>
  </si>
  <si>
    <t>Float:</t>
  </si>
  <si>
    <t>Último Año</t>
  </si>
  <si>
    <t>Outstanding Shares</t>
  </si>
  <si>
    <t>Market Cap.</t>
  </si>
  <si>
    <t>Cash Flow</t>
  </si>
  <si>
    <t>Investing Activities</t>
  </si>
  <si>
    <r>
      <t>D</t>
    </r>
    <r>
      <rPr>
        <b/>
        <sz val="10"/>
        <rFont val="Arial"/>
        <family val="2"/>
      </rPr>
      <t xml:space="preserve"> Cash and Equivalents</t>
    </r>
  </si>
  <si>
    <r>
      <t>Inv/</t>
    </r>
    <r>
      <rPr>
        <sz val="10"/>
        <rFont val="Symbol"/>
        <family val="1"/>
        <charset val="2"/>
      </rPr>
      <t>D</t>
    </r>
    <r>
      <rPr>
        <sz val="10"/>
        <rFont val="Arial"/>
        <family val="2"/>
      </rPr>
      <t xml:space="preserve"> Vts</t>
    </r>
  </si>
  <si>
    <t>Año</t>
  </si>
  <si>
    <t>Último Precio</t>
  </si>
  <si>
    <t>+Deuda Total</t>
  </si>
  <si>
    <t>Cash/Precio</t>
  </si>
  <si>
    <t>Margen neto (p)</t>
  </si>
  <si>
    <t>Ebidta/Ingresos(p)</t>
  </si>
  <si>
    <t>Utilidad Neta (p)</t>
  </si>
  <si>
    <t>Utilidad Neta</t>
  </si>
  <si>
    <t>UPA</t>
  </si>
  <si>
    <t>Riesgos</t>
  </si>
  <si>
    <t>Oportunidades</t>
  </si>
  <si>
    <t>Tesis de inversión</t>
  </si>
  <si>
    <t>FNP(p)/Activos</t>
  </si>
  <si>
    <t>=Enterprise Value</t>
  </si>
  <si>
    <t>-Cash</t>
  </si>
  <si>
    <t>EV/Activos</t>
  </si>
  <si>
    <t>"Otros activos"/Activo</t>
  </si>
  <si>
    <t>EV/Ebidta (p)</t>
  </si>
  <si>
    <t>TDY(p)/Precio</t>
  </si>
  <si>
    <t xml:space="preserve">   Perpetuidad</t>
  </si>
  <si>
    <t>"TELP"</t>
  </si>
  <si>
    <t>Margen de Operación (p)</t>
  </si>
  <si>
    <t>ROA</t>
  </si>
  <si>
    <t>Crec</t>
  </si>
  <si>
    <t>Ebidta(p)</t>
  </si>
  <si>
    <t>CIF/Deuda Neta Promedio</t>
  </si>
  <si>
    <t>Supuestos de valuación</t>
  </si>
  <si>
    <t>DCF Value</t>
  </si>
  <si>
    <t>Ebidta/CIF</t>
  </si>
  <si>
    <t>Margen</t>
  </si>
  <si>
    <t>% Vts</t>
  </si>
  <si>
    <t>Div. Yield:</t>
  </si>
  <si>
    <t>Profit</t>
  </si>
  <si>
    <t>Deuda/Ebidta</t>
  </si>
  <si>
    <t xml:space="preserve">   DCF 25Y</t>
  </si>
  <si>
    <t>Impacto</t>
  </si>
  <si>
    <t>¿Reporta?</t>
  </si>
  <si>
    <t>Mitigación</t>
  </si>
  <si>
    <t>Semáforo</t>
  </si>
  <si>
    <t>Ambiental</t>
  </si>
  <si>
    <t>Emisiones directas CO2</t>
  </si>
  <si>
    <t>Uso total de agua</t>
  </si>
  <si>
    <t>"Best in class"</t>
  </si>
  <si>
    <t>Total Energy Consumption</t>
  </si>
  <si>
    <t>Waste Management</t>
  </si>
  <si>
    <t>Land Degradation/Deforestation/Biodiversity loss/Animal sufering/…</t>
  </si>
  <si>
    <t>Social</t>
  </si>
  <si>
    <t>% Rotación de empleados</t>
  </si>
  <si>
    <t>Sueldos y compensaciones</t>
  </si>
  <si>
    <t>Temas de reputación</t>
  </si>
  <si>
    <t>Temas de discriminación</t>
  </si>
  <si>
    <t>Seguridad laboral</t>
  </si>
  <si>
    <t>Daños a la salud</t>
  </si>
  <si>
    <t>PXP?</t>
  </si>
  <si>
    <t>Supply chain</t>
  </si>
  <si>
    <t>Community involvement</t>
  </si>
  <si>
    <t>Public Sector</t>
  </si>
  <si>
    <t>Litigios</t>
  </si>
  <si>
    <t>Gobierno</t>
  </si>
  <si>
    <t>Diversidad (Género, edad, industria, región)</t>
  </si>
  <si>
    <t>% independientes</t>
  </si>
  <si>
    <t>CEO/Chairman</t>
  </si>
  <si>
    <t>Auditoría/Consultoría</t>
  </si>
  <si>
    <t>Esquemas de compensación al management</t>
  </si>
  <si>
    <t>Comentarios</t>
  </si>
  <si>
    <t>MITIGACIÓN</t>
  </si>
  <si>
    <t>RANKING</t>
  </si>
  <si>
    <t>IMPACTO</t>
  </si>
  <si>
    <t>PARÁMETROS</t>
  </si>
  <si>
    <t>KSF</t>
  </si>
  <si>
    <t>Acción</t>
  </si>
  <si>
    <t>Div.+Recompra</t>
  </si>
  <si>
    <t>Tasa de descuento:</t>
  </si>
  <si>
    <t>(p) = Promedio de últimos 3 años</t>
  </si>
  <si>
    <t>Análisis ESG</t>
  </si>
  <si>
    <t>Ranking</t>
  </si>
  <si>
    <t>TOTAL</t>
  </si>
  <si>
    <t>Discounted Cash Flow</t>
  </si>
  <si>
    <r>
      <rPr>
        <b/>
        <sz val="10"/>
        <color indexed="9"/>
        <rFont val="Symbol"/>
        <family val="1"/>
        <charset val="2"/>
      </rPr>
      <t>D</t>
    </r>
    <r>
      <rPr>
        <b/>
        <sz val="10"/>
        <color indexed="9"/>
        <rFont val="Arial"/>
        <family val="2"/>
      </rPr>
      <t xml:space="preserve"> Analista</t>
    </r>
  </si>
  <si>
    <t>Múltiplos</t>
  </si>
  <si>
    <t>*Nota: Estos múltiplos no consideran el promedio de los últimos 3 años, únicamente valores del último año reportado</t>
  </si>
  <si>
    <t>Año termina:</t>
  </si>
  <si>
    <t>Ut. Operativa</t>
  </si>
  <si>
    <t>Capex</t>
  </si>
  <si>
    <t>Adquisiones</t>
  </si>
  <si>
    <t>Dividends</t>
  </si>
  <si>
    <t>Stock Repurchases</t>
  </si>
  <si>
    <t>FNP (p)</t>
  </si>
  <si>
    <t>FX</t>
  </si>
  <si>
    <t>NOTES:</t>
  </si>
  <si>
    <t>t inversiones; t adq. neto dep.</t>
  </si>
  <si>
    <t>E</t>
  </si>
  <si>
    <t>S</t>
  </si>
  <si>
    <t>G</t>
  </si>
  <si>
    <t>Semáforo ESG</t>
  </si>
  <si>
    <t>ROIC</t>
  </si>
  <si>
    <t>ESG</t>
  </si>
  <si>
    <t>Riesgos claros</t>
  </si>
  <si>
    <t>Deuda/Activos</t>
  </si>
  <si>
    <t>Activos</t>
  </si>
  <si>
    <t>EPS</t>
  </si>
  <si>
    <t>E$/UN</t>
  </si>
  <si>
    <t>EEV/EBIDA</t>
  </si>
  <si>
    <t>% Short</t>
  </si>
  <si>
    <t>Participación adicional del CEO en otros consejos o excesiva del Ch.</t>
  </si>
  <si>
    <t>Salidas recientes de consejeros/C-level executives?</t>
  </si>
  <si>
    <t>t liq. (Pos prom./Vol.)</t>
  </si>
  <si>
    <t>PO / Precio Stand By</t>
  </si>
  <si>
    <t>Transparencia (segmentos, fuente de riqueza, adquisiciones, otros)</t>
  </si>
  <si>
    <t xml:space="preserve">Factor D&amp;A </t>
  </si>
  <si>
    <t>CP</t>
  </si>
  <si>
    <t>LP</t>
  </si>
  <si>
    <t>CHECKLIST</t>
  </si>
  <si>
    <t>Peer Analysis</t>
  </si>
  <si>
    <t>Consenso</t>
  </si>
  <si>
    <t>PO/Stand By</t>
  </si>
  <si>
    <t>Activo:</t>
  </si>
  <si>
    <t>Pasivo:</t>
  </si>
  <si>
    <t>CER</t>
  </si>
  <si>
    <t>Consenso EPS</t>
  </si>
  <si>
    <t>Acuerdo</t>
  </si>
  <si>
    <t>Capex + Adq</t>
  </si>
  <si>
    <t>Invertir</t>
  </si>
  <si>
    <t>NO invertir</t>
  </si>
  <si>
    <t>Mantener sin elevar posición</t>
  </si>
  <si>
    <t>Mantener (y seguir comprando)</t>
  </si>
  <si>
    <t>Liquidar</t>
  </si>
  <si>
    <t>PENDIENTE</t>
  </si>
  <si>
    <t>Tenencia % (nac/int'l)</t>
  </si>
  <si>
    <t>Factor CIF</t>
  </si>
  <si>
    <t>Factor ISR</t>
  </si>
  <si>
    <t>Factor inv</t>
  </si>
  <si>
    <t>Suma D&amp;A</t>
  </si>
  <si>
    <t>Suma Inv.</t>
  </si>
  <si>
    <t>Inv.+Goodwill</t>
  </si>
  <si>
    <t>Liquidez y Solvencia</t>
  </si>
  <si>
    <t>Float</t>
  </si>
  <si>
    <t>(Capex + Adq.)/Revenue</t>
  </si>
  <si>
    <t>SIC: Sí</t>
  </si>
  <si>
    <t>**Cifras en USD</t>
  </si>
  <si>
    <t>Tax (p) últ. 5a</t>
  </si>
  <si>
    <t>2019 (Real)</t>
  </si>
  <si>
    <t>CIF</t>
  </si>
  <si>
    <t>CAGR</t>
  </si>
  <si>
    <t>Deuda/EBITDA</t>
  </si>
  <si>
    <t>Millones de USD</t>
  </si>
  <si>
    <t>Inversiones y Capex</t>
  </si>
  <si>
    <r>
      <t xml:space="preserve">%Vts; %Op.Mg.; </t>
    </r>
    <r>
      <rPr>
        <b/>
        <sz val="10"/>
        <rFont val="Symbol"/>
        <family val="1"/>
        <charset val="2"/>
      </rPr>
      <t>D</t>
    </r>
  </si>
  <si>
    <t>tiempo promedio como consejeros independientes</t>
  </si>
  <si>
    <t>Tiempo que tardan en reportar luego del final del trimestre/año</t>
  </si>
  <si>
    <t>https://www.apple.com/newsroom/2020/03/apples-covid-19-response/</t>
  </si>
  <si>
    <t>https://glg.it/articles/how-might-the-wuhan-coronavirus-impact-apples-supply-chain/</t>
  </si>
  <si>
    <t>https://www.cnbc.com/2020/02/18/the-significance-of-apples-coronavirus-warning.html</t>
  </si>
  <si>
    <t>March 13</t>
  </si>
  <si>
    <t>January 29</t>
  </si>
  <si>
    <t>Ferbuary 18</t>
  </si>
  <si>
    <t>Otros:</t>
  </si>
  <si>
    <t>https://www.macrumors.com/guide/covid-19-coronavirus/</t>
  </si>
  <si>
    <t>2020 (Real)</t>
  </si>
  <si>
    <t>ROA (p)</t>
  </si>
  <si>
    <t>ROIC (p)</t>
  </si>
  <si>
    <t>b</t>
  </si>
  <si>
    <t>Precio/Utilidad</t>
  </si>
  <si>
    <t>EV/Ebitda</t>
  </si>
  <si>
    <t>Resultados</t>
  </si>
  <si>
    <t>Ventas Netas</t>
  </si>
  <si>
    <r>
      <t xml:space="preserve">     </t>
    </r>
    <r>
      <rPr>
        <i/>
        <sz val="9"/>
        <rFont val="Arial"/>
        <family val="2"/>
      </rPr>
      <t>Crecimiento vs. Año pasado</t>
    </r>
  </si>
  <si>
    <t>Utilidad Bruta</t>
  </si>
  <si>
    <r>
      <t xml:space="preserve">     </t>
    </r>
    <r>
      <rPr>
        <i/>
        <sz val="9"/>
        <rFont val="Arial"/>
        <family val="2"/>
      </rPr>
      <t>porcentaje sobre ventas</t>
    </r>
  </si>
  <si>
    <t>Gastos de Operación</t>
  </si>
  <si>
    <t>Utilidad de Operación</t>
  </si>
  <si>
    <r>
      <t xml:space="preserve">     </t>
    </r>
    <r>
      <rPr>
        <i/>
        <sz val="9"/>
        <rFont val="Arial"/>
        <family val="2"/>
      </rPr>
      <t>Crecimiento vs año anterior</t>
    </r>
  </si>
  <si>
    <t>CIF (Productos Financieros)</t>
  </si>
  <si>
    <t>Otros Gastos (Productos)</t>
  </si>
  <si>
    <t>Utilidad antes de Impuestos y partidas extra.</t>
  </si>
  <si>
    <t>Depreciación y amortización del ejercicio</t>
  </si>
  <si>
    <t>Capital de Trabajo</t>
  </si>
  <si>
    <r>
      <t xml:space="preserve">EBITDA </t>
    </r>
    <r>
      <rPr>
        <i/>
        <sz val="9"/>
        <rFont val="Arial"/>
        <family val="2"/>
      </rPr>
      <t>(flujo operativo)</t>
    </r>
  </si>
  <si>
    <t>I.S.R Y P.T.U.</t>
  </si>
  <si>
    <t xml:space="preserve">     % Tax</t>
  </si>
  <si>
    <t xml:space="preserve">     Crecimiento vs año anterior</t>
  </si>
  <si>
    <t>Efectivo Generado</t>
  </si>
  <si>
    <t>Dividendos</t>
  </si>
  <si>
    <t>Recompra de Acciones</t>
  </si>
  <si>
    <t>FNP (ajustado por deuda)</t>
  </si>
  <si>
    <t>FNP (ajustado por inversiones)</t>
  </si>
  <si>
    <t>Capex + Inversiones</t>
  </si>
  <si>
    <t>Dividendos + Recompra de Acciones</t>
  </si>
  <si>
    <t xml:space="preserve">Activo   </t>
  </si>
  <si>
    <t>Caja</t>
  </si>
  <si>
    <t>Cuentas y documentos por cobrar</t>
  </si>
  <si>
    <t>Inventarios</t>
  </si>
  <si>
    <t xml:space="preserve"> Activos Fijos (Net Plant)</t>
  </si>
  <si>
    <t>Otros Activos</t>
  </si>
  <si>
    <t>Total Activo</t>
  </si>
  <si>
    <t>Pasivo</t>
  </si>
  <si>
    <t>Pasivo Corto Plazo</t>
  </si>
  <si>
    <t xml:space="preserve">   Deuda a corto plazo</t>
  </si>
  <si>
    <t xml:space="preserve">   Short-Term Leases</t>
  </si>
  <si>
    <t xml:space="preserve">   Otros Pasivos a Corto Plazo</t>
  </si>
  <si>
    <t>Pasivo Largo Plazo</t>
  </si>
  <si>
    <t xml:space="preserve">   Deuda a largo plazo</t>
  </si>
  <si>
    <t xml:space="preserve">   Long-Term Leases</t>
  </si>
  <si>
    <t xml:space="preserve">   Otros Pasivos a Largo Plazo</t>
  </si>
  <si>
    <t>Total pasivos</t>
  </si>
  <si>
    <t>Interés Minoritario</t>
  </si>
  <si>
    <t>Capital Contable</t>
  </si>
  <si>
    <t>OTROS DATOS AL FIN DE AÑO</t>
  </si>
  <si>
    <t>Numero deEmpleados</t>
  </si>
  <si>
    <t>Acciones en circulación (millones)</t>
  </si>
  <si>
    <t>Insiders Own</t>
  </si>
  <si>
    <t>S&amp;P</t>
  </si>
  <si>
    <t>Precio Medio</t>
  </si>
  <si>
    <t>Moody's</t>
  </si>
  <si>
    <t>YTM</t>
  </si>
  <si>
    <t>DIVISA</t>
  </si>
  <si>
    <t>RESULTADOS</t>
  </si>
  <si>
    <t>CIF (Poductos)</t>
  </si>
  <si>
    <t>Otros Gastos (Ingresos)</t>
  </si>
  <si>
    <t xml:space="preserve">Depreciación y amortización </t>
  </si>
  <si>
    <t>Compra de Acciones</t>
  </si>
  <si>
    <t>POSICIÓN FINANCIERA</t>
  </si>
  <si>
    <t>Activos Fijos (Net Plant)</t>
  </si>
  <si>
    <t>Analista: Research</t>
  </si>
  <si>
    <t>Deuda + Lease Liabilities</t>
  </si>
  <si>
    <t xml:space="preserve"> </t>
  </si>
  <si>
    <t>Normal</t>
  </si>
  <si>
    <t>Duración</t>
  </si>
  <si>
    <r>
      <t xml:space="preserve">b </t>
    </r>
    <r>
      <rPr>
        <sz val="10"/>
        <rFont val="Arial"/>
        <family val="2"/>
      </rPr>
      <t>(Bloomberg; Yahoo)</t>
    </r>
  </si>
  <si>
    <t>Cash Flow from Operations (BWC)</t>
  </si>
  <si>
    <t>Working Capital</t>
  </si>
  <si>
    <t>Endeudamiento Neto</t>
  </si>
  <si>
    <t>Otros Financiemientos</t>
  </si>
  <si>
    <t>VALUATION MODEL</t>
  </si>
  <si>
    <t>Section</t>
  </si>
  <si>
    <t>Line #</t>
  </si>
  <si>
    <t>ITEM</t>
  </si>
  <si>
    <t>2021 (Real)</t>
  </si>
  <si>
    <t>Notes</t>
  </si>
  <si>
    <t>INCOME STATEMENT</t>
  </si>
  <si>
    <t>Growth</t>
  </si>
  <si>
    <t>Revenues/Sales</t>
  </si>
  <si>
    <t>EBIT/Operating Margin</t>
  </si>
  <si>
    <t>5a</t>
  </si>
  <si>
    <t>(Dep&amp;Amort)</t>
  </si>
  <si>
    <t>5b</t>
  </si>
  <si>
    <t>(Stock based compensation)</t>
  </si>
  <si>
    <t>(Net financing cost)</t>
  </si>
  <si>
    <t>Other income/(cost)</t>
  </si>
  <si>
    <t>Earnings before taxes</t>
  </si>
  <si>
    <t>(Income tax)</t>
  </si>
  <si>
    <t>Net income</t>
  </si>
  <si>
    <t>CASH FLOW STATEMENT</t>
  </si>
  <si>
    <t>Operating cash flows before WK</t>
  </si>
  <si>
    <t>(Stock-based compensation)</t>
  </si>
  <si>
    <t>(Working Capital Flows)</t>
  </si>
  <si>
    <t>-Total Operating Cash Flow</t>
  </si>
  <si>
    <t>(CAPEX and Acquisitions)</t>
  </si>
  <si>
    <t>(Other investing flows)</t>
  </si>
  <si>
    <t>-Total Investing Flows</t>
  </si>
  <si>
    <t>(Flows related to leases)</t>
  </si>
  <si>
    <t>Flows related to debt</t>
  </si>
  <si>
    <t>(Respurchases)/Issuance of stock</t>
  </si>
  <si>
    <t>(Dividends)</t>
  </si>
  <si>
    <t>Other financing flows</t>
  </si>
  <si>
    <t>-Total Financing flows</t>
  </si>
  <si>
    <t>SUMMARY</t>
  </si>
  <si>
    <t>Cash before shareholder returns</t>
  </si>
  <si>
    <t>Returns to shareholders</t>
  </si>
  <si>
    <t>Excess cash acumulation</t>
  </si>
  <si>
    <t>CASH &amp; DEBT &amp; DISCOUNTING</t>
  </si>
  <si>
    <t>Ending cash balance</t>
  </si>
  <si>
    <t>Total Debt</t>
  </si>
  <si>
    <t>Discount factor</t>
  </si>
  <si>
    <t>Discount rate</t>
  </si>
  <si>
    <t>Total</t>
  </si>
  <si>
    <t>Risk free rate</t>
  </si>
  <si>
    <t>Equity premium</t>
  </si>
  <si>
    <t>Firm premium</t>
  </si>
  <si>
    <t>Discount Rate</t>
  </si>
  <si>
    <t>Short Term</t>
  </si>
  <si>
    <t>Long Term</t>
  </si>
  <si>
    <t>Reference (line)</t>
  </si>
  <si>
    <t>Modelling factors</t>
  </si>
  <si>
    <t>Stock-based comp</t>
  </si>
  <si>
    <t>% revenue (l2)</t>
  </si>
  <si>
    <t>Tax Rate</t>
  </si>
  <si>
    <t>% (line 9)</t>
  </si>
  <si>
    <t>Interest Rate on debt</t>
  </si>
  <si>
    <t>% debt (l29)</t>
  </si>
  <si>
    <t>Interest Rate on cash</t>
  </si>
  <si>
    <t>% of cash (l28)</t>
  </si>
  <si>
    <t>Working capital flows</t>
  </si>
  <si>
    <t>% of change revenues (l2)</t>
  </si>
  <si>
    <t>Capex / Adq</t>
  </si>
  <si>
    <t>Growth rate</t>
  </si>
  <si>
    <t>% of debt (l29)</t>
  </si>
  <si>
    <t>Valuation</t>
  </si>
  <si>
    <t>$ millions</t>
  </si>
  <si>
    <t>%</t>
  </si>
  <si>
    <t>Value of flows</t>
  </si>
  <si>
    <t>Present value of flows (l27), plus cash minus debt</t>
  </si>
  <si>
    <t>Value of perpetuity</t>
  </si>
  <si>
    <t>Present value of perpetuity (column AF flow, dividend by growth minus discount rate)</t>
  </si>
  <si>
    <t>Total Value</t>
  </si>
  <si>
    <t>Final market value of firm's equity, compare to its mkt cap</t>
  </si>
  <si>
    <t>Total value vs Mkt Cap</t>
  </si>
  <si>
    <t>Gives degree of undervaluation (if positive, meaning it's worth more than what the market thinks) or overvaluation (negative, worth less than what the market thinks)</t>
  </si>
  <si>
    <t>Estimated NPV per share</t>
  </si>
  <si>
    <t>If we divide total value by # of shares, we get the estimated share value</t>
  </si>
  <si>
    <t>Actual share price</t>
  </si>
  <si>
    <t>USD</t>
  </si>
  <si>
    <t>Millones</t>
  </si>
  <si>
    <t>Inventories</t>
  </si>
  <si>
    <t>Por cobrar</t>
  </si>
  <si>
    <t>Por pagar</t>
  </si>
  <si>
    <t>Capital de trabajo</t>
  </si>
  <si>
    <t>Numero de Empleados</t>
  </si>
  <si>
    <t>Posicion en Corto (%)</t>
  </si>
  <si>
    <t>BONOS DE LA EMISORA A 3, 5 Y 10</t>
  </si>
  <si>
    <t>YTM (%)</t>
  </si>
  <si>
    <t>Deuda Neta</t>
  </si>
  <si>
    <t>2022 (Real)</t>
  </si>
  <si>
    <t>Rentabilidad (2022)</t>
  </si>
  <si>
    <t>4.0%; 4.4%; 5%</t>
  </si>
  <si>
    <t>Bonos 1;5;40a (USD)</t>
  </si>
  <si>
    <t>Multiplos (USD)</t>
  </si>
  <si>
    <t>Precio/Ventas</t>
  </si>
  <si>
    <t>3Q23</t>
  </si>
  <si>
    <t>2Q23</t>
  </si>
  <si>
    <t>1Q23</t>
  </si>
  <si>
    <t>1Q22</t>
  </si>
  <si>
    <t>2Q22</t>
  </si>
  <si>
    <t>3Q22</t>
  </si>
  <si>
    <t>4Q22</t>
  </si>
  <si>
    <t>1Q21</t>
  </si>
  <si>
    <t>2Q21</t>
  </si>
  <si>
    <t>3Q21</t>
  </si>
  <si>
    <t>4Q21</t>
  </si>
  <si>
    <t>Revenue</t>
  </si>
  <si>
    <t>-Products</t>
  </si>
  <si>
    <t>-Services</t>
  </si>
  <si>
    <t>COGS</t>
  </si>
  <si>
    <t>R&amp;D</t>
  </si>
  <si>
    <t>SGA</t>
  </si>
  <si>
    <t>Other</t>
  </si>
  <si>
    <t>efore tax</t>
  </si>
  <si>
    <t>Tax</t>
  </si>
  <si>
    <t>NI</t>
  </si>
  <si>
    <t>DA</t>
  </si>
  <si>
    <t>SBC</t>
  </si>
  <si>
    <t>Other SBC</t>
  </si>
  <si>
    <t>Divs</t>
  </si>
  <si>
    <t>Repurch</t>
  </si>
  <si>
    <t>1Q20</t>
  </si>
  <si>
    <t>2Q20</t>
  </si>
  <si>
    <t>3Q20</t>
  </si>
  <si>
    <t>4Q20</t>
  </si>
  <si>
    <t>4Q19</t>
  </si>
  <si>
    <t>3Q19</t>
  </si>
  <si>
    <t>2Q19</t>
  </si>
  <si>
    <t>1Q19</t>
  </si>
  <si>
    <t>Shares</t>
  </si>
  <si>
    <t>4Q18</t>
  </si>
  <si>
    <t>3Q18</t>
  </si>
  <si>
    <t>3Q17</t>
  </si>
  <si>
    <t>4Q23e</t>
  </si>
  <si>
    <t xml:space="preserve">Growth </t>
  </si>
  <si>
    <t>Prods</t>
  </si>
  <si>
    <t>Serv</t>
  </si>
  <si>
    <t>Utiilidad oP</t>
  </si>
  <si>
    <t>Ut OP</t>
  </si>
  <si>
    <t>Net SBC</t>
  </si>
  <si>
    <t>Net SBC Factor</t>
  </si>
  <si>
    <t>2024 Est.</t>
  </si>
  <si>
    <t>Regions (2023)</t>
  </si>
  <si>
    <t>Products (2023)</t>
  </si>
  <si>
    <t>2023 (Real)</t>
  </si>
  <si>
    <t>NONE</t>
  </si>
  <si>
    <t>LOW</t>
  </si>
  <si>
    <t>MEDIUM</t>
  </si>
  <si>
    <t>HIGH</t>
  </si>
  <si>
    <t>Medium high</t>
  </si>
  <si>
    <t>Medium</t>
  </si>
  <si>
    <t>"Villain"</t>
  </si>
  <si>
    <t>Is there evidence of progam/plan/etc…</t>
  </si>
  <si>
    <t>TRAFFIC LIGHTS</t>
  </si>
  <si>
    <t>—</t>
  </si>
  <si>
    <t>-</t>
  </si>
  <si>
    <t>Cifras en Millones de USD</t>
  </si>
  <si>
    <t>Vol. Diario en Millones USD</t>
  </si>
  <si>
    <t>DEF 14A</t>
  </si>
  <si>
    <t>LAUR</t>
  </si>
  <si>
    <t>Laureate Education</t>
  </si>
  <si>
    <t>STRA</t>
  </si>
  <si>
    <t>Strategic Education</t>
  </si>
  <si>
    <t>ATGE</t>
  </si>
  <si>
    <t>Adtalem Global Education</t>
  </si>
  <si>
    <t>PRDO</t>
  </si>
  <si>
    <t>Perdoceo Education Corporation</t>
  </si>
  <si>
    <t>Low</t>
  </si>
  <si>
    <t>Yes</t>
  </si>
  <si>
    <t>No</t>
  </si>
  <si>
    <t>CAPEX</t>
  </si>
  <si>
    <t>In recent years, Laureate Education has undergone significant divestment processes as part of a strategic shift to focus on its core operations in Mexico and Peru. This strategy involved selling various institutions across different countries.</t>
  </si>
  <si>
    <t>REVENUE</t>
  </si>
  <si>
    <t>Stock based compensation</t>
  </si>
  <si>
    <t>%Revenues</t>
  </si>
  <si>
    <t>STOCK BASED COMPENSATION</t>
  </si>
  <si>
    <t>TAX RATE</t>
  </si>
  <si>
    <t>Average (total)</t>
  </si>
  <si>
    <t>Average (after shift in strategy)</t>
  </si>
  <si>
    <t>Average (3Y)</t>
  </si>
  <si>
    <t>INTEREST RATE ON DEBT</t>
  </si>
  <si>
    <t>Mexico</t>
  </si>
  <si>
    <t>Peru</t>
  </si>
  <si>
    <t>ST multiple</t>
  </si>
  <si>
    <t>LT multiple</t>
  </si>
  <si>
    <t>WORKING CAPITAL FLOWS</t>
  </si>
  <si>
    <t>DIVIDENDS</t>
  </si>
  <si>
    <t>OTHER FLOWS</t>
  </si>
  <si>
    <t xml:space="preserve">Pros </t>
  </si>
  <si>
    <t>Cons</t>
  </si>
  <si>
    <t xml:space="preserve">Increase in net income and adjusted EBITDA; Consolidated market presence; Diversified teaching model (in-person; online hybrid) </t>
  </si>
  <si>
    <t>High dependency on Latin America markets; Significant exposure to currency fluctuations; Complex operational structure with multiple segments and academic cycles</t>
  </si>
  <si>
    <t>Intense competition from private and public institutions; Regulatory and legal uncertainties; Risk associated with legal and tax contingencies</t>
  </si>
  <si>
    <t>Continuos growth in demand for higher education in emerging markets; Recovering macroeconomic environment, especially in Peru</t>
  </si>
  <si>
    <t>11.92%</t>
  </si>
  <si>
    <t>12.84%</t>
  </si>
  <si>
    <t>DEPRECIATION &amp; AMORTIZATION FACTOR</t>
  </si>
  <si>
    <t>Depreciation &amp; Amortization</t>
  </si>
  <si>
    <t>%(PPE + Intangible assets)</t>
  </si>
  <si>
    <t>Intangible assets</t>
  </si>
  <si>
    <t>Average (5Y)</t>
  </si>
  <si>
    <t>ST Multiple</t>
  </si>
  <si>
    <t>LT Multiple</t>
  </si>
  <si>
    <t>Dep. &amp; Amort. factor</t>
  </si>
  <si>
    <t>CapEx</t>
  </si>
  <si>
    <t>% Revenue</t>
  </si>
  <si>
    <t>Change in Working Capital</t>
  </si>
  <si>
    <t>Interest Expense</t>
  </si>
  <si>
    <t>Change in Revenue</t>
  </si>
  <si>
    <t>WCF % Change in revenue</t>
  </si>
  <si>
    <t>Tax rate</t>
  </si>
  <si>
    <t>Income Tax</t>
  </si>
  <si>
    <t>INTEREST RATE ON CASH</t>
  </si>
  <si>
    <t>Interest Income</t>
  </si>
  <si>
    <t>Cash &amp; cash equivalents</t>
  </si>
  <si>
    <t>Interest rate on Debt</t>
  </si>
  <si>
    <t>Interest rate on Cash</t>
  </si>
  <si>
    <t>N/A</t>
  </si>
  <si>
    <t>PPE</t>
  </si>
  <si>
    <t>Corporate tax rates</t>
  </si>
  <si>
    <t>EBIT Margin</t>
  </si>
  <si>
    <t>EBIT MARGIN</t>
  </si>
  <si>
    <t xml:space="preserve">EBIT </t>
  </si>
  <si>
    <t>Pretax Income</t>
  </si>
  <si>
    <t>Medium High</t>
  </si>
  <si>
    <t>Best in class</t>
  </si>
  <si>
    <t xml:space="preserve">Medium </t>
  </si>
  <si>
    <t>Taxes</t>
  </si>
  <si>
    <t>Op. Income</t>
  </si>
  <si>
    <t>Net financial cost</t>
  </si>
  <si>
    <t>Total debt</t>
  </si>
  <si>
    <t xml:space="preserve">Total Equity </t>
  </si>
  <si>
    <t>Cash and Equivalents</t>
  </si>
  <si>
    <t>Strong Market Presence &amp; Geographic Diversification, Reputation &amp; Accreditation, Scalability &amp; Online Education, Financial Stability &amp; Profitability, Social Impact &amp; ESG Commitment</t>
  </si>
  <si>
    <t>Debt</t>
  </si>
  <si>
    <t>EBITDA</t>
  </si>
  <si>
    <t>Debt % Ebitda</t>
  </si>
  <si>
    <t>Debt/Ebitda</t>
  </si>
  <si>
    <t>ST</t>
  </si>
  <si>
    <t>LT</t>
  </si>
  <si>
    <t>Other flows</t>
  </si>
  <si>
    <t>Other Flows</t>
  </si>
  <si>
    <t>Other Flows % Revenue</t>
  </si>
  <si>
    <t>MT Multiple</t>
  </si>
  <si>
    <t>MT</t>
  </si>
  <si>
    <t>NA</t>
  </si>
  <si>
    <t>United States</t>
  </si>
  <si>
    <t>Other Foreign Countries</t>
  </si>
  <si>
    <t>% (PPE + Intangible assets)</t>
  </si>
  <si>
    <r>
      <rPr>
        <b/>
        <sz val="10"/>
        <rFont val="Arial"/>
        <family val="2"/>
      </rPr>
      <t>Dividend Payments</t>
    </r>
    <r>
      <rPr>
        <sz val="10"/>
        <rFont val="Arial"/>
        <family val="2"/>
      </rPr>
      <t xml:space="preserve">: Dividend yield = 0.7% (2024).
</t>
    </r>
    <r>
      <rPr>
        <b/>
        <sz val="10"/>
        <rFont val="Arial"/>
        <family val="2"/>
      </rPr>
      <t>Profitability Margins</t>
    </r>
    <r>
      <rPr>
        <sz val="10"/>
        <rFont val="Arial"/>
        <family val="2"/>
      </rPr>
      <t xml:space="preserve">: 2023 Operating margin = 22.8%; The company is now focusing on maintaining good margins and operational efficiency.
</t>
    </r>
    <r>
      <rPr>
        <b/>
        <sz val="10"/>
        <rFont val="Arial"/>
        <family val="2"/>
      </rPr>
      <t>Potential Growth</t>
    </r>
    <r>
      <rPr>
        <sz val="10"/>
        <rFont val="Arial"/>
        <family val="2"/>
      </rPr>
      <t>: Investments in digital infrastructure could lead to higher enrollments and better margins in the medium-to-long term.</t>
    </r>
  </si>
  <si>
    <r>
      <t xml:space="preserve">Andrew B. Cohen </t>
    </r>
    <r>
      <rPr>
        <sz val="9.5"/>
        <rFont val="Arial"/>
        <family val="2"/>
      </rPr>
      <t xml:space="preserve">(54yo; Ch; dir. s. 2016; ex Portfolio Manager at S.A.C Capital Advisors); </t>
    </r>
    <r>
      <rPr>
        <b/>
        <sz val="9.5"/>
        <color rgb="FF00B050"/>
        <rFont val="Arial"/>
        <family val="2"/>
      </rPr>
      <t xml:space="preserve">Eilif Serck-Hanssen </t>
    </r>
    <r>
      <rPr>
        <sz val="9.5"/>
        <color theme="1"/>
        <rFont val="Arial"/>
        <family val="2"/>
      </rPr>
      <t xml:space="preserve">(58yo; dir. s. 2018; CEO of Laureate Education; ex CFO of XOJET); </t>
    </r>
    <r>
      <rPr>
        <b/>
        <sz val="9.5"/>
        <color rgb="FF00B050"/>
        <rFont val="Arial"/>
        <family val="2"/>
      </rPr>
      <t>Leslie Brush</t>
    </r>
    <r>
      <rPr>
        <sz val="9.5"/>
        <color theme="1"/>
        <rFont val="Arial"/>
        <family val="2"/>
      </rPr>
      <t xml:space="preserve"> (58yo; dir s. 2014: Vice President of Laureate Education; ex Vice President of FIS);</t>
    </r>
    <r>
      <rPr>
        <b/>
        <sz val="9.5"/>
        <color rgb="FF00B050"/>
        <rFont val="Arial"/>
        <family val="2"/>
      </rPr>
      <t xml:space="preserve"> Rick Buskirk</t>
    </r>
    <r>
      <rPr>
        <b/>
        <sz val="9.5"/>
        <color theme="1"/>
        <rFont val="Arial"/>
        <family val="2"/>
      </rPr>
      <t xml:space="preserve"> </t>
    </r>
    <r>
      <rPr>
        <sz val="9.5"/>
        <color theme="1"/>
        <rFont val="Arial"/>
        <family val="2"/>
      </rPr>
      <t xml:space="preserve">(57yo; dir. s. 2021; CFO of Laureate Education; ex analyst at Deutsche Bank); </t>
    </r>
    <r>
      <rPr>
        <b/>
        <sz val="9.5"/>
        <color rgb="FF00B050"/>
        <rFont val="Arial"/>
        <family val="2"/>
      </rPr>
      <t xml:space="preserve">Marcelo Cadoso </t>
    </r>
    <r>
      <rPr>
        <sz val="9.5"/>
        <color theme="1"/>
        <rFont val="Arial"/>
        <family val="2"/>
      </rPr>
      <t xml:space="preserve">(52yo; dir. s. 2021; COO of Laureate Education; ex CFO of Dell EMC Computer System); </t>
    </r>
    <r>
      <rPr>
        <b/>
        <sz val="9.5"/>
        <color rgb="FF00B050"/>
        <rFont val="Arial"/>
        <family val="2"/>
      </rPr>
      <t xml:space="preserve">Chistian Hearbele </t>
    </r>
    <r>
      <rPr>
        <sz val="9.5"/>
        <color theme="1"/>
        <rFont val="Arial"/>
        <family val="2"/>
      </rPr>
      <t>(51yo; dir. s. 2022; CEO Peru of Laureate Education; ex Latin America Corporate Audit Director of Pepsi);</t>
    </r>
    <r>
      <rPr>
        <sz val="9.5"/>
        <color rgb="FF00B050"/>
        <rFont val="Arial"/>
        <family val="2"/>
      </rPr>
      <t xml:space="preserve"> </t>
    </r>
    <r>
      <rPr>
        <b/>
        <sz val="9.5"/>
        <color rgb="FF00B050"/>
        <rFont val="Arial"/>
        <family val="2"/>
      </rPr>
      <t>Adam Smith</t>
    </r>
    <r>
      <rPr>
        <b/>
        <sz val="9.5"/>
        <color theme="1"/>
        <rFont val="Arial"/>
        <family val="2"/>
      </rPr>
      <t xml:space="preserve"> </t>
    </r>
    <r>
      <rPr>
        <sz val="9.5"/>
        <color theme="1"/>
        <rFont val="Arial"/>
        <family val="2"/>
      </rPr>
      <t>(59yo; dir s. 2014; Senior Vice President of Laurete Education; ex independent consultant)</t>
    </r>
  </si>
  <si>
    <t>Revenue (millions)</t>
  </si>
  <si>
    <t>Revenue per enrollment forecast:</t>
  </si>
  <si>
    <t>Enrollments by country</t>
  </si>
  <si>
    <t>Revenue per enrollment by country</t>
  </si>
  <si>
    <t>Multiples:</t>
  </si>
  <si>
    <t>%change in enrollments</t>
  </si>
  <si>
    <t>%change in revenue per enrollment</t>
  </si>
  <si>
    <t>Revenue Growth Rate</t>
  </si>
  <si>
    <t>The Compensation Committee, among other things, monitors and assesses the Company’s compensation programs and policies. In consultation with its independent compensation consultant and with management regarding such matters</t>
  </si>
  <si>
    <t>The audit of Laureate Education is overseen by an independent auditor</t>
  </si>
  <si>
    <t>The company has made notable progress in gender diversity, with women comprising 47% of employees, 52% of students, and 29% of senior leadership—an increase from the previous year. Additionally, the presence of international teams across multiple countries suggests an emphasis on cultural diversity - Laureate has received notable recognition for its diversity and inclusion efforts—such as UNITEC’s Silver-Level Certification for Labor Equality and Non-Discrimination</t>
  </si>
  <si>
    <t>While the company engages with the public sector through educational and healthcare programs, clearer reporting on government collaborations and regulatory compliance would enhance stakeholder confidence</t>
  </si>
  <si>
    <t>Laureate previously scaled back operations in various regions (e.g., divesting universities in the U.S. and other countries), which raised concerns about long-term commitments to students and communities.</t>
  </si>
  <si>
    <t>Strongly emphasized with over 1.05 million volunteer hours dedicated to social initiatives, making this a high-impact area.</t>
  </si>
  <si>
    <t>No specific details are provided in the report</t>
  </si>
  <si>
    <t>No major legal disputes were mentioned</t>
  </si>
  <si>
    <t>Despite implementing mitigation strategies for the category, the company does not publicly report specific data: To minimize greenhouse gas emissions, UPN has implemented initiatives including waste segregation stations, LED lighting, eco-efficient faucets and urinals, renewable energy sources, parking spaces for sustainable mobility, and the use of solar energy and drip irrigation.</t>
  </si>
  <si>
    <t>Organic waste is treated through composting, contributing to a circular approach that minimizes waste and enhances sustainability on campus</t>
  </si>
  <si>
    <t>The company promotes biodiversity through audits of campus flora and fauna, as well as the establishment of pollinator and hydroponic gardens</t>
  </si>
  <si>
    <t xml:space="preserve">Laureate Education is actively addressing energy consumption by integrating energy-efficient practices across its campuses. Key initiatives include replacing fluorescent and luminescent lights with LED lights, and the implementation of solar systems </t>
  </si>
  <si>
    <t>The report highlights Laureate’s Silver-Level Certification for Labor Equality and Non-Discrimination awarded to UNITEC</t>
  </si>
  <si>
    <t>To further reduce water consumption, Laureate Education has implemented water catchment systems in covered parking lots, allowing for the collection of rainwater, as well as low-flow taps across its campuses</t>
  </si>
  <si>
    <t>Products aren't reported</t>
  </si>
  <si>
    <t>31/12/2025
(1st Quarter 2025/05/01)</t>
  </si>
  <si>
    <r>
      <t xml:space="preserve">DESCRIPTION: </t>
    </r>
    <r>
      <rPr>
        <sz val="9.5"/>
        <rFont val="Arial"/>
        <family val="2"/>
      </rPr>
      <t xml:space="preserve">Laureate Education is a company of higher education institutions that focus on offering accesible and quality education to students around the world. The University offers undergraduated and doctoral degrees in business and managment, medical and health sciences, engineering, information and technology, architecture, education, law and communications </t>
    </r>
  </si>
  <si>
    <t>B+</t>
  </si>
  <si>
    <t>Produts aren't reported since 2020</t>
  </si>
  <si>
    <t>Crecimiento Ult. Año fiscal</t>
  </si>
  <si>
    <t>Crecimiento (vs 2019)</t>
  </si>
  <si>
    <t>Margen Operativo (p)</t>
  </si>
  <si>
    <t xml:space="preserve">Margen Operativo </t>
  </si>
  <si>
    <t>Depreciación y amortización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</si>
</sst>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4" formatCode="_-* #,##0.00\ &quot;€&quot;_-;\-* #,##0.00\ &quot;€&quot;_-;_-* &quot;-&quot;??\ &quot;€&quot;_-;_-@_-"/>
    <numFmt numFmtId="43" formatCode="_-* #,##0.00_-;\-* #,##0.00_-;_-* &quot;-&quot;??_-;_-@_-"/>
    <numFmt numFmtId="164" formatCode="_-&quot;R$&quot;\ * #,##0.00_-;\-&quot;R$&quot;\ * #,##0.00_-;_-&quot;R$&quot;\ * &quot;-&quot;??_-;_-@_-"/>
    <numFmt numFmtId="165" formatCode="&quot;$&quot;#,##0;[Red]\-&quot;$&quot;#,##0"/>
    <numFmt numFmtId="166" formatCode="&quot;$&quot;#,##0.00;[Red]\-&quot;$&quot;#,##0.00"/>
    <numFmt numFmtId="167" formatCode="_-&quot;$&quot;* #,##0.00_-;\-&quot;$&quot;* #,##0.00_-;_-&quot;$&quot;* &quot;-&quot;??_-;_-@_-"/>
    <numFmt numFmtId="168" formatCode="&quot;$&quot;#,##0.00"/>
    <numFmt numFmtId="169" formatCode="&quot;$&quot;#,##0.0"/>
    <numFmt numFmtId="170" formatCode="&quot;$&quot;#,##0"/>
    <numFmt numFmtId="171" formatCode="0.0%"/>
    <numFmt numFmtId="172" formatCode="0.0"/>
    <numFmt numFmtId="173" formatCode="#,##0.0"/>
    <numFmt numFmtId="174" formatCode="#,##0.000"/>
    <numFmt numFmtId="175" formatCode="0.000"/>
    <numFmt numFmtId="176" formatCode="_-[$$-409]* #,##0.00_ ;_-[$$-409]* \-#,##0.00\ ;_-[$$-409]* &quot;-&quot;??_ ;_-@_ "/>
    <numFmt numFmtId="177" formatCode="[$$-409]#,##0"/>
  </numFmts>
  <fonts count="92"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2"/>
      <name val="Arial"/>
      <family val="2"/>
    </font>
    <font>
      <u/>
      <sz val="10"/>
      <color indexed="12"/>
      <name val="Arial"/>
      <family val="2"/>
    </font>
    <font>
      <sz val="10"/>
      <color indexed="8"/>
      <name val="Arial"/>
      <family val="2"/>
    </font>
    <font>
      <sz val="10"/>
      <name val="Arial"/>
      <family val="2"/>
    </font>
    <font>
      <b/>
      <sz val="10"/>
      <name val="Arial"/>
      <family val="2"/>
    </font>
    <font>
      <b/>
      <sz val="10"/>
      <name val="Symbol"/>
      <family val="1"/>
      <charset val="2"/>
    </font>
    <font>
      <sz val="7.9"/>
      <name val="Arial"/>
      <family val="2"/>
    </font>
    <font>
      <b/>
      <sz val="9"/>
      <color indexed="8"/>
      <name val="Arial"/>
      <family val="2"/>
    </font>
    <font>
      <sz val="10"/>
      <name val="Symbol"/>
      <family val="1"/>
      <charset val="2"/>
    </font>
    <font>
      <b/>
      <sz val="16"/>
      <color indexed="9"/>
      <name val="Arial"/>
      <family val="2"/>
    </font>
    <font>
      <b/>
      <sz val="10"/>
      <color indexed="9"/>
      <name val="Arial"/>
      <family val="2"/>
    </font>
    <font>
      <b/>
      <sz val="10"/>
      <color indexed="8"/>
      <name val="Arial"/>
      <family val="2"/>
    </font>
    <font>
      <sz val="10"/>
      <color indexed="63"/>
      <name val="Arial"/>
      <family val="2"/>
    </font>
    <font>
      <b/>
      <sz val="9.3000000000000007"/>
      <name val="Arial"/>
      <family val="2"/>
    </font>
    <font>
      <sz val="8"/>
      <name val="Arial"/>
      <family val="2"/>
    </font>
    <font>
      <b/>
      <sz val="10"/>
      <color indexed="9"/>
      <name val="Symbol"/>
      <family val="1"/>
      <charset val="2"/>
    </font>
    <font>
      <sz val="10"/>
      <name val="Arial"/>
      <family val="2"/>
    </font>
    <font>
      <b/>
      <sz val="9.5"/>
      <name val="Arial"/>
      <family val="2"/>
    </font>
    <font>
      <sz val="9.5"/>
      <name val="Arial"/>
      <family val="2"/>
    </font>
    <font>
      <b/>
      <sz val="9"/>
      <name val="Arial"/>
      <family val="2"/>
    </font>
    <font>
      <sz val="10"/>
      <name val="Arial"/>
      <family val="2"/>
    </font>
    <font>
      <b/>
      <sz val="11"/>
      <name val="Arial"/>
      <family val="2"/>
    </font>
    <font>
      <sz val="12"/>
      <name val="Arial"/>
      <family val="2"/>
    </font>
    <font>
      <sz val="9"/>
      <color indexed="81"/>
      <name val="Tahoma"/>
      <family val="2"/>
    </font>
    <font>
      <sz val="11"/>
      <color theme="1"/>
      <name val="Calibri"/>
      <family val="2"/>
      <scheme val="minor"/>
    </font>
    <font>
      <sz val="10"/>
      <color rgb="FFFF0000"/>
      <name val="Arial"/>
      <family val="2"/>
    </font>
    <font>
      <sz val="10"/>
      <color theme="0"/>
      <name val="Arial"/>
      <family val="2"/>
    </font>
    <font>
      <sz val="10"/>
      <color rgb="FF00B0F0"/>
      <name val="Arial"/>
      <family val="2"/>
    </font>
    <font>
      <b/>
      <sz val="10"/>
      <color theme="0"/>
      <name val="Arial"/>
      <family val="2"/>
    </font>
    <font>
      <b/>
      <sz val="11"/>
      <color theme="3"/>
      <name val="Arial"/>
      <family val="2"/>
    </font>
    <font>
      <sz val="10"/>
      <color rgb="FF333333"/>
      <name val="Arial"/>
      <family val="2"/>
    </font>
    <font>
      <b/>
      <sz val="14"/>
      <color rgb="FFFF0000"/>
      <name val="Arial"/>
      <family val="2"/>
    </font>
    <font>
      <b/>
      <sz val="10"/>
      <color rgb="FF002060"/>
      <name val="Arial"/>
      <family val="2"/>
    </font>
    <font>
      <b/>
      <sz val="11"/>
      <color theme="0"/>
      <name val="Arial"/>
      <family val="2"/>
    </font>
    <font>
      <b/>
      <sz val="16"/>
      <color theme="0"/>
      <name val="Arial"/>
      <family val="2"/>
    </font>
    <font>
      <sz val="7.9"/>
      <color theme="0"/>
      <name val="Arial"/>
      <family val="2"/>
    </font>
    <font>
      <b/>
      <sz val="9"/>
      <color indexed="81"/>
      <name val="Tahoma"/>
      <family val="2"/>
    </font>
    <font>
      <sz val="10"/>
      <color rgb="FF0070C0"/>
      <name val="Arial"/>
      <family val="2"/>
    </font>
    <font>
      <sz val="10"/>
      <color rgb="FF00B050"/>
      <name val="Arial"/>
      <family val="2"/>
    </font>
    <font>
      <sz val="10"/>
      <color rgb="FF92D050"/>
      <name val="Arial"/>
      <family val="2"/>
    </font>
    <font>
      <u/>
      <sz val="10"/>
      <color theme="0"/>
      <name val="Arial"/>
      <family val="2"/>
    </font>
    <font>
      <b/>
      <sz val="10"/>
      <color rgb="FF0070C0"/>
      <name val="Arial"/>
      <family val="2"/>
    </font>
    <font>
      <sz val="10"/>
      <color rgb="FF002060"/>
      <name val="Arial"/>
      <family val="2"/>
    </font>
    <font>
      <sz val="11"/>
      <color theme="0"/>
      <name val="Calibri"/>
      <family val="2"/>
      <scheme val="minor"/>
    </font>
    <font>
      <i/>
      <sz val="10"/>
      <name val="Arial"/>
      <family val="2"/>
    </font>
    <font>
      <sz val="7.5"/>
      <name val="Arial"/>
      <family val="2"/>
    </font>
    <font>
      <sz val="9"/>
      <name val="Arial"/>
      <family val="2"/>
    </font>
    <font>
      <i/>
      <sz val="9"/>
      <name val="Arial"/>
      <family val="2"/>
    </font>
    <font>
      <b/>
      <sz val="7.5"/>
      <name val="Arial"/>
      <family val="2"/>
    </font>
    <font>
      <sz val="11"/>
      <name val="Arial"/>
      <family val="2"/>
    </font>
    <font>
      <b/>
      <sz val="11"/>
      <color theme="1"/>
      <name val="Calibri"/>
      <family val="2"/>
      <scheme val="minor"/>
    </font>
    <font>
      <b/>
      <sz val="11"/>
      <name val="Calibri"/>
      <family val="2"/>
      <scheme val="minor"/>
    </font>
    <font>
      <sz val="10"/>
      <color rgb="FFC00000"/>
      <name val="Arial"/>
      <family val="2"/>
    </font>
    <font>
      <sz val="11"/>
      <color rgb="FFC00000"/>
      <name val="Calibri"/>
      <family val="2"/>
      <scheme val="minor"/>
    </font>
    <font>
      <sz val="11"/>
      <name val="Calibri"/>
      <family val="2"/>
      <scheme val="minor"/>
    </font>
    <font>
      <sz val="10"/>
      <color rgb="FF000000"/>
      <name val="Arial"/>
      <family val="2"/>
    </font>
    <font>
      <sz val="10"/>
      <name val="Arial"/>
      <family val="2"/>
    </font>
    <font>
      <sz val="8"/>
      <name val="Arial"/>
      <family val="2"/>
    </font>
    <font>
      <sz val="10"/>
      <color theme="1"/>
      <name val="Arial"/>
      <family val="2"/>
    </font>
    <font>
      <b/>
      <sz val="10"/>
      <color rgb="FF000000"/>
      <name val="Tahoma"/>
      <family val="2"/>
    </font>
    <font>
      <sz val="10"/>
      <color rgb="FF000000"/>
      <name val="Tahoma"/>
      <family val="2"/>
    </font>
    <font>
      <b/>
      <sz val="9"/>
      <color rgb="FF000000"/>
      <name val="Tahoma"/>
      <family val="2"/>
    </font>
    <font>
      <sz val="12"/>
      <color theme="1"/>
      <name val="Calibri"/>
      <family val="2"/>
    </font>
    <font>
      <sz val="16"/>
      <color theme="1"/>
      <name val="Arial"/>
      <family val="2"/>
    </font>
    <font>
      <sz val="10"/>
      <name val="Arial"/>
      <family val="2"/>
    </font>
    <font>
      <b/>
      <sz val="10"/>
      <color rgb="FFFFFFFF"/>
      <name val="Arial"/>
      <family val="2"/>
    </font>
    <font>
      <b/>
      <sz val="11"/>
      <color theme="0"/>
      <name val="Calibri"/>
      <family val="2"/>
      <scheme val="minor"/>
    </font>
    <font>
      <i/>
      <sz val="11"/>
      <color theme="1"/>
      <name val="Calibri"/>
      <family val="2"/>
      <scheme val="minor"/>
    </font>
    <font>
      <b/>
      <sz val="9.5"/>
      <color rgb="FF00B050"/>
      <name val="Arial"/>
      <family val="2"/>
    </font>
    <font>
      <sz val="9.5"/>
      <color theme="1"/>
      <name val="Arial"/>
      <family val="2"/>
    </font>
    <font>
      <b/>
      <sz val="9.5"/>
      <color theme="1"/>
      <name val="Arial"/>
      <family val="2"/>
    </font>
    <font>
      <sz val="9.5"/>
      <color rgb="FF00B050"/>
      <name val="Arial"/>
      <family val="2"/>
    </font>
    <font>
      <sz val="9"/>
      <color rgb="FF000000"/>
      <name val="Tahoma"/>
      <family val="2"/>
    </font>
    <font>
      <sz val="12"/>
      <color theme="0"/>
      <name val="Calibri"/>
      <family val="2"/>
    </font>
    <font>
      <sz val="10"/>
      <color theme="0"/>
      <name val="Arial"/>
      <family val="2"/>
    </font>
    <font>
      <sz val="11"/>
      <color theme="0"/>
      <name val="Arial"/>
      <family val="2"/>
    </font>
    <font>
      <sz val="16"/>
      <color theme="0"/>
      <name val="Arial"/>
      <family val="2"/>
    </font>
    <font>
      <b/>
      <sz val="9"/>
      <color theme="0"/>
      <name val="Arial"/>
      <family val="2"/>
    </font>
  </fonts>
  <fills count="33">
    <fill>
      <patternFill patternType="none"/>
    </fill>
    <fill>
      <patternFill patternType="gray125"/>
    </fill>
    <fill>
      <patternFill patternType="solid">
        <fgColor rgb="FF4F81BD"/>
        <bgColor indexed="64"/>
      </patternFill>
    </fill>
    <fill>
      <patternFill patternType="solid">
        <fgColor rgb="FFFFFFFF"/>
        <bgColor indexed="64"/>
      </patternFill>
    </fill>
    <fill>
      <patternFill patternType="solid">
        <fgColor theme="3"/>
        <bgColor indexed="64"/>
      </patternFill>
    </fill>
    <fill>
      <patternFill patternType="solid">
        <fgColor theme="0" tint="-0.499984740745262"/>
        <bgColor indexed="64"/>
      </patternFill>
    </fill>
    <fill>
      <patternFill patternType="solid">
        <fgColor rgb="FF92D050"/>
        <bgColor indexed="64"/>
      </patternFill>
    </fill>
    <fill>
      <patternFill patternType="solid">
        <fgColor theme="0" tint="-0.14999847407452621"/>
        <bgColor indexed="64"/>
      </patternFill>
    </fill>
    <fill>
      <patternFill patternType="solid">
        <fgColor rgb="FFFFC000"/>
        <bgColor indexed="64"/>
      </patternFill>
    </fill>
    <fill>
      <patternFill patternType="solid">
        <fgColor theme="0"/>
        <bgColor indexed="64"/>
      </patternFill>
    </fill>
    <fill>
      <patternFill patternType="solid">
        <fgColor rgb="FFFF0000"/>
        <bgColor indexed="64"/>
      </patternFill>
    </fill>
    <fill>
      <patternFill patternType="solid">
        <fgColor theme="4" tint="-0.499984740745262"/>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indexed="57"/>
        <bgColor indexed="64"/>
      </patternFill>
    </fill>
    <fill>
      <patternFill patternType="solid">
        <fgColor theme="0" tint="-0.34998626667073579"/>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2"/>
        <bgColor indexed="64"/>
      </patternFill>
    </fill>
    <fill>
      <patternFill patternType="solid">
        <fgColor rgb="FF4F81BD"/>
        <bgColor rgb="FF000000"/>
      </patternFill>
    </fill>
    <fill>
      <patternFill patternType="solid">
        <fgColor theme="6"/>
        <bgColor indexed="64"/>
      </patternFill>
    </fill>
    <fill>
      <patternFill patternType="solid">
        <fgColor theme="0" tint="-4.9989318521683403E-2"/>
        <bgColor indexed="64"/>
      </patternFill>
    </fill>
    <fill>
      <patternFill patternType="solid">
        <fgColor rgb="FF1F497D"/>
        <bgColor indexed="64"/>
      </patternFill>
    </fill>
    <fill>
      <patternFill patternType="solid">
        <fgColor theme="4" tint="0.79998168889431442"/>
        <bgColor indexed="64"/>
      </patternFill>
    </fill>
    <fill>
      <patternFill patternType="solid">
        <fgColor rgb="FF339966"/>
        <bgColor rgb="FF000000"/>
      </patternFill>
    </fill>
    <fill>
      <patternFill patternType="solid">
        <fgColor rgb="FFDDD9C4"/>
        <bgColor indexed="64"/>
      </patternFill>
    </fill>
    <fill>
      <patternFill patternType="solid">
        <fgColor theme="3" tint="0.89999084444715716"/>
        <bgColor indexed="64"/>
      </patternFill>
    </fill>
    <fill>
      <patternFill patternType="solid">
        <fgColor theme="3" tint="0.749992370372631"/>
        <bgColor indexed="64"/>
      </patternFill>
    </fill>
  </fills>
  <borders count="121">
    <border>
      <left/>
      <right/>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medium">
        <color theme="3"/>
      </left>
      <right/>
      <top style="thin">
        <color theme="0" tint="-0.499984740745262"/>
      </top>
      <bottom style="thin">
        <color theme="0" tint="-0.499984740745262"/>
      </bottom>
      <diagonal/>
    </border>
    <border>
      <left style="thin">
        <color theme="0" tint="-0.499984740745262"/>
      </left>
      <right style="medium">
        <color theme="3"/>
      </right>
      <top style="thin">
        <color theme="0" tint="-0.499984740745262"/>
      </top>
      <bottom style="thin">
        <color theme="0" tint="-0.499984740745262"/>
      </bottom>
      <diagonal/>
    </border>
    <border>
      <left style="medium">
        <color theme="3"/>
      </left>
      <right/>
      <top style="thin">
        <color theme="0" tint="-0.499984740745262"/>
      </top>
      <bottom/>
      <diagonal/>
    </border>
    <border>
      <left style="thin">
        <color theme="0" tint="-0.499984740745262"/>
      </left>
      <right style="medium">
        <color theme="3"/>
      </right>
      <top style="thin">
        <color theme="0" tint="-0.499984740745262"/>
      </top>
      <bottom/>
      <diagonal/>
    </border>
    <border>
      <left style="medium">
        <color theme="3"/>
      </left>
      <right/>
      <top/>
      <bottom/>
      <diagonal/>
    </border>
    <border>
      <left/>
      <right style="medium">
        <color theme="3"/>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medium">
        <color theme="3"/>
      </right>
      <top/>
      <bottom/>
      <diagonal/>
    </border>
    <border>
      <left style="medium">
        <color theme="3"/>
      </left>
      <right style="thin">
        <color theme="0" tint="-0.499984740745262"/>
      </right>
      <top/>
      <bottom/>
      <diagonal/>
    </border>
    <border>
      <left style="medium">
        <color theme="3"/>
      </left>
      <right style="thin">
        <color theme="0" tint="-0.499984740745262"/>
      </right>
      <top/>
      <bottom style="thin">
        <color theme="0" tint="-0.499984740745262"/>
      </bottom>
      <diagonal/>
    </border>
    <border>
      <left style="medium">
        <color theme="3"/>
      </left>
      <right/>
      <top/>
      <bottom style="thin">
        <color theme="0" tint="-0.499984740745262"/>
      </bottom>
      <diagonal/>
    </border>
    <border>
      <left style="medium">
        <color theme="3"/>
      </left>
      <right/>
      <top/>
      <bottom style="medium">
        <color theme="3"/>
      </bottom>
      <diagonal/>
    </border>
    <border>
      <left/>
      <right style="thin">
        <color theme="0" tint="-0.499984740745262"/>
      </right>
      <top/>
      <bottom/>
      <diagonal/>
    </border>
    <border>
      <left style="thin">
        <color theme="0" tint="-0.499984740745262"/>
      </left>
      <right style="thin">
        <color theme="0" tint="-0.499984740745262"/>
      </right>
      <top/>
      <bottom/>
      <diagonal/>
    </border>
    <border>
      <left/>
      <right style="thin">
        <color theme="0" tint="-0.499984740745262"/>
      </right>
      <top/>
      <bottom style="medium">
        <color theme="3"/>
      </bottom>
      <diagonal/>
    </border>
    <border>
      <left style="thin">
        <color theme="0" tint="-0.499984740745262"/>
      </left>
      <right style="thin">
        <color theme="0" tint="-0.499984740745262"/>
      </right>
      <top/>
      <bottom style="medium">
        <color theme="3"/>
      </bottom>
      <diagonal/>
    </border>
    <border>
      <left style="medium">
        <color theme="3"/>
      </left>
      <right/>
      <top style="medium">
        <color theme="3"/>
      </top>
      <bottom/>
      <diagonal/>
    </border>
    <border>
      <left/>
      <right/>
      <top style="medium">
        <color theme="3"/>
      </top>
      <bottom/>
      <diagonal/>
    </border>
    <border>
      <left/>
      <right style="medium">
        <color theme="3"/>
      </right>
      <top style="medium">
        <color theme="3"/>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3"/>
      </left>
      <right style="thin">
        <color theme="0" tint="-0.249977111117893"/>
      </right>
      <top style="medium">
        <color theme="3"/>
      </top>
      <bottom style="thin">
        <color theme="0" tint="-0.249977111117893"/>
      </bottom>
      <diagonal/>
    </border>
    <border>
      <left style="thin">
        <color theme="0" tint="-0.249977111117893"/>
      </left>
      <right style="thin">
        <color theme="0" tint="-0.249977111117893"/>
      </right>
      <top style="medium">
        <color theme="3"/>
      </top>
      <bottom style="thin">
        <color theme="0" tint="-0.249977111117893"/>
      </bottom>
      <diagonal/>
    </border>
    <border>
      <left style="thin">
        <color theme="0" tint="-0.249977111117893"/>
      </left>
      <right style="medium">
        <color theme="3"/>
      </right>
      <top style="medium">
        <color theme="3"/>
      </top>
      <bottom style="thin">
        <color theme="0" tint="-0.249977111117893"/>
      </bottom>
      <diagonal/>
    </border>
    <border>
      <left style="medium">
        <color theme="3"/>
      </left>
      <right style="thin">
        <color theme="0" tint="-0.249977111117893"/>
      </right>
      <top style="thin">
        <color theme="0" tint="-0.249977111117893"/>
      </top>
      <bottom style="thin">
        <color theme="0" tint="-0.249977111117893"/>
      </bottom>
      <diagonal/>
    </border>
    <border>
      <left style="thin">
        <color theme="0" tint="-0.249977111117893"/>
      </left>
      <right style="medium">
        <color theme="3"/>
      </right>
      <top style="thin">
        <color theme="0" tint="-0.249977111117893"/>
      </top>
      <bottom style="thin">
        <color theme="0" tint="-0.249977111117893"/>
      </bottom>
      <diagonal/>
    </border>
    <border>
      <left style="thin">
        <color theme="3"/>
      </left>
      <right/>
      <top style="thin">
        <color theme="3"/>
      </top>
      <bottom/>
      <diagonal/>
    </border>
    <border>
      <left/>
      <right/>
      <top style="thin">
        <color theme="3"/>
      </top>
      <bottom/>
      <diagonal/>
    </border>
    <border>
      <left style="thin">
        <color theme="3"/>
      </left>
      <right/>
      <top/>
      <bottom/>
      <diagonal/>
    </border>
    <border>
      <left/>
      <right style="thin">
        <color theme="3"/>
      </right>
      <top/>
      <bottom/>
      <diagonal/>
    </border>
    <border>
      <left style="thin">
        <color theme="3"/>
      </left>
      <right/>
      <top/>
      <bottom style="thin">
        <color theme="3"/>
      </bottom>
      <diagonal/>
    </border>
    <border>
      <left/>
      <right/>
      <top/>
      <bottom style="thin">
        <color theme="3"/>
      </bottom>
      <diagonal/>
    </border>
    <border>
      <left/>
      <right style="thin">
        <color theme="3"/>
      </right>
      <top/>
      <bottom style="thin">
        <color theme="3"/>
      </bottom>
      <diagonal/>
    </border>
    <border>
      <left style="medium">
        <color theme="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medium">
        <color theme="3"/>
      </left>
      <right style="thin">
        <color theme="0" tint="-0.14999847407452621"/>
      </right>
      <top style="thin">
        <color theme="0" tint="-0.14999847407452621"/>
      </top>
      <bottom style="medium">
        <color theme="3"/>
      </bottom>
      <diagonal/>
    </border>
    <border>
      <left style="thin">
        <color theme="0" tint="-0.14999847407452621"/>
      </left>
      <right style="thin">
        <color theme="0" tint="-0.14999847407452621"/>
      </right>
      <top style="thin">
        <color theme="0" tint="-0.14999847407452621"/>
      </top>
      <bottom style="medium">
        <color theme="3"/>
      </bottom>
      <diagonal/>
    </border>
    <border>
      <left style="thin">
        <color theme="0" tint="-0.14999847407452621"/>
      </left>
      <right style="thin">
        <color theme="0" tint="-0.14999847407452621"/>
      </right>
      <top style="medium">
        <color theme="3"/>
      </top>
      <bottom style="thin">
        <color theme="0" tint="-0.14999847407452621"/>
      </bottom>
      <diagonal/>
    </border>
    <border>
      <left style="thin">
        <color theme="0" tint="-0.249977111117893"/>
      </left>
      <right/>
      <top style="thin">
        <color theme="0" tint="-0.249977111117893"/>
      </top>
      <bottom style="thin">
        <color theme="0" tint="-0.249977111117893"/>
      </bottom>
      <diagonal/>
    </border>
    <border>
      <left style="thin">
        <color theme="0" tint="-0.249977111117893"/>
      </left>
      <right/>
      <top style="medium">
        <color theme="3"/>
      </top>
      <bottom style="thin">
        <color theme="0" tint="-0.249977111117893"/>
      </bottom>
      <diagonal/>
    </border>
    <border>
      <left/>
      <right/>
      <top style="medium">
        <color theme="3"/>
      </top>
      <bottom style="thin">
        <color theme="0" tint="-0.249977111117893"/>
      </bottom>
      <diagonal/>
    </border>
    <border>
      <left/>
      <right style="thin">
        <color theme="0" tint="-0.249977111117893"/>
      </right>
      <top style="medium">
        <color theme="3"/>
      </top>
      <bottom style="thin">
        <color theme="0" tint="-0.249977111117893"/>
      </bottom>
      <diagonal/>
    </border>
    <border>
      <left style="medium">
        <color theme="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medium">
        <color theme="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
      <left style="medium">
        <color theme="3"/>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medium">
        <color theme="3"/>
      </left>
      <right/>
      <top style="medium">
        <color theme="3"/>
      </top>
      <bottom style="thin">
        <color theme="0" tint="-0.499984740745262"/>
      </bottom>
      <diagonal/>
    </border>
    <border>
      <left/>
      <right/>
      <top style="medium">
        <color theme="3"/>
      </top>
      <bottom style="thin">
        <color theme="0" tint="-0.499984740745262"/>
      </bottom>
      <diagonal/>
    </border>
    <border>
      <left/>
      <right style="medium">
        <color theme="3"/>
      </right>
      <top style="medium">
        <color theme="3"/>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medium">
        <color theme="3"/>
      </right>
      <top/>
      <bottom style="medium">
        <color theme="3"/>
      </bottom>
      <diagonal/>
    </border>
    <border>
      <left style="thin">
        <color theme="0" tint="-0.499984740745262"/>
      </left>
      <right/>
      <top/>
      <bottom/>
      <diagonal/>
    </border>
    <border>
      <left style="thin">
        <color theme="0" tint="-0.249977111117893"/>
      </left>
      <right/>
      <top style="thin">
        <color theme="0" tint="-0.249977111117893"/>
      </top>
      <bottom/>
      <diagonal/>
    </border>
    <border>
      <left/>
      <right/>
      <top/>
      <bottom style="thin">
        <color indexed="64"/>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style="thin">
        <color theme="0" tint="-0.499984740745262"/>
      </left>
      <right style="medium">
        <color theme="3"/>
      </right>
      <top/>
      <bottom/>
      <diagonal/>
    </border>
    <border>
      <left style="thin">
        <color theme="0" tint="-0.499984740745262"/>
      </left>
      <right style="thin">
        <color theme="0" tint="-0.499984740745262"/>
      </right>
      <top/>
      <bottom style="thin">
        <color indexed="64"/>
      </bottom>
      <diagonal/>
    </border>
    <border>
      <left style="thin">
        <color theme="0" tint="-0.249977111117893"/>
      </left>
      <right style="thin">
        <color theme="0" tint="-0.249977111117893"/>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int="-0.499984740745262"/>
      </top>
      <bottom/>
      <diagonal/>
    </border>
    <border>
      <left style="medium">
        <color indexed="64"/>
      </left>
      <right/>
      <top style="medium">
        <color indexed="64"/>
      </top>
      <bottom style="thin">
        <color theme="0" tint="-0.499984740745262"/>
      </bottom>
      <diagonal/>
    </border>
    <border>
      <left/>
      <right/>
      <top style="medium">
        <color indexed="64"/>
      </top>
      <bottom style="thin">
        <color theme="0" tint="-0.499984740745262"/>
      </bottom>
      <diagonal/>
    </border>
    <border>
      <left/>
      <right style="medium">
        <color indexed="64"/>
      </right>
      <top style="medium">
        <color indexed="64"/>
      </top>
      <bottom style="thin">
        <color theme="0" tint="-0.499984740745262"/>
      </bottom>
      <diagonal/>
    </border>
    <border>
      <left style="medium">
        <color indexed="64"/>
      </left>
      <right/>
      <top style="thin">
        <color theme="0" tint="-0.499984740745262"/>
      </top>
      <bottom/>
      <diagonal/>
    </border>
    <border>
      <left/>
      <right style="medium">
        <color indexed="64"/>
      </right>
      <top style="thin">
        <color theme="0" tint="-0.499984740745262"/>
      </top>
      <bottom/>
      <diagonal/>
    </border>
    <border>
      <left style="thin">
        <color theme="1"/>
      </left>
      <right style="thin">
        <color theme="1"/>
      </right>
      <top style="thin">
        <color theme="1"/>
      </top>
      <bottom style="thin">
        <color theme="1"/>
      </bottom>
      <diagonal/>
    </border>
    <border>
      <left style="thin">
        <color theme="1"/>
      </left>
      <right style="thin">
        <color theme="1"/>
      </right>
      <top/>
      <bottom style="thin">
        <color theme="1"/>
      </bottom>
      <diagonal/>
    </border>
    <border>
      <left/>
      <right style="thin">
        <color theme="1"/>
      </right>
      <top style="thin">
        <color theme="1"/>
      </top>
      <bottom style="thin">
        <color theme="1"/>
      </bottom>
      <diagonal/>
    </border>
    <border>
      <left/>
      <right style="thin">
        <color theme="1"/>
      </right>
      <top/>
      <bottom style="thin">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thin">
        <color theme="1"/>
      </left>
      <right/>
      <top style="thin">
        <color theme="1"/>
      </top>
      <bottom/>
      <diagonal/>
    </border>
    <border>
      <left style="thin">
        <color theme="1"/>
      </left>
      <right/>
      <top/>
      <bottom style="thin">
        <color theme="1"/>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right style="thin">
        <color indexed="64"/>
      </right>
      <top/>
      <bottom style="medium">
        <color indexed="64"/>
      </bottom>
      <diagonal/>
    </border>
    <border>
      <left style="thin">
        <color theme="0" tint="-0.14999847407452621"/>
      </left>
      <right/>
      <top style="thin">
        <color theme="0" tint="-0.14999847407452621"/>
      </top>
      <bottom style="thin">
        <color theme="0" tint="-0.14999847407452621"/>
      </bottom>
      <diagonal/>
    </border>
    <border>
      <left style="thin">
        <color theme="0" tint="-0.14999847407452621"/>
      </left>
      <right/>
      <top style="thin">
        <color theme="0" tint="-0.14999847407452621"/>
      </top>
      <bottom style="medium">
        <color theme="3"/>
      </bottom>
      <diagonal/>
    </border>
    <border>
      <left style="thin">
        <color theme="0" tint="-0.249977111117893"/>
      </left>
      <right style="medium">
        <color theme="3"/>
      </right>
      <top style="thin">
        <color theme="0" tint="-0.249977111117893"/>
      </top>
      <bottom/>
      <diagonal/>
    </border>
    <border>
      <left/>
      <right/>
      <top/>
      <bottom style="medium">
        <color theme="3"/>
      </bottom>
      <diagonal/>
    </border>
    <border>
      <left/>
      <right style="medium">
        <color theme="3"/>
      </right>
      <top style="thin">
        <color theme="0" tint="-0.499984740745262"/>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s>
  <cellStyleXfs count="42">
    <xf numFmtId="0" fontId="0" fillId="0" borderId="0"/>
    <xf numFmtId="0" fontId="23" fillId="2" borderId="1" applyNumberFormat="0" applyProtection="0">
      <alignment horizontal="left" vertical="center" readingOrder="1"/>
    </xf>
    <xf numFmtId="0" fontId="24" fillId="2" borderId="3">
      <alignment horizontal="right"/>
    </xf>
    <xf numFmtId="0" fontId="24" fillId="2" borderId="3">
      <alignment horizontal="left"/>
    </xf>
    <xf numFmtId="3" fontId="25" fillId="3" borderId="4">
      <alignment horizontal="right"/>
    </xf>
    <xf numFmtId="173" fontId="16" fillId="3" borderId="4">
      <alignment horizontal="right"/>
    </xf>
    <xf numFmtId="4" fontId="16" fillId="3" borderId="4">
      <alignment horizontal="right"/>
    </xf>
    <xf numFmtId="0" fontId="25" fillId="3" borderId="5"/>
    <xf numFmtId="0" fontId="26" fillId="3" borderId="5"/>
    <xf numFmtId="0" fontId="15" fillId="0" borderId="0" applyNumberFormat="0" applyFill="0" applyBorder="0" applyAlignment="0" applyProtection="0">
      <alignment vertical="top"/>
      <protection locked="0"/>
    </xf>
    <xf numFmtId="167" fontId="34" fillId="0" borderId="0" applyFont="0" applyFill="0" applyBorder="0" applyAlignment="0" applyProtection="0"/>
    <xf numFmtId="167" fontId="17" fillId="0" borderId="0" applyFont="0" applyFill="0" applyBorder="0" applyAlignment="0" applyProtection="0"/>
    <xf numFmtId="0" fontId="38" fillId="0" borderId="0"/>
    <xf numFmtId="0" fontId="17" fillId="0" borderId="0"/>
    <xf numFmtId="9" fontId="13" fillId="0" borderId="0" applyFont="0" applyFill="0" applyBorder="0" applyAlignment="0" applyProtection="0"/>
    <xf numFmtId="9" fontId="34" fillId="0" borderId="0" applyFont="0" applyFill="0" applyBorder="0" applyAlignment="0" applyProtection="0"/>
    <xf numFmtId="9" fontId="17" fillId="0" borderId="0" applyFont="0" applyFill="0" applyBorder="0" applyAlignment="0" applyProtection="0"/>
    <xf numFmtId="9" fontId="38" fillId="0" borderId="0" applyFont="0" applyFill="0" applyBorder="0" applyAlignment="0" applyProtection="0"/>
    <xf numFmtId="0" fontId="12" fillId="0" borderId="0"/>
    <xf numFmtId="0" fontId="13" fillId="0" borderId="0"/>
    <xf numFmtId="167" fontId="13" fillId="0" borderId="0" applyFont="0" applyFill="0" applyBorder="0" applyAlignment="0" applyProtection="0"/>
    <xf numFmtId="167" fontId="13" fillId="0" borderId="0" applyFont="0" applyFill="0" applyBorder="0" applyAlignment="0" applyProtection="0"/>
    <xf numFmtId="0" fontId="11" fillId="0" borderId="0"/>
    <xf numFmtId="0" fontId="13" fillId="0" borderId="0"/>
    <xf numFmtId="9" fontId="13" fillId="0" borderId="0" applyFont="0" applyFill="0" applyBorder="0" applyAlignment="0" applyProtection="0"/>
    <xf numFmtId="9" fontId="13" fillId="0" borderId="0" applyFont="0" applyFill="0" applyBorder="0" applyAlignment="0" applyProtection="0"/>
    <xf numFmtId="9" fontId="11" fillId="0" borderId="0" applyFont="0" applyFill="0" applyBorder="0" applyAlignment="0" applyProtection="0"/>
    <xf numFmtId="0" fontId="11" fillId="0" borderId="0"/>
    <xf numFmtId="43" fontId="13" fillId="0" borderId="0" applyFont="0" applyFill="0" applyBorder="0" applyAlignment="0" applyProtection="0"/>
    <xf numFmtId="44" fontId="13" fillId="0" borderId="0" applyFont="0" applyFill="0" applyBorder="0" applyAlignment="0" applyProtection="0"/>
    <xf numFmtId="0" fontId="10" fillId="0" borderId="0"/>
    <xf numFmtId="0" fontId="10"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43" fontId="70" fillId="0" borderId="0" applyFont="0" applyFill="0" applyBorder="0" applyAlignment="0" applyProtection="0"/>
    <xf numFmtId="0" fontId="8" fillId="0" borderId="0"/>
    <xf numFmtId="164" fontId="78" fillId="0" borderId="0" applyFont="0" applyFill="0" applyBorder="0" applyAlignment="0" applyProtection="0"/>
    <xf numFmtId="0" fontId="5" fillId="0" borderId="0"/>
    <xf numFmtId="0" fontId="79" fillId="24" borderId="2">
      <alignment horizontal="right"/>
    </xf>
    <xf numFmtId="173" fontId="25" fillId="3" borderId="4">
      <alignment horizontal="right"/>
    </xf>
  </cellStyleXfs>
  <cellXfs count="819">
    <xf numFmtId="0" fontId="0" fillId="0" borderId="0" xfId="0"/>
    <xf numFmtId="170" fontId="0" fillId="0" borderId="0" xfId="0" applyNumberFormat="1" applyAlignment="1">
      <alignment horizontal="center"/>
    </xf>
    <xf numFmtId="168" fontId="0" fillId="0" borderId="0" xfId="0" applyNumberFormat="1" applyAlignment="1">
      <alignment horizontal="center"/>
    </xf>
    <xf numFmtId="9" fontId="0" fillId="0" borderId="0" xfId="14" applyFont="1" applyAlignment="1">
      <alignment horizontal="center"/>
    </xf>
    <xf numFmtId="0" fontId="0" fillId="0" borderId="0" xfId="0" applyAlignment="1">
      <alignment horizontal="center"/>
    </xf>
    <xf numFmtId="2" fontId="0" fillId="0" borderId="0" xfId="0" applyNumberFormat="1" applyAlignment="1">
      <alignment horizontal="center"/>
    </xf>
    <xf numFmtId="171" fontId="0" fillId="0" borderId="0" xfId="14" applyNumberFormat="1" applyFont="1" applyAlignment="1">
      <alignment horizontal="center"/>
    </xf>
    <xf numFmtId="170" fontId="0" fillId="0" borderId="0" xfId="0" applyNumberFormat="1"/>
    <xf numFmtId="9" fontId="0" fillId="0" borderId="0" xfId="0" applyNumberFormat="1" applyAlignment="1">
      <alignment horizontal="center"/>
    </xf>
    <xf numFmtId="10" fontId="0" fillId="0" borderId="0" xfId="0" applyNumberFormat="1" applyAlignment="1">
      <alignment horizontal="center"/>
    </xf>
    <xf numFmtId="171" fontId="0" fillId="0" borderId="0" xfId="0" applyNumberFormat="1" applyAlignment="1">
      <alignment horizontal="center"/>
    </xf>
    <xf numFmtId="0" fontId="17" fillId="0" borderId="0" xfId="0" applyFont="1"/>
    <xf numFmtId="9" fontId="0" fillId="0" borderId="0" xfId="14" applyFont="1"/>
    <xf numFmtId="0" fontId="18" fillId="0" borderId="0" xfId="0" applyFont="1" applyAlignment="1">
      <alignment horizontal="center"/>
    </xf>
    <xf numFmtId="170" fontId="17" fillId="0" borderId="0" xfId="0" applyNumberFormat="1" applyFont="1"/>
    <xf numFmtId="171" fontId="0" fillId="0" borderId="0" xfId="14" applyNumberFormat="1" applyFont="1"/>
    <xf numFmtId="3" fontId="0" fillId="0" borderId="0" xfId="0" applyNumberFormat="1"/>
    <xf numFmtId="0" fontId="39" fillId="0" borderId="0" xfId="0" applyFont="1"/>
    <xf numFmtId="0" fontId="20" fillId="0" borderId="0" xfId="0" applyFont="1" applyAlignment="1">
      <alignment vertical="top" wrapText="1"/>
    </xf>
    <xf numFmtId="0" fontId="40" fillId="0" borderId="0" xfId="0" applyFont="1"/>
    <xf numFmtId="0" fontId="41" fillId="0" borderId="0" xfId="0" applyFont="1"/>
    <xf numFmtId="170" fontId="17" fillId="0" borderId="0" xfId="0" applyNumberFormat="1" applyFont="1" applyAlignment="1">
      <alignment horizontal="center"/>
    </xf>
    <xf numFmtId="0" fontId="28" fillId="0" borderId="0" xfId="0" applyFont="1"/>
    <xf numFmtId="0" fontId="24" fillId="4" borderId="6" xfId="2" applyFill="1" applyBorder="1" applyAlignment="1">
      <alignment horizontal="center" vertical="center"/>
    </xf>
    <xf numFmtId="0" fontId="42" fillId="4" borderId="6" xfId="0" applyFont="1" applyFill="1" applyBorder="1" applyAlignment="1">
      <alignment horizontal="center"/>
    </xf>
    <xf numFmtId="0" fontId="24" fillId="4" borderId="8" xfId="3" applyFill="1" applyBorder="1">
      <alignment horizontal="left"/>
    </xf>
    <xf numFmtId="0" fontId="24" fillId="4" borderId="9" xfId="2" applyFill="1" applyBorder="1" applyAlignment="1">
      <alignment horizontal="center" vertical="center"/>
    </xf>
    <xf numFmtId="0" fontId="43" fillId="0" borderId="10" xfId="7" applyFont="1" applyFill="1" applyBorder="1" applyAlignment="1">
      <alignment horizontal="center"/>
    </xf>
    <xf numFmtId="0" fontId="42" fillId="4" borderId="13" xfId="0" applyFont="1" applyFill="1" applyBorder="1" applyAlignment="1">
      <alignment horizontal="center"/>
    </xf>
    <xf numFmtId="0" fontId="18" fillId="0" borderId="14" xfId="0" applyFont="1" applyBorder="1" applyAlignment="1">
      <alignment horizontal="center"/>
    </xf>
    <xf numFmtId="0" fontId="18" fillId="0" borderId="13" xfId="0" applyFont="1" applyBorder="1" applyAlignment="1">
      <alignment horizontal="center"/>
    </xf>
    <xf numFmtId="9" fontId="30" fillId="0" borderId="15" xfId="14" applyFont="1" applyBorder="1"/>
    <xf numFmtId="0" fontId="40" fillId="4" borderId="0" xfId="0" applyFont="1" applyFill="1"/>
    <xf numFmtId="170" fontId="40" fillId="4" borderId="0" xfId="0" applyNumberFormat="1" applyFont="1" applyFill="1"/>
    <xf numFmtId="170" fontId="40" fillId="4" borderId="0" xfId="0" applyNumberFormat="1" applyFont="1" applyFill="1" applyAlignment="1">
      <alignment horizontal="center"/>
    </xf>
    <xf numFmtId="171" fontId="18" fillId="0" borderId="0" xfId="0" applyNumberFormat="1" applyFont="1" applyAlignment="1">
      <alignment horizontal="center"/>
    </xf>
    <xf numFmtId="10" fontId="18" fillId="0" borderId="0" xfId="0" applyNumberFormat="1" applyFont="1" applyAlignment="1">
      <alignment horizontal="center"/>
    </xf>
    <xf numFmtId="170" fontId="42" fillId="4" borderId="0" xfId="0" applyNumberFormat="1" applyFont="1" applyFill="1" applyAlignment="1">
      <alignment horizontal="center"/>
    </xf>
    <xf numFmtId="170" fontId="17" fillId="0" borderId="0" xfId="9" applyNumberFormat="1" applyFont="1" applyAlignment="1" applyProtection="1">
      <alignment horizontal="left"/>
    </xf>
    <xf numFmtId="170" fontId="18" fillId="0" borderId="0" xfId="0" applyNumberFormat="1" applyFont="1" applyAlignment="1">
      <alignment horizontal="left"/>
    </xf>
    <xf numFmtId="168" fontId="18" fillId="0" borderId="0" xfId="0" applyNumberFormat="1" applyFont="1" applyAlignment="1">
      <alignment horizontal="center"/>
    </xf>
    <xf numFmtId="9" fontId="18" fillId="0" borderId="0" xfId="14" applyFont="1" applyAlignment="1">
      <alignment horizontal="center"/>
    </xf>
    <xf numFmtId="0" fontId="44" fillId="0" borderId="12" xfId="0" applyFont="1" applyBorder="1"/>
    <xf numFmtId="0" fontId="44" fillId="0" borderId="20" xfId="0" applyFont="1" applyBorder="1" applyAlignment="1">
      <alignment horizontal="center"/>
    </xf>
    <xf numFmtId="0" fontId="44" fillId="0" borderId="21" xfId="0" applyFont="1" applyBorder="1"/>
    <xf numFmtId="0" fontId="44" fillId="0" borderId="19" xfId="0" applyFont="1" applyBorder="1"/>
    <xf numFmtId="0" fontId="44" fillId="0" borderId="22" xfId="0" applyFont="1" applyBorder="1" applyAlignment="1">
      <alignment horizontal="center"/>
    </xf>
    <xf numFmtId="0" fontId="44" fillId="0" borderId="23" xfId="0" applyFont="1" applyBorder="1"/>
    <xf numFmtId="0" fontId="33" fillId="0" borderId="0" xfId="0" applyFont="1"/>
    <xf numFmtId="171" fontId="40" fillId="4" borderId="0" xfId="0" applyNumberFormat="1" applyFont="1" applyFill="1" applyAlignment="1">
      <alignment horizontal="center"/>
    </xf>
    <xf numFmtId="0" fontId="44" fillId="3" borderId="12" xfId="8" applyFont="1" applyBorder="1" applyAlignment="1">
      <alignment vertical="center"/>
    </xf>
    <xf numFmtId="0" fontId="17" fillId="0" borderId="0" xfId="0" applyFont="1" applyAlignment="1">
      <alignment vertical="center"/>
    </xf>
    <xf numFmtId="0" fontId="44" fillId="0" borderId="12" xfId="0" applyFont="1" applyBorder="1" applyAlignment="1">
      <alignment vertical="center"/>
    </xf>
    <xf numFmtId="0" fontId="44" fillId="0" borderId="20" xfId="0" applyFont="1" applyBorder="1" applyAlignment="1">
      <alignment horizontal="center" vertical="center"/>
    </xf>
    <xf numFmtId="0" fontId="44" fillId="0" borderId="21" xfId="0" applyFont="1" applyBorder="1" applyAlignment="1">
      <alignment vertical="center"/>
    </xf>
    <xf numFmtId="0" fontId="45" fillId="0" borderId="0" xfId="9" applyFont="1" applyAlignment="1" applyProtection="1"/>
    <xf numFmtId="0" fontId="46" fillId="0" borderId="0" xfId="0" applyFont="1"/>
    <xf numFmtId="171" fontId="17" fillId="0" borderId="0" xfId="14" applyNumberFormat="1" applyFont="1" applyAlignment="1">
      <alignment horizontal="center"/>
    </xf>
    <xf numFmtId="173" fontId="0" fillId="0" borderId="0" xfId="0" applyNumberFormat="1" applyAlignment="1">
      <alignment horizontal="center"/>
    </xf>
    <xf numFmtId="168" fontId="17" fillId="0" borderId="0" xfId="0" applyNumberFormat="1" applyFont="1"/>
    <xf numFmtId="0" fontId="18" fillId="0" borderId="0" xfId="0" applyFont="1" applyAlignment="1">
      <alignment horizontal="left"/>
    </xf>
    <xf numFmtId="0" fontId="22" fillId="0" borderId="27" xfId="0" applyFont="1" applyBorder="1"/>
    <xf numFmtId="0" fontId="42" fillId="4" borderId="27" xfId="0" applyFont="1" applyFill="1" applyBorder="1"/>
    <xf numFmtId="0" fontId="19" fillId="0" borderId="27" xfId="0" applyFont="1" applyBorder="1"/>
    <xf numFmtId="0" fontId="42" fillId="4" borderId="27" xfId="0" applyFont="1" applyFill="1" applyBorder="1" applyAlignment="1">
      <alignment horizontal="center"/>
    </xf>
    <xf numFmtId="0" fontId="18" fillId="0" borderId="27" xfId="0" applyFont="1" applyBorder="1" applyAlignment="1">
      <alignment horizontal="center"/>
    </xf>
    <xf numFmtId="0" fontId="18" fillId="0" borderId="31" xfId="0" applyFont="1" applyBorder="1" applyAlignment="1">
      <alignment horizontal="center"/>
    </xf>
    <xf numFmtId="0" fontId="47" fillId="4" borderId="32" xfId="0" applyFont="1" applyFill="1" applyBorder="1" applyAlignment="1">
      <alignment horizontal="center"/>
    </xf>
    <xf numFmtId="0" fontId="42" fillId="4" borderId="31" xfId="0" applyFont="1" applyFill="1" applyBorder="1" applyAlignment="1">
      <alignment horizontal="center"/>
    </xf>
    <xf numFmtId="0" fontId="18" fillId="0" borderId="32" xfId="0" applyFont="1" applyBorder="1" applyAlignment="1">
      <alignment horizontal="center"/>
    </xf>
    <xf numFmtId="0" fontId="0" fillId="0" borderId="31" xfId="0" applyBorder="1" applyAlignment="1">
      <alignment horizontal="center"/>
    </xf>
    <xf numFmtId="170" fontId="0" fillId="7" borderId="0" xfId="0" applyNumberFormat="1" applyFill="1" applyAlignment="1">
      <alignment horizontal="center"/>
    </xf>
    <xf numFmtId="170" fontId="17" fillId="7" borderId="0" xfId="0" applyNumberFormat="1" applyFont="1" applyFill="1" applyAlignment="1">
      <alignment horizontal="center"/>
    </xf>
    <xf numFmtId="170" fontId="17" fillId="0" borderId="33" xfId="0" applyNumberFormat="1" applyFont="1" applyBorder="1"/>
    <xf numFmtId="170" fontId="17" fillId="0" borderId="34" xfId="0" applyNumberFormat="1" applyFont="1" applyBorder="1" applyAlignment="1">
      <alignment horizontal="center"/>
    </xf>
    <xf numFmtId="170" fontId="17" fillId="0" borderId="35" xfId="0" applyNumberFormat="1" applyFont="1" applyBorder="1"/>
    <xf numFmtId="173" fontId="0" fillId="0" borderId="36" xfId="0" applyNumberFormat="1" applyBorder="1" applyAlignment="1">
      <alignment horizontal="center"/>
    </xf>
    <xf numFmtId="170" fontId="17" fillId="0" borderId="37" xfId="0" applyNumberFormat="1" applyFont="1" applyBorder="1"/>
    <xf numFmtId="170" fontId="0" fillId="0" borderId="38" xfId="0" applyNumberFormat="1" applyBorder="1" applyAlignment="1">
      <alignment horizontal="center"/>
    </xf>
    <xf numFmtId="173" fontId="0" fillId="0" borderId="38" xfId="0" applyNumberFormat="1" applyBorder="1" applyAlignment="1">
      <alignment horizontal="center"/>
    </xf>
    <xf numFmtId="173" fontId="0" fillId="0" borderId="39" xfId="0" applyNumberFormat="1" applyBorder="1" applyAlignment="1">
      <alignment horizontal="center"/>
    </xf>
    <xf numFmtId="168" fontId="0" fillId="0" borderId="34" xfId="0" applyNumberFormat="1" applyBorder="1" applyAlignment="1">
      <alignment horizontal="center"/>
    </xf>
    <xf numFmtId="0" fontId="47" fillId="4" borderId="40" xfId="0" applyFont="1" applyFill="1" applyBorder="1"/>
    <xf numFmtId="0" fontId="47" fillId="4" borderId="41" xfId="0" applyFont="1" applyFill="1" applyBorder="1"/>
    <xf numFmtId="0" fontId="47" fillId="4" borderId="42" xfId="0" applyFont="1" applyFill="1" applyBorder="1" applyAlignment="1">
      <alignment horizontal="center"/>
    </xf>
    <xf numFmtId="169" fontId="36" fillId="8" borderId="27" xfId="0" applyNumberFormat="1" applyFont="1" applyFill="1" applyBorder="1" applyAlignment="1">
      <alignment horizontal="center" vertical="center"/>
    </xf>
    <xf numFmtId="171" fontId="40" fillId="4" borderId="0" xfId="14" applyNumberFormat="1" applyFont="1" applyFill="1" applyAlignment="1">
      <alignment horizontal="center"/>
    </xf>
    <xf numFmtId="0" fontId="17" fillId="0" borderId="27" xfId="0" applyFont="1" applyBorder="1" applyAlignment="1">
      <alignment horizontal="left" vertical="center"/>
    </xf>
    <xf numFmtId="171" fontId="18" fillId="0" borderId="27" xfId="14" applyNumberFormat="1" applyFont="1" applyBorder="1" applyAlignment="1">
      <alignment horizontal="center" vertical="center"/>
    </xf>
    <xf numFmtId="0" fontId="0" fillId="0" borderId="27" xfId="0" applyBorder="1" applyAlignment="1">
      <alignment vertical="center"/>
    </xf>
    <xf numFmtId="168" fontId="40" fillId="4" borderId="0" xfId="0" applyNumberFormat="1" applyFont="1" applyFill="1" applyAlignment="1">
      <alignment horizontal="center"/>
    </xf>
    <xf numFmtId="171" fontId="18" fillId="0" borderId="20" xfId="16" applyNumberFormat="1" applyFont="1" applyFill="1" applyBorder="1" applyAlignment="1">
      <alignment horizontal="center"/>
    </xf>
    <xf numFmtId="0" fontId="17" fillId="0" borderId="0" xfId="0" applyFont="1" applyAlignment="1">
      <alignment horizontal="left"/>
    </xf>
    <xf numFmtId="0" fontId="13" fillId="0" borderId="29" xfId="0" applyFont="1" applyBorder="1" applyAlignment="1">
      <alignment horizontal="center" vertical="center"/>
    </xf>
    <xf numFmtId="170" fontId="13" fillId="0" borderId="27" xfId="0" applyNumberFormat="1" applyFont="1" applyBorder="1" applyAlignment="1">
      <alignment horizontal="center"/>
    </xf>
    <xf numFmtId="171" fontId="13" fillId="0" borderId="27" xfId="14" applyNumberFormat="1" applyFont="1" applyBorder="1" applyAlignment="1">
      <alignment horizontal="center"/>
    </xf>
    <xf numFmtId="14" fontId="13" fillId="0" borderId="29" xfId="0" applyNumberFormat="1" applyFont="1" applyBorder="1" applyAlignment="1">
      <alignment horizontal="center" vertical="center"/>
    </xf>
    <xf numFmtId="0" fontId="13" fillId="0" borderId="0" xfId="0" applyFont="1"/>
    <xf numFmtId="0" fontId="13" fillId="0" borderId="27" xfId="0" applyFont="1" applyBorder="1"/>
    <xf numFmtId="9" fontId="13" fillId="0" borderId="27" xfId="14" applyFont="1" applyBorder="1" applyAlignment="1">
      <alignment horizontal="center"/>
    </xf>
    <xf numFmtId="168" fontId="13" fillId="0" borderId="27" xfId="0" applyNumberFormat="1" applyFont="1" applyBorder="1" applyAlignment="1">
      <alignment horizontal="center"/>
    </xf>
    <xf numFmtId="170" fontId="13" fillId="0" borderId="27" xfId="14" applyNumberFormat="1" applyFont="1" applyFill="1" applyBorder="1" applyAlignment="1">
      <alignment horizontal="center"/>
    </xf>
    <xf numFmtId="0" fontId="13" fillId="0" borderId="31" xfId="0" applyFont="1" applyBorder="1"/>
    <xf numFmtId="0" fontId="13" fillId="0" borderId="27" xfId="0" applyFont="1" applyBorder="1" applyAlignment="1">
      <alignment horizontal="left"/>
    </xf>
    <xf numFmtId="0" fontId="13" fillId="0" borderId="31" xfId="0" quotePrefix="1" applyFont="1" applyBorder="1"/>
    <xf numFmtId="0" fontId="13" fillId="0" borderId="27" xfId="0" quotePrefix="1" applyFont="1" applyBorder="1"/>
    <xf numFmtId="170" fontId="13" fillId="0" borderId="27" xfId="14" applyNumberFormat="1" applyFont="1" applyBorder="1" applyAlignment="1">
      <alignment horizontal="center"/>
    </xf>
    <xf numFmtId="171" fontId="13" fillId="0" borderId="0" xfId="0" applyNumberFormat="1" applyFont="1" applyAlignment="1">
      <alignment horizontal="center"/>
    </xf>
    <xf numFmtId="0" fontId="13" fillId="0" borderId="0" xfId="0" applyFont="1" applyAlignment="1">
      <alignment horizontal="center"/>
    </xf>
    <xf numFmtId="171" fontId="13" fillId="0" borderId="27" xfId="14" applyNumberFormat="1" applyFont="1" applyFill="1" applyBorder="1" applyAlignment="1">
      <alignment horizontal="center"/>
    </xf>
    <xf numFmtId="170" fontId="17" fillId="0" borderId="0" xfId="0" quotePrefix="1" applyNumberFormat="1" applyFont="1" applyAlignment="1">
      <alignment horizontal="center"/>
    </xf>
    <xf numFmtId="168" fontId="40" fillId="0" borderId="0" xfId="0" applyNumberFormat="1" applyFont="1"/>
    <xf numFmtId="3" fontId="40" fillId="0" borderId="0" xfId="0" applyNumberFormat="1" applyFont="1"/>
    <xf numFmtId="0" fontId="49" fillId="0" borderId="0" xfId="0" applyFont="1" applyAlignment="1">
      <alignment vertical="top" wrapText="1"/>
    </xf>
    <xf numFmtId="171" fontId="40" fillId="0" borderId="0" xfId="14" applyNumberFormat="1" applyFont="1" applyFill="1"/>
    <xf numFmtId="9" fontId="40" fillId="0" borderId="0" xfId="14" applyFont="1" applyFill="1"/>
    <xf numFmtId="9" fontId="0" fillId="0" borderId="0" xfId="0" applyNumberFormat="1"/>
    <xf numFmtId="0" fontId="13" fillId="0" borderId="30" xfId="0" applyFont="1" applyBorder="1" applyAlignment="1">
      <alignment horizontal="center" vertical="center"/>
    </xf>
    <xf numFmtId="0" fontId="13" fillId="0" borderId="27" xfId="0" applyFont="1" applyBorder="1" applyAlignment="1">
      <alignment horizontal="left" indent="1"/>
    </xf>
    <xf numFmtId="0" fontId="13" fillId="0" borderId="31" xfId="0" applyFont="1" applyBorder="1" applyAlignment="1">
      <alignment horizontal="center"/>
    </xf>
    <xf numFmtId="170" fontId="13" fillId="0" borderId="0" xfId="0" quotePrefix="1" applyNumberFormat="1" applyFont="1" applyAlignment="1">
      <alignment horizontal="center"/>
    </xf>
    <xf numFmtId="0" fontId="14" fillId="0" borderId="0" xfId="0" applyFont="1"/>
    <xf numFmtId="10" fontId="13" fillId="0" borderId="0" xfId="0" applyNumberFormat="1" applyFont="1" applyAlignment="1">
      <alignment horizontal="center"/>
    </xf>
    <xf numFmtId="169" fontId="0" fillId="0" borderId="0" xfId="0" applyNumberFormat="1" applyAlignment="1">
      <alignment horizontal="center"/>
    </xf>
    <xf numFmtId="14" fontId="13" fillId="0" borderId="27" xfId="0" applyNumberFormat="1" applyFont="1" applyBorder="1" applyAlignment="1">
      <alignment horizontal="center"/>
    </xf>
    <xf numFmtId="172" fontId="13" fillId="0" borderId="27" xfId="14" applyNumberFormat="1" applyFont="1" applyBorder="1" applyAlignment="1">
      <alignment horizontal="center"/>
    </xf>
    <xf numFmtId="9" fontId="13" fillId="0" borderId="32" xfId="0" applyNumberFormat="1" applyFont="1" applyBorder="1" applyAlignment="1">
      <alignment horizontal="center"/>
    </xf>
    <xf numFmtId="9" fontId="13" fillId="0" borderId="32" xfId="14" applyFont="1" applyBorder="1" applyAlignment="1">
      <alignment horizontal="center"/>
    </xf>
    <xf numFmtId="170" fontId="13" fillId="0" borderId="0" xfId="0" applyNumberFormat="1" applyFont="1"/>
    <xf numFmtId="0" fontId="54" fillId="0" borderId="0" xfId="9" applyFont="1" applyFill="1" applyAlignment="1" applyProtection="1"/>
    <xf numFmtId="170" fontId="40" fillId="0" borderId="0" xfId="0" applyNumberFormat="1" applyFont="1"/>
    <xf numFmtId="0" fontId="0" fillId="0" borderId="67" xfId="0" applyBorder="1" applyAlignment="1">
      <alignment horizontal="left"/>
    </xf>
    <xf numFmtId="2" fontId="17" fillId="7" borderId="0" xfId="0" applyNumberFormat="1" applyFont="1" applyFill="1" applyAlignment="1">
      <alignment horizontal="center"/>
    </xf>
    <xf numFmtId="2" fontId="17" fillId="0" borderId="0" xfId="0" applyNumberFormat="1" applyFont="1" applyAlignment="1">
      <alignment horizontal="center"/>
    </xf>
    <xf numFmtId="0" fontId="18" fillId="0" borderId="17" xfId="0" applyFont="1" applyBorder="1"/>
    <xf numFmtId="0" fontId="13" fillId="0" borderId="16" xfId="0" applyFont="1" applyBorder="1" applyAlignment="1">
      <alignment horizontal="left" indent="1"/>
    </xf>
    <xf numFmtId="170" fontId="18" fillId="0" borderId="0" xfId="0" applyNumberFormat="1" applyFont="1" applyAlignment="1">
      <alignment horizontal="center"/>
    </xf>
    <xf numFmtId="9" fontId="18" fillId="0" borderId="0" xfId="14" applyFont="1"/>
    <xf numFmtId="9" fontId="18" fillId="0" borderId="15" xfId="14" applyFont="1" applyBorder="1"/>
    <xf numFmtId="171" fontId="13" fillId="0" borderId="32" xfId="14" quotePrefix="1" applyNumberFormat="1" applyFont="1" applyFill="1" applyBorder="1" applyAlignment="1">
      <alignment horizontal="center"/>
    </xf>
    <xf numFmtId="9" fontId="40" fillId="0" borderId="0" xfId="14" applyFont="1"/>
    <xf numFmtId="9" fontId="49" fillId="0" borderId="0" xfId="14" applyFont="1" applyAlignment="1">
      <alignment vertical="top" wrapText="1"/>
    </xf>
    <xf numFmtId="168" fontId="52" fillId="0" borderId="27" xfId="0" applyNumberFormat="1" applyFont="1" applyBorder="1" applyAlignment="1">
      <alignment horizontal="center"/>
    </xf>
    <xf numFmtId="2" fontId="52" fillId="0" borderId="27" xfId="14" applyNumberFormat="1" applyFont="1" applyBorder="1" applyAlignment="1">
      <alignment horizontal="center"/>
    </xf>
    <xf numFmtId="171" fontId="51" fillId="0" borderId="27" xfId="14" applyNumberFormat="1" applyFont="1" applyBorder="1" applyAlignment="1">
      <alignment horizontal="center"/>
    </xf>
    <xf numFmtId="171" fontId="51" fillId="0" borderId="27" xfId="14" applyNumberFormat="1" applyFont="1" applyFill="1" applyBorder="1" applyAlignment="1">
      <alignment horizontal="center"/>
    </xf>
    <xf numFmtId="0" fontId="13" fillId="0" borderId="8" xfId="0" applyFont="1" applyBorder="1"/>
    <xf numFmtId="0" fontId="13" fillId="0" borderId="16" xfId="0" applyFont="1" applyBorder="1"/>
    <xf numFmtId="9" fontId="13" fillId="0" borderId="15" xfId="14" applyFont="1" applyBorder="1"/>
    <xf numFmtId="171" fontId="52" fillId="0" borderId="27" xfId="14" applyNumberFormat="1" applyFont="1" applyBorder="1" applyAlignment="1">
      <alignment horizontal="center"/>
    </xf>
    <xf numFmtId="0" fontId="51" fillId="0" borderId="32" xfId="0" applyFont="1" applyBorder="1" applyAlignment="1">
      <alignment horizontal="center"/>
    </xf>
    <xf numFmtId="2" fontId="51" fillId="0" borderId="32" xfId="14" applyNumberFormat="1" applyFont="1" applyBorder="1" applyAlignment="1">
      <alignment horizontal="center"/>
    </xf>
    <xf numFmtId="172" fontId="51" fillId="0" borderId="32" xfId="14" applyNumberFormat="1" applyFont="1" applyBorder="1" applyAlignment="1">
      <alignment horizontal="center"/>
    </xf>
    <xf numFmtId="172" fontId="51" fillId="0" borderId="32" xfId="0" applyNumberFormat="1" applyFont="1" applyBorder="1" applyAlignment="1">
      <alignment horizontal="center"/>
    </xf>
    <xf numFmtId="172" fontId="52" fillId="0" borderId="32" xfId="0" applyNumberFormat="1" applyFont="1" applyBorder="1" applyAlignment="1">
      <alignment horizontal="center"/>
    </xf>
    <xf numFmtId="171" fontId="52" fillId="0" borderId="32" xfId="14" applyNumberFormat="1" applyFont="1" applyBorder="1" applyAlignment="1">
      <alignment horizontal="center"/>
    </xf>
    <xf numFmtId="0" fontId="55" fillId="0" borderId="67" xfId="0" applyFont="1" applyBorder="1" applyAlignment="1">
      <alignment horizontal="left"/>
    </xf>
    <xf numFmtId="3" fontId="25" fillId="3" borderId="7" xfId="4" applyBorder="1">
      <alignment horizontal="right"/>
    </xf>
    <xf numFmtId="3" fontId="25" fillId="0" borderId="7" xfId="4" applyFill="1" applyBorder="1">
      <alignment horizontal="right"/>
    </xf>
    <xf numFmtId="3" fontId="25" fillId="3" borderId="11" xfId="4" applyBorder="1">
      <alignment horizontal="right"/>
    </xf>
    <xf numFmtId="0" fontId="13" fillId="3" borderId="21" xfId="8" applyFont="1" applyBorder="1" applyAlignment="1">
      <alignment horizontal="right"/>
    </xf>
    <xf numFmtId="173" fontId="13" fillId="3" borderId="21" xfId="5" applyFont="1" applyBorder="1">
      <alignment horizontal="right"/>
    </xf>
    <xf numFmtId="0" fontId="13" fillId="3" borderId="7" xfId="8" applyFont="1" applyBorder="1" applyAlignment="1">
      <alignment horizontal="right"/>
    </xf>
    <xf numFmtId="3" fontId="18" fillId="3" borderId="7" xfId="4" applyFont="1" applyBorder="1">
      <alignment horizontal="right"/>
    </xf>
    <xf numFmtId="4" fontId="13" fillId="0" borderId="21" xfId="6" applyFont="1" applyFill="1" applyBorder="1">
      <alignment horizontal="right"/>
    </xf>
    <xf numFmtId="4" fontId="13" fillId="3" borderId="21" xfId="6" applyFont="1" applyBorder="1">
      <alignment horizontal="right"/>
    </xf>
    <xf numFmtId="0" fontId="13" fillId="0" borderId="21" xfId="8" applyFont="1" applyFill="1" applyBorder="1" applyAlignment="1">
      <alignment horizontal="right"/>
    </xf>
    <xf numFmtId="4" fontId="13" fillId="5" borderId="21" xfId="6" applyFont="1" applyFill="1" applyBorder="1">
      <alignment horizontal="right"/>
    </xf>
    <xf numFmtId="0" fontId="13" fillId="3" borderId="72" xfId="8" applyFont="1" applyBorder="1" applyAlignment="1">
      <alignment horizontal="right"/>
    </xf>
    <xf numFmtId="173" fontId="13" fillId="3" borderId="72" xfId="5" applyFont="1" applyBorder="1">
      <alignment horizontal="right"/>
    </xf>
    <xf numFmtId="3" fontId="18" fillId="3" borderId="21" xfId="4" applyFont="1" applyBorder="1">
      <alignment horizontal="right"/>
    </xf>
    <xf numFmtId="4" fontId="13" fillId="5" borderId="23" xfId="6" applyFont="1" applyFill="1" applyBorder="1">
      <alignment horizontal="right"/>
    </xf>
    <xf numFmtId="4" fontId="13" fillId="0" borderId="23" xfId="6" applyFont="1" applyFill="1" applyBorder="1">
      <alignment horizontal="right"/>
    </xf>
    <xf numFmtId="4" fontId="13" fillId="3" borderId="23" xfId="6" applyFont="1" applyBorder="1">
      <alignment horizontal="right"/>
    </xf>
    <xf numFmtId="171" fontId="51" fillId="0" borderId="32" xfId="16" applyNumberFormat="1" applyFont="1" applyBorder="1" applyAlignment="1">
      <alignment horizontal="center"/>
    </xf>
    <xf numFmtId="0" fontId="15" fillId="0" borderId="0" xfId="9" applyAlignment="1" applyProtection="1"/>
    <xf numFmtId="0" fontId="55" fillId="0" borderId="1" xfId="0" applyFont="1" applyBorder="1"/>
    <xf numFmtId="0" fontId="0" fillId="0" borderId="1" xfId="0" applyBorder="1"/>
    <xf numFmtId="0" fontId="15" fillId="0" borderId="1" xfId="9" applyBorder="1" applyAlignment="1" applyProtection="1"/>
    <xf numFmtId="0" fontId="0" fillId="0" borderId="67" xfId="0" applyBorder="1"/>
    <xf numFmtId="0" fontId="39" fillId="0" borderId="0" xfId="0" applyFont="1" applyAlignment="1">
      <alignment horizontal="center"/>
    </xf>
    <xf numFmtId="0" fontId="18" fillId="0" borderId="0" xfId="0" applyFont="1"/>
    <xf numFmtId="171" fontId="42" fillId="5" borderId="0" xfId="0" applyNumberFormat="1" applyFont="1" applyFill="1" applyAlignment="1">
      <alignment horizontal="center"/>
    </xf>
    <xf numFmtId="0" fontId="57" fillId="11" borderId="75" xfId="0" applyFont="1" applyFill="1" applyBorder="1" applyAlignment="1">
      <alignment horizontal="center" vertical="center"/>
    </xf>
    <xf numFmtId="0" fontId="57" fillId="11" borderId="0" xfId="0" applyFont="1" applyFill="1" applyAlignment="1">
      <alignment horizontal="center" vertical="center"/>
    </xf>
    <xf numFmtId="0" fontId="0" fillId="0" borderId="76" xfId="0" applyBorder="1" applyAlignment="1">
      <alignment horizontal="left" vertical="center"/>
    </xf>
    <xf numFmtId="0" fontId="0" fillId="0" borderId="78" xfId="0" applyBorder="1" applyAlignment="1">
      <alignment horizontal="left" vertical="center"/>
    </xf>
    <xf numFmtId="0" fontId="22" fillId="0" borderId="76" xfId="0" applyFont="1" applyBorder="1" applyAlignment="1">
      <alignment horizontal="left" vertical="center"/>
    </xf>
    <xf numFmtId="0" fontId="13" fillId="0" borderId="0" xfId="23" applyAlignment="1">
      <alignment horizontal="center"/>
    </xf>
    <xf numFmtId="0" fontId="13" fillId="0" borderId="0" xfId="23"/>
    <xf numFmtId="0" fontId="18" fillId="0" borderId="0" xfId="23" applyFont="1" applyAlignment="1">
      <alignment horizontal="center"/>
    </xf>
    <xf numFmtId="0" fontId="14" fillId="0" borderId="0" xfId="23" applyFont="1"/>
    <xf numFmtId="0" fontId="59" fillId="0" borderId="0" xfId="23" applyFont="1"/>
    <xf numFmtId="0" fontId="60" fillId="0" borderId="0" xfId="23" applyFont="1"/>
    <xf numFmtId="3" fontId="60" fillId="0" borderId="0" xfId="23" applyNumberFormat="1" applyFont="1"/>
    <xf numFmtId="0" fontId="33" fillId="0" borderId="0" xfId="23" applyFont="1" applyAlignment="1">
      <alignment horizontal="left"/>
    </xf>
    <xf numFmtId="0" fontId="33" fillId="0" borderId="0" xfId="23" applyFont="1" applyAlignment="1">
      <alignment horizontal="center"/>
    </xf>
    <xf numFmtId="3" fontId="13" fillId="0" borderId="0" xfId="23" applyNumberFormat="1" applyAlignment="1">
      <alignment horizontal="center"/>
    </xf>
    <xf numFmtId="171" fontId="13" fillId="0" borderId="0" xfId="14" applyNumberFormat="1" applyFont="1" applyAlignment="1">
      <alignment horizontal="center"/>
    </xf>
    <xf numFmtId="9" fontId="13" fillId="0" borderId="0" xfId="14" applyFont="1" applyAlignment="1">
      <alignment horizontal="center"/>
    </xf>
    <xf numFmtId="9" fontId="13" fillId="0" borderId="0" xfId="14" applyFont="1" applyBorder="1" applyAlignment="1">
      <alignment horizontal="center"/>
    </xf>
    <xf numFmtId="0" fontId="61" fillId="0" borderId="0" xfId="23" applyFont="1"/>
    <xf numFmtId="9" fontId="58" fillId="0" borderId="0" xfId="14" applyFont="1" applyAlignment="1">
      <alignment horizontal="center"/>
    </xf>
    <xf numFmtId="0" fontId="60" fillId="0" borderId="81" xfId="23" applyFont="1" applyBorder="1"/>
    <xf numFmtId="3" fontId="13" fillId="0" borderId="82" xfId="23" applyNumberFormat="1" applyBorder="1" applyAlignment="1">
      <alignment horizontal="center"/>
    </xf>
    <xf numFmtId="0" fontId="60" fillId="0" borderId="83" xfId="23" applyFont="1" applyBorder="1"/>
    <xf numFmtId="3" fontId="13" fillId="0" borderId="67" xfId="23" applyNumberFormat="1" applyBorder="1" applyAlignment="1">
      <alignment horizontal="center"/>
    </xf>
    <xf numFmtId="0" fontId="60" fillId="14" borderId="0" xfId="23" applyFont="1" applyFill="1"/>
    <xf numFmtId="3" fontId="13" fillId="14" borderId="0" xfId="23" applyNumberFormat="1" applyFill="1" applyAlignment="1">
      <alignment horizontal="center"/>
    </xf>
    <xf numFmtId="0" fontId="60" fillId="15" borderId="0" xfId="23" applyFont="1" applyFill="1"/>
    <xf numFmtId="3" fontId="13" fillId="15" borderId="0" xfId="23" applyNumberFormat="1" applyFill="1" applyAlignment="1">
      <alignment horizontal="center"/>
    </xf>
    <xf numFmtId="0" fontId="60" fillId="0" borderId="0" xfId="23" applyFont="1" applyAlignment="1">
      <alignment horizontal="left"/>
    </xf>
    <xf numFmtId="0" fontId="33" fillId="0" borderId="0" xfId="23" applyFont="1"/>
    <xf numFmtId="0" fontId="18" fillId="0" borderId="0" xfId="23" applyFont="1"/>
    <xf numFmtId="3" fontId="18" fillId="0" borderId="0" xfId="23" applyNumberFormat="1" applyFont="1" applyAlignment="1">
      <alignment horizontal="center"/>
    </xf>
    <xf numFmtId="0" fontId="62" fillId="0" borderId="0" xfId="23" applyFont="1"/>
    <xf numFmtId="172" fontId="60" fillId="0" borderId="0" xfId="23" applyNumberFormat="1" applyFont="1" applyAlignment="1">
      <alignment horizontal="center"/>
    </xf>
    <xf numFmtId="172" fontId="13" fillId="0" borderId="0" xfId="23" applyNumberFormat="1" applyAlignment="1">
      <alignment horizontal="center"/>
    </xf>
    <xf numFmtId="2" fontId="13" fillId="0" borderId="0" xfId="14" applyNumberFormat="1" applyFont="1" applyAlignment="1">
      <alignment horizontal="center"/>
    </xf>
    <xf numFmtId="0" fontId="63" fillId="0" borderId="0" xfId="23" applyFont="1"/>
    <xf numFmtId="3" fontId="63" fillId="0" borderId="0" xfId="23" applyNumberFormat="1" applyFont="1" applyAlignment="1">
      <alignment horizontal="center"/>
    </xf>
    <xf numFmtId="0" fontId="35" fillId="0" borderId="0" xfId="23" applyFont="1"/>
    <xf numFmtId="0" fontId="63" fillId="16" borderId="0" xfId="23" applyFont="1" applyFill="1"/>
    <xf numFmtId="3" fontId="63" fillId="16" borderId="0" xfId="23" applyNumberFormat="1" applyFont="1" applyFill="1" applyAlignment="1">
      <alignment horizontal="center"/>
    </xf>
    <xf numFmtId="3" fontId="63" fillId="0" borderId="0" xfId="23" applyNumberFormat="1" applyFont="1"/>
    <xf numFmtId="173" fontId="35" fillId="0" borderId="0" xfId="23" applyNumberFormat="1" applyFont="1" applyAlignment="1">
      <alignment horizontal="center"/>
    </xf>
    <xf numFmtId="3" fontId="35" fillId="0" borderId="0" xfId="23" applyNumberFormat="1" applyFont="1" applyAlignment="1">
      <alignment horizontal="center"/>
    </xf>
    <xf numFmtId="3" fontId="35" fillId="0" borderId="0" xfId="23" applyNumberFormat="1" applyFont="1"/>
    <xf numFmtId="173" fontId="63" fillId="16" borderId="0" xfId="23" applyNumberFormat="1" applyFont="1" applyFill="1" applyAlignment="1">
      <alignment horizontal="left"/>
    </xf>
    <xf numFmtId="0" fontId="63" fillId="14" borderId="0" xfId="23" applyFont="1" applyFill="1"/>
    <xf numFmtId="3" fontId="35" fillId="16" borderId="0" xfId="23" applyNumberFormat="1" applyFont="1" applyFill="1" applyAlignment="1">
      <alignment horizontal="center"/>
    </xf>
    <xf numFmtId="0" fontId="35" fillId="16" borderId="0" xfId="23" applyFont="1" applyFill="1"/>
    <xf numFmtId="0" fontId="14" fillId="0" borderId="0" xfId="0" applyFont="1" applyAlignment="1">
      <alignment horizontal="center"/>
    </xf>
    <xf numFmtId="10" fontId="0" fillId="0" borderId="0" xfId="0" applyNumberFormat="1"/>
    <xf numFmtId="4" fontId="0" fillId="0" borderId="0" xfId="0" applyNumberFormat="1" applyAlignment="1">
      <alignment horizontal="center"/>
    </xf>
    <xf numFmtId="10" fontId="13" fillId="0" borderId="0" xfId="0" applyNumberFormat="1" applyFont="1"/>
    <xf numFmtId="10" fontId="0" fillId="0" borderId="82" xfId="0" applyNumberFormat="1" applyBorder="1" applyAlignment="1">
      <alignment horizontal="center"/>
    </xf>
    <xf numFmtId="10" fontId="0" fillId="0" borderId="84" xfId="0" applyNumberFormat="1" applyBorder="1" applyAlignment="1">
      <alignment horizontal="center"/>
    </xf>
    <xf numFmtId="165" fontId="0" fillId="0" borderId="0" xfId="0" applyNumberFormat="1" applyAlignment="1">
      <alignment horizontal="center"/>
    </xf>
    <xf numFmtId="165" fontId="13" fillId="0" borderId="85" xfId="0" applyNumberFormat="1" applyFont="1" applyBorder="1" applyAlignment="1">
      <alignment horizontal="center"/>
    </xf>
    <xf numFmtId="165" fontId="0" fillId="0" borderId="67" xfId="0" applyNumberFormat="1" applyBorder="1" applyAlignment="1">
      <alignment horizontal="center"/>
    </xf>
    <xf numFmtId="165" fontId="13" fillId="0" borderId="86" xfId="0" applyNumberFormat="1" applyFont="1" applyBorder="1" applyAlignment="1">
      <alignment horizontal="center"/>
    </xf>
    <xf numFmtId="166" fontId="18" fillId="0" borderId="0" xfId="0" applyNumberFormat="1" applyFont="1" applyAlignment="1">
      <alignment horizontal="center"/>
    </xf>
    <xf numFmtId="0" fontId="13" fillId="0" borderId="81" xfId="0" applyFont="1" applyBorder="1" applyAlignment="1">
      <alignment horizontal="center"/>
    </xf>
    <xf numFmtId="4" fontId="0" fillId="0" borderId="0" xfId="0" applyNumberFormat="1"/>
    <xf numFmtId="0" fontId="0" fillId="0" borderId="0" xfId="14" applyNumberFormat="1" applyFont="1" applyAlignment="1">
      <alignment horizontal="center"/>
    </xf>
    <xf numFmtId="171" fontId="0" fillId="0" borderId="0" xfId="0" applyNumberFormat="1"/>
    <xf numFmtId="3" fontId="0" fillId="0" borderId="0" xfId="14" applyNumberFormat="1" applyFont="1" applyAlignment="1">
      <alignment horizontal="center"/>
    </xf>
    <xf numFmtId="2" fontId="10" fillId="0" borderId="0" xfId="31" applyNumberFormat="1" applyAlignment="1">
      <alignment horizontal="center"/>
    </xf>
    <xf numFmtId="0" fontId="60" fillId="0" borderId="0" xfId="23" applyFont="1" applyAlignment="1">
      <alignment horizontal="center"/>
    </xf>
    <xf numFmtId="0" fontId="63" fillId="0" borderId="0" xfId="23" applyFont="1" applyAlignment="1">
      <alignment horizontal="center"/>
    </xf>
    <xf numFmtId="0" fontId="35" fillId="0" borderId="0" xfId="23" applyFont="1" applyAlignment="1">
      <alignment horizontal="center"/>
    </xf>
    <xf numFmtId="0" fontId="18" fillId="17" borderId="31" xfId="0" applyFont="1" applyFill="1" applyBorder="1" applyAlignment="1">
      <alignment horizontal="center"/>
    </xf>
    <xf numFmtId="170" fontId="13" fillId="17" borderId="27" xfId="0" applyNumberFormat="1" applyFont="1" applyFill="1" applyBorder="1" applyAlignment="1">
      <alignment horizontal="center"/>
    </xf>
    <xf numFmtId="170" fontId="51" fillId="17" borderId="27" xfId="0" applyNumberFormat="1" applyFont="1" applyFill="1" applyBorder="1" applyAlignment="1">
      <alignment horizontal="center"/>
    </xf>
    <xf numFmtId="9" fontId="51" fillId="17" borderId="27" xfId="14" applyFont="1" applyFill="1" applyBorder="1" applyAlignment="1">
      <alignment horizontal="center"/>
    </xf>
    <xf numFmtId="170" fontId="13" fillId="0" borderId="32" xfId="0" applyNumberFormat="1" applyFont="1" applyBorder="1" applyAlignment="1">
      <alignment horizontal="center"/>
    </xf>
    <xf numFmtId="170" fontId="18" fillId="0" borderId="27" xfId="0" applyNumberFormat="1" applyFont="1" applyBorder="1" applyAlignment="1">
      <alignment horizontal="center"/>
    </xf>
    <xf numFmtId="170" fontId="18" fillId="0" borderId="32" xfId="0" applyNumberFormat="1" applyFont="1" applyBorder="1" applyAlignment="1">
      <alignment horizontal="center"/>
    </xf>
    <xf numFmtId="0" fontId="0" fillId="0" borderId="27" xfId="0" applyBorder="1"/>
    <xf numFmtId="9" fontId="13" fillId="0" borderId="27" xfId="25" applyBorder="1" applyAlignment="1">
      <alignment horizontal="center"/>
    </xf>
    <xf numFmtId="171" fontId="13" fillId="0" borderId="32" xfId="25" applyNumberFormat="1" applyBorder="1" applyAlignment="1">
      <alignment horizontal="center"/>
    </xf>
    <xf numFmtId="0" fontId="48" fillId="4" borderId="0" xfId="0" applyFont="1" applyFill="1" applyAlignment="1">
      <alignment horizontal="center"/>
    </xf>
    <xf numFmtId="9" fontId="30" fillId="0" borderId="0" xfId="14" applyFont="1" applyBorder="1"/>
    <xf numFmtId="9" fontId="13" fillId="0" borderId="0" xfId="14" applyFont="1" applyBorder="1"/>
    <xf numFmtId="9" fontId="18" fillId="0" borderId="0" xfId="14" applyFont="1" applyBorder="1"/>
    <xf numFmtId="171" fontId="13" fillId="17" borderId="27" xfId="14" applyNumberFormat="1" applyFont="1" applyFill="1" applyBorder="1" applyAlignment="1">
      <alignment horizontal="center"/>
    </xf>
    <xf numFmtId="0" fontId="9" fillId="0" borderId="0" xfId="32"/>
    <xf numFmtId="0" fontId="9" fillId="0" borderId="0" xfId="32" applyAlignment="1">
      <alignment horizontal="center"/>
    </xf>
    <xf numFmtId="0" fontId="18" fillId="0" borderId="0" xfId="32" applyFont="1" applyAlignment="1">
      <alignment horizontal="left"/>
    </xf>
    <xf numFmtId="0" fontId="64" fillId="0" borderId="87" xfId="32" applyFont="1" applyBorder="1"/>
    <xf numFmtId="0" fontId="65" fillId="0" borderId="87" xfId="32" applyFont="1" applyBorder="1"/>
    <xf numFmtId="171" fontId="18" fillId="0" borderId="87" xfId="33" applyNumberFormat="1" applyFont="1" applyBorder="1" applyAlignment="1">
      <alignment horizontal="center"/>
    </xf>
    <xf numFmtId="0" fontId="18" fillId="0" borderId="87" xfId="32" applyFont="1" applyBorder="1" applyAlignment="1">
      <alignment horizontal="center"/>
    </xf>
    <xf numFmtId="0" fontId="18" fillId="0" borderId="87" xfId="32" applyFont="1" applyBorder="1" applyAlignment="1">
      <alignment horizontal="center" vertical="center"/>
    </xf>
    <xf numFmtId="0" fontId="18" fillId="18" borderId="87" xfId="32" applyFont="1" applyFill="1" applyBorder="1"/>
    <xf numFmtId="171" fontId="40" fillId="19" borderId="87" xfId="33" applyNumberFormat="1" applyFont="1" applyFill="1" applyBorder="1" applyAlignment="1">
      <alignment horizontal="center"/>
    </xf>
    <xf numFmtId="171" fontId="13" fillId="0" borderId="0" xfId="32" applyNumberFormat="1" applyFont="1" applyAlignment="1">
      <alignment horizontal="center"/>
    </xf>
    <xf numFmtId="0" fontId="40" fillId="0" borderId="0" xfId="32" applyFont="1"/>
    <xf numFmtId="170" fontId="13" fillId="18" borderId="87" xfId="32" applyNumberFormat="1" applyFont="1" applyFill="1" applyBorder="1"/>
    <xf numFmtId="170" fontId="9" fillId="19" borderId="87" xfId="33" applyNumberFormat="1" applyFill="1" applyBorder="1" applyAlignment="1">
      <alignment horizontal="center"/>
    </xf>
    <xf numFmtId="170" fontId="9" fillId="0" borderId="87" xfId="32" applyNumberFormat="1" applyBorder="1" applyAlignment="1">
      <alignment horizontal="center"/>
    </xf>
    <xf numFmtId="170" fontId="9" fillId="0" borderId="0" xfId="32" applyNumberFormat="1"/>
    <xf numFmtId="0" fontId="13" fillId="0" borderId="87" xfId="32" applyFont="1" applyBorder="1"/>
    <xf numFmtId="170" fontId="9" fillId="0" borderId="0" xfId="32" applyNumberFormat="1" applyAlignment="1">
      <alignment horizontal="center"/>
    </xf>
    <xf numFmtId="0" fontId="13" fillId="18" borderId="87" xfId="32" applyFont="1" applyFill="1" applyBorder="1"/>
    <xf numFmtId="170" fontId="13" fillId="0" borderId="87" xfId="32" applyNumberFormat="1" applyFont="1" applyBorder="1"/>
    <xf numFmtId="170" fontId="9" fillId="19" borderId="87" xfId="32" applyNumberFormat="1" applyFill="1" applyBorder="1" applyAlignment="1">
      <alignment horizontal="center"/>
    </xf>
    <xf numFmtId="170" fontId="13" fillId="0" borderId="87" xfId="32" applyNumberFormat="1" applyFont="1" applyBorder="1" applyAlignment="1">
      <alignment horizontal="center"/>
    </xf>
    <xf numFmtId="170" fontId="67" fillId="19" borderId="87" xfId="32" applyNumberFormat="1" applyFont="1" applyFill="1" applyBorder="1" applyAlignment="1">
      <alignment horizontal="center"/>
    </xf>
    <xf numFmtId="170" fontId="13" fillId="14" borderId="0" xfId="32" applyNumberFormat="1" applyFont="1" applyFill="1"/>
    <xf numFmtId="170" fontId="9" fillId="14" borderId="0" xfId="32" applyNumberFormat="1" applyFill="1" applyAlignment="1">
      <alignment horizontal="center"/>
    </xf>
    <xf numFmtId="170" fontId="13" fillId="14" borderId="0" xfId="32" applyNumberFormat="1" applyFont="1" applyFill="1" applyAlignment="1">
      <alignment horizontal="center"/>
    </xf>
    <xf numFmtId="170" fontId="13" fillId="18" borderId="87" xfId="32" applyNumberFormat="1" applyFont="1" applyFill="1" applyBorder="1" applyAlignment="1">
      <alignment vertical="center"/>
    </xf>
    <xf numFmtId="170" fontId="67" fillId="7" borderId="87" xfId="32" applyNumberFormat="1" applyFont="1" applyFill="1" applyBorder="1" applyAlignment="1">
      <alignment horizontal="center" vertical="center"/>
    </xf>
    <xf numFmtId="170" fontId="66" fillId="0" borderId="87" xfId="32" applyNumberFormat="1" applyFont="1" applyBorder="1" applyAlignment="1">
      <alignment horizontal="center" vertical="center"/>
    </xf>
    <xf numFmtId="170" fontId="67" fillId="7" borderId="87" xfId="32" applyNumberFormat="1" applyFont="1" applyFill="1" applyBorder="1" applyAlignment="1">
      <alignment horizontal="center"/>
    </xf>
    <xf numFmtId="170" fontId="18" fillId="15" borderId="87" xfId="32" quotePrefix="1" applyNumberFormat="1" applyFont="1" applyFill="1" applyBorder="1" applyAlignment="1">
      <alignment vertical="center"/>
    </xf>
    <xf numFmtId="170" fontId="9" fillId="15" borderId="87" xfId="32" applyNumberFormat="1" applyFill="1" applyBorder="1" applyAlignment="1">
      <alignment horizontal="center"/>
    </xf>
    <xf numFmtId="170" fontId="67" fillId="0" borderId="87" xfId="32" applyNumberFormat="1" applyFont="1" applyBorder="1" applyAlignment="1">
      <alignment horizontal="center"/>
    </xf>
    <xf numFmtId="170" fontId="67" fillId="15" borderId="87" xfId="32" applyNumberFormat="1" applyFont="1" applyFill="1" applyBorder="1" applyAlignment="1">
      <alignment horizontal="center"/>
    </xf>
    <xf numFmtId="170" fontId="9" fillId="7" borderId="87" xfId="32" applyNumberFormat="1" applyFill="1" applyBorder="1" applyAlignment="1">
      <alignment horizontal="center"/>
    </xf>
    <xf numFmtId="0" fontId="13" fillId="0" borderId="0" xfId="32" applyFont="1"/>
    <xf numFmtId="170" fontId="13" fillId="18" borderId="87" xfId="32" applyNumberFormat="1" applyFont="1" applyFill="1" applyBorder="1" applyAlignment="1">
      <alignment horizontal="left" vertical="center"/>
    </xf>
    <xf numFmtId="170" fontId="68" fillId="7" borderId="87" xfId="32" applyNumberFormat="1" applyFont="1" applyFill="1" applyBorder="1" applyAlignment="1">
      <alignment horizontal="center"/>
    </xf>
    <xf numFmtId="169" fontId="9" fillId="0" borderId="87" xfId="32" applyNumberFormat="1" applyBorder="1" applyAlignment="1">
      <alignment horizontal="center"/>
    </xf>
    <xf numFmtId="170" fontId="66" fillId="0" borderId="87" xfId="32" applyNumberFormat="1" applyFont="1" applyBorder="1" applyAlignment="1">
      <alignment horizontal="center"/>
    </xf>
    <xf numFmtId="0" fontId="64" fillId="0" borderId="87" xfId="32" applyFont="1" applyBorder="1" applyAlignment="1">
      <alignment vertical="center"/>
    </xf>
    <xf numFmtId="170" fontId="9" fillId="7" borderId="87" xfId="32" applyNumberFormat="1" applyFill="1" applyBorder="1" applyAlignment="1">
      <alignment horizontal="center" vertical="center"/>
    </xf>
    <xf numFmtId="170" fontId="68" fillId="0" borderId="87" xfId="35" applyNumberFormat="1" applyFont="1" applyBorder="1" applyAlignment="1">
      <alignment horizontal="center" vertical="center"/>
    </xf>
    <xf numFmtId="170" fontId="0" fillId="0" borderId="87" xfId="35" applyNumberFormat="1" applyFont="1" applyBorder="1" applyAlignment="1">
      <alignment horizontal="center" vertical="center"/>
    </xf>
    <xf numFmtId="170" fontId="68" fillId="7" borderId="87" xfId="32" applyNumberFormat="1" applyFont="1" applyFill="1" applyBorder="1" applyAlignment="1">
      <alignment horizontal="center" vertical="center"/>
    </xf>
    <xf numFmtId="170" fontId="67" fillId="0" borderId="87" xfId="35" applyNumberFormat="1" applyFont="1" applyBorder="1" applyAlignment="1">
      <alignment horizontal="center" vertical="center"/>
    </xf>
    <xf numFmtId="0" fontId="18" fillId="0" borderId="84" xfId="32" applyFont="1" applyBorder="1" applyAlignment="1">
      <alignment horizontal="center" vertical="center"/>
    </xf>
    <xf numFmtId="0" fontId="18" fillId="0" borderId="86" xfId="32" applyFont="1" applyBorder="1" applyAlignment="1">
      <alignment horizontal="center" vertical="center"/>
    </xf>
    <xf numFmtId="0" fontId="9" fillId="0" borderId="87" xfId="32" applyBorder="1"/>
    <xf numFmtId="0" fontId="18" fillId="0" borderId="0" xfId="32" applyFont="1" applyAlignment="1">
      <alignment horizontal="center" vertical="center"/>
    </xf>
    <xf numFmtId="4" fontId="9" fillId="0" borderId="87" xfId="32" applyNumberFormat="1" applyBorder="1" applyAlignment="1">
      <alignment horizontal="center"/>
    </xf>
    <xf numFmtId="0" fontId="9" fillId="14" borderId="0" xfId="32" applyFill="1"/>
    <xf numFmtId="170" fontId="9" fillId="14" borderId="0" xfId="32" applyNumberFormat="1" applyFill="1"/>
    <xf numFmtId="0" fontId="9" fillId="14" borderId="0" xfId="32" applyFill="1" applyAlignment="1">
      <alignment horizontal="center"/>
    </xf>
    <xf numFmtId="0" fontId="9" fillId="0" borderId="81" xfId="32" applyBorder="1"/>
    <xf numFmtId="168" fontId="9" fillId="0" borderId="82" xfId="32" applyNumberFormat="1" applyBorder="1" applyAlignment="1">
      <alignment horizontal="center"/>
    </xf>
    <xf numFmtId="170" fontId="64" fillId="0" borderId="82" xfId="32" applyNumberFormat="1" applyFont="1" applyBorder="1" applyAlignment="1">
      <alignment horizontal="center"/>
    </xf>
    <xf numFmtId="167" fontId="9" fillId="0" borderId="84" xfId="21" applyFont="1" applyBorder="1" applyAlignment="1">
      <alignment horizontal="center" vertical="center"/>
    </xf>
    <xf numFmtId="0" fontId="9" fillId="0" borderId="5" xfId="32" applyBorder="1"/>
    <xf numFmtId="168" fontId="40" fillId="4" borderId="0" xfId="23" applyNumberFormat="1" applyFont="1" applyFill="1" applyAlignment="1">
      <alignment horizontal="center"/>
    </xf>
    <xf numFmtId="168" fontId="40" fillId="4" borderId="85" xfId="23" applyNumberFormat="1" applyFont="1" applyFill="1" applyBorder="1" applyAlignment="1">
      <alignment horizontal="center"/>
    </xf>
    <xf numFmtId="0" fontId="9" fillId="0" borderId="83" xfId="32" applyBorder="1"/>
    <xf numFmtId="170" fontId="9" fillId="0" borderId="67" xfId="32" applyNumberFormat="1" applyBorder="1"/>
    <xf numFmtId="2" fontId="9" fillId="0" borderId="67" xfId="32" applyNumberFormat="1" applyBorder="1" applyAlignment="1">
      <alignment horizontal="center"/>
    </xf>
    <xf numFmtId="2" fontId="9" fillId="0" borderId="86" xfId="32" applyNumberFormat="1" applyBorder="1" applyAlignment="1">
      <alignment horizontal="center"/>
    </xf>
    <xf numFmtId="0" fontId="64" fillId="0" borderId="84" xfId="32" applyFont="1" applyBorder="1" applyAlignment="1">
      <alignment horizontal="center"/>
    </xf>
    <xf numFmtId="0" fontId="64" fillId="0" borderId="83" xfId="32" applyFont="1" applyBorder="1"/>
    <xf numFmtId="10" fontId="0" fillId="0" borderId="67" xfId="35" applyNumberFormat="1" applyFont="1" applyBorder="1" applyAlignment="1">
      <alignment horizontal="center"/>
    </xf>
    <xf numFmtId="10" fontId="0" fillId="0" borderId="86" xfId="35" applyNumberFormat="1" applyFont="1" applyBorder="1" applyAlignment="1">
      <alignment horizontal="center"/>
    </xf>
    <xf numFmtId="168" fontId="9" fillId="0" borderId="0" xfId="32" applyNumberFormat="1"/>
    <xf numFmtId="10" fontId="0" fillId="0" borderId="0" xfId="35" applyNumberFormat="1" applyFont="1"/>
    <xf numFmtId="10" fontId="13" fillId="0" borderId="0" xfId="35" applyNumberFormat="1" applyFont="1"/>
    <xf numFmtId="0" fontId="64" fillId="0" borderId="82" xfId="32" applyFont="1" applyBorder="1" applyAlignment="1">
      <alignment horizontal="center"/>
    </xf>
    <xf numFmtId="0" fontId="9" fillId="0" borderId="3" xfId="32" applyBorder="1"/>
    <xf numFmtId="10" fontId="0" fillId="0" borderId="82" xfId="35" applyNumberFormat="1" applyFont="1" applyBorder="1" applyAlignment="1">
      <alignment horizontal="center"/>
    </xf>
    <xf numFmtId="170" fontId="9" fillId="0" borderId="84" xfId="32" applyNumberFormat="1" applyBorder="1" applyAlignment="1">
      <alignment horizontal="left"/>
    </xf>
    <xf numFmtId="9" fontId="9" fillId="0" borderId="0" xfId="14" applyFont="1" applyAlignment="1">
      <alignment horizontal="center"/>
    </xf>
    <xf numFmtId="0" fontId="9" fillId="0" borderId="4" xfId="32" applyBorder="1"/>
    <xf numFmtId="10" fontId="0" fillId="0" borderId="0" xfId="35" applyNumberFormat="1" applyFont="1" applyBorder="1" applyAlignment="1">
      <alignment horizontal="center"/>
    </xf>
    <xf numFmtId="170" fontId="9" fillId="0" borderId="85" xfId="32" applyNumberFormat="1" applyBorder="1" applyAlignment="1">
      <alignment horizontal="left"/>
    </xf>
    <xf numFmtId="171" fontId="9" fillId="0" borderId="0" xfId="14" applyNumberFormat="1" applyFont="1" applyAlignment="1">
      <alignment horizontal="center"/>
    </xf>
    <xf numFmtId="0" fontId="9" fillId="0" borderId="85" xfId="32" applyBorder="1" applyAlignment="1">
      <alignment horizontal="left"/>
    </xf>
    <xf numFmtId="0" fontId="9" fillId="0" borderId="2" xfId="32" applyBorder="1"/>
    <xf numFmtId="170" fontId="9" fillId="0" borderId="86" xfId="32" applyNumberFormat="1" applyBorder="1" applyAlignment="1">
      <alignment horizontal="left"/>
    </xf>
    <xf numFmtId="0" fontId="9" fillId="0" borderId="87" xfId="32" applyBorder="1" applyAlignment="1">
      <alignment horizontal="center"/>
    </xf>
    <xf numFmtId="9" fontId="0" fillId="0" borderId="87" xfId="35" applyFont="1" applyBorder="1" applyAlignment="1">
      <alignment horizontal="center"/>
    </xf>
    <xf numFmtId="0" fontId="9" fillId="0" borderId="0" xfId="32" applyAlignment="1">
      <alignment horizontal="left"/>
    </xf>
    <xf numFmtId="0" fontId="64" fillId="0" borderId="88" xfId="32" applyFont="1" applyBorder="1"/>
    <xf numFmtId="171" fontId="64" fillId="0" borderId="1" xfId="35" applyNumberFormat="1" applyFont="1" applyBorder="1" applyAlignment="1">
      <alignment horizontal="center"/>
    </xf>
    <xf numFmtId="0" fontId="64" fillId="0" borderId="89" xfId="32" applyFont="1" applyBorder="1"/>
    <xf numFmtId="168" fontId="64" fillId="0" borderId="1" xfId="32" applyNumberFormat="1" applyFont="1" applyBorder="1" applyAlignment="1">
      <alignment horizontal="center"/>
    </xf>
    <xf numFmtId="0" fontId="9" fillId="0" borderId="89" xfId="32" applyBorder="1"/>
    <xf numFmtId="10" fontId="9" fillId="0" borderId="0" xfId="32" applyNumberFormat="1"/>
    <xf numFmtId="171" fontId="9" fillId="0" borderId="0" xfId="14" applyNumberFormat="1" applyFont="1"/>
    <xf numFmtId="2" fontId="9" fillId="0" borderId="0" xfId="32" applyNumberFormat="1" applyAlignment="1">
      <alignment horizontal="center"/>
    </xf>
    <xf numFmtId="168" fontId="9" fillId="0" borderId="0" xfId="32" applyNumberFormat="1" applyAlignment="1">
      <alignment horizontal="center"/>
    </xf>
    <xf numFmtId="170" fontId="67" fillId="19" borderId="87" xfId="33" applyNumberFormat="1" applyFont="1" applyFill="1" applyBorder="1" applyAlignment="1">
      <alignment horizontal="center"/>
    </xf>
    <xf numFmtId="170" fontId="13" fillId="19" borderId="87" xfId="32" applyNumberFormat="1" applyFont="1" applyFill="1" applyBorder="1" applyAlignment="1">
      <alignment horizontal="center"/>
    </xf>
    <xf numFmtId="0" fontId="60" fillId="0" borderId="5" xfId="23" applyFont="1" applyBorder="1"/>
    <xf numFmtId="171" fontId="13" fillId="0" borderId="0" xfId="14" applyNumberFormat="1" applyFont="1" applyBorder="1" applyAlignment="1">
      <alignment horizontal="center"/>
    </xf>
    <xf numFmtId="166" fontId="63" fillId="0" borderId="0" xfId="23" applyNumberFormat="1" applyFont="1"/>
    <xf numFmtId="3" fontId="69" fillId="0" borderId="0" xfId="23" applyNumberFormat="1" applyFont="1"/>
    <xf numFmtId="9" fontId="63" fillId="0" borderId="0" xfId="23" applyNumberFormat="1" applyFont="1"/>
    <xf numFmtId="174" fontId="63" fillId="0" borderId="0" xfId="23" applyNumberFormat="1" applyFont="1" applyAlignment="1">
      <alignment horizontal="center"/>
    </xf>
    <xf numFmtId="4" fontId="63" fillId="0" borderId="0" xfId="23" applyNumberFormat="1" applyFont="1"/>
    <xf numFmtId="171" fontId="63" fillId="16" borderId="0" xfId="14" applyNumberFormat="1" applyFont="1" applyFill="1" applyAlignment="1">
      <alignment horizontal="center"/>
    </xf>
    <xf numFmtId="171" fontId="63" fillId="16" borderId="0" xfId="14" applyNumberFormat="1" applyFont="1" applyFill="1" applyBorder="1" applyAlignment="1">
      <alignment horizontal="center"/>
    </xf>
    <xf numFmtId="9" fontId="63" fillId="0" borderId="0" xfId="14" applyFont="1" applyFill="1" applyBorder="1" applyAlignment="1">
      <alignment horizontal="center"/>
    </xf>
    <xf numFmtId="9" fontId="35" fillId="0" borderId="0" xfId="14" applyFont="1" applyFill="1" applyBorder="1" applyAlignment="1">
      <alignment horizontal="center"/>
    </xf>
    <xf numFmtId="171" fontId="35" fillId="0" borderId="0" xfId="14" applyNumberFormat="1" applyFont="1" applyFill="1" applyBorder="1" applyAlignment="1">
      <alignment horizontal="center"/>
    </xf>
    <xf numFmtId="171" fontId="63" fillId="0" borderId="0" xfId="14" applyNumberFormat="1" applyFont="1" applyFill="1" applyBorder="1" applyAlignment="1">
      <alignment horizontal="center"/>
    </xf>
    <xf numFmtId="173" fontId="63" fillId="16" borderId="0" xfId="23" applyNumberFormat="1" applyFont="1" applyFill="1" applyAlignment="1">
      <alignment horizontal="center"/>
    </xf>
    <xf numFmtId="173" fontId="63" fillId="0" borderId="0" xfId="23" applyNumberFormat="1" applyFont="1" applyAlignment="1">
      <alignment horizontal="center"/>
    </xf>
    <xf numFmtId="4" fontId="63" fillId="16" borderId="0" xfId="23" applyNumberFormat="1" applyFont="1" applyFill="1" applyAlignment="1">
      <alignment horizontal="center"/>
    </xf>
    <xf numFmtId="171" fontId="63" fillId="16" borderId="0" xfId="23" applyNumberFormat="1" applyFont="1" applyFill="1" applyAlignment="1">
      <alignment horizontal="center"/>
    </xf>
    <xf numFmtId="43" fontId="9" fillId="0" borderId="0" xfId="36" applyFont="1"/>
    <xf numFmtId="171" fontId="8" fillId="0" borderId="0" xfId="14" applyNumberFormat="1" applyFont="1"/>
    <xf numFmtId="4" fontId="8" fillId="0" borderId="87" xfId="37" applyNumberFormat="1" applyBorder="1" applyAlignment="1">
      <alignment horizontal="center"/>
    </xf>
    <xf numFmtId="4" fontId="8" fillId="0" borderId="82" xfId="37" applyNumberFormat="1" applyBorder="1" applyAlignment="1">
      <alignment horizontal="center"/>
    </xf>
    <xf numFmtId="4" fontId="8" fillId="0" borderId="84" xfId="37" applyNumberFormat="1" applyBorder="1" applyAlignment="1">
      <alignment horizontal="center"/>
    </xf>
    <xf numFmtId="4" fontId="8" fillId="0" borderId="0" xfId="37" applyNumberFormat="1" applyAlignment="1">
      <alignment horizontal="center"/>
    </xf>
    <xf numFmtId="0" fontId="13" fillId="0" borderId="76" xfId="0" applyFont="1" applyBorder="1" applyAlignment="1">
      <alignment horizontal="left" vertical="center"/>
    </xf>
    <xf numFmtId="3" fontId="0" fillId="0" borderId="0" xfId="0" applyNumberFormat="1" applyAlignment="1">
      <alignment horizontal="center"/>
    </xf>
    <xf numFmtId="3" fontId="0" fillId="0" borderId="77" xfId="0" applyNumberFormat="1" applyBorder="1" applyAlignment="1">
      <alignment horizontal="center"/>
    </xf>
    <xf numFmtId="2" fontId="0" fillId="15" borderId="77" xfId="0" applyNumberFormat="1" applyFill="1" applyBorder="1" applyAlignment="1">
      <alignment horizontal="center"/>
    </xf>
    <xf numFmtId="2" fontId="0" fillId="13" borderId="0" xfId="0" applyNumberFormat="1" applyFill="1" applyAlignment="1">
      <alignment horizontal="center"/>
    </xf>
    <xf numFmtId="0" fontId="0" fillId="0" borderId="0" xfId="0" quotePrefix="1"/>
    <xf numFmtId="0" fontId="7" fillId="0" borderId="4" xfId="32" applyFont="1" applyBorder="1"/>
    <xf numFmtId="175" fontId="0" fillId="0" borderId="0" xfId="0" applyNumberFormat="1"/>
    <xf numFmtId="2" fontId="6" fillId="0" borderId="67" xfId="32" applyNumberFormat="1" applyFont="1" applyBorder="1" applyAlignment="1">
      <alignment horizontal="center"/>
    </xf>
    <xf numFmtId="168" fontId="6" fillId="0" borderId="82" xfId="32" applyNumberFormat="1" applyFont="1" applyBorder="1" applyAlignment="1">
      <alignment horizontal="center"/>
    </xf>
    <xf numFmtId="3" fontId="13" fillId="0" borderId="20" xfId="0" applyNumberFormat="1" applyFont="1" applyBorder="1" applyAlignment="1">
      <alignment horizontal="center"/>
    </xf>
    <xf numFmtId="10" fontId="13" fillId="0" borderId="27" xfId="0" applyNumberFormat="1" applyFont="1" applyBorder="1" applyAlignment="1">
      <alignment horizontal="center"/>
    </xf>
    <xf numFmtId="0" fontId="17" fillId="0" borderId="43" xfId="0" applyFont="1" applyBorder="1" applyAlignment="1">
      <alignment horizontal="center" vertical="center" wrapText="1"/>
    </xf>
    <xf numFmtId="0" fontId="17" fillId="0" borderId="44" xfId="0" applyFont="1" applyBorder="1" applyAlignment="1">
      <alignment horizontal="center" vertical="center" wrapText="1"/>
    </xf>
    <xf numFmtId="10" fontId="13" fillId="23" borderId="0" xfId="0" applyNumberFormat="1" applyFont="1" applyFill="1"/>
    <xf numFmtId="0" fontId="76" fillId="0" borderId="0" xfId="19" applyFont="1" applyAlignment="1">
      <alignment horizontal="left" wrapText="1" readingOrder="1"/>
    </xf>
    <xf numFmtId="0" fontId="77" fillId="0" borderId="0" xfId="0" applyFont="1" applyAlignment="1">
      <alignment vertical="top" wrapText="1"/>
    </xf>
    <xf numFmtId="0" fontId="72" fillId="0" borderId="0" xfId="0" applyFont="1"/>
    <xf numFmtId="3" fontId="77" fillId="0" borderId="0" xfId="0" applyNumberFormat="1" applyFont="1" applyAlignment="1">
      <alignment vertical="top" wrapText="1"/>
    </xf>
    <xf numFmtId="4" fontId="56" fillId="0" borderId="21" xfId="6" applyFont="1" applyFill="1" applyBorder="1">
      <alignment horizontal="right"/>
    </xf>
    <xf numFmtId="4" fontId="39" fillId="0" borderId="21" xfId="6" applyFont="1" applyFill="1" applyBorder="1">
      <alignment horizontal="right"/>
    </xf>
    <xf numFmtId="4" fontId="39" fillId="0" borderId="23" xfId="6" applyFont="1" applyFill="1" applyBorder="1">
      <alignment horizontal="right"/>
    </xf>
    <xf numFmtId="14" fontId="13" fillId="0" borderId="28" xfId="0" applyNumberFormat="1" applyFont="1" applyBorder="1" applyAlignment="1">
      <alignment horizontal="center" vertical="center" wrapText="1"/>
    </xf>
    <xf numFmtId="3" fontId="9" fillId="0" borderId="87" xfId="32" applyNumberFormat="1" applyBorder="1" applyAlignment="1">
      <alignment horizontal="center"/>
    </xf>
    <xf numFmtId="176" fontId="63" fillId="16" borderId="0" xfId="38" applyNumberFormat="1" applyFont="1" applyFill="1" applyAlignment="1">
      <alignment horizontal="center"/>
    </xf>
    <xf numFmtId="176" fontId="63" fillId="0" borderId="0" xfId="23" applyNumberFormat="1" applyFont="1" applyAlignment="1">
      <alignment horizontal="center"/>
    </xf>
    <xf numFmtId="3" fontId="63" fillId="9" borderId="0" xfId="23" applyNumberFormat="1" applyFont="1" applyFill="1" applyAlignment="1">
      <alignment horizontal="center"/>
    </xf>
    <xf numFmtId="10" fontId="0" fillId="20" borderId="0" xfId="14" applyNumberFormat="1" applyFont="1" applyFill="1" applyBorder="1" applyAlignment="1">
      <alignment horizontal="center"/>
    </xf>
    <xf numFmtId="10" fontId="0" fillId="0" borderId="0" xfId="14" applyNumberFormat="1" applyFont="1" applyFill="1" applyBorder="1" applyAlignment="1">
      <alignment horizontal="center"/>
    </xf>
    <xf numFmtId="2" fontId="0" fillId="15" borderId="0" xfId="0" applyNumberFormat="1" applyFill="1" applyAlignment="1">
      <alignment horizontal="center"/>
    </xf>
    <xf numFmtId="2" fontId="0" fillId="22" borderId="0" xfId="0" applyNumberFormat="1" applyFill="1" applyAlignment="1">
      <alignment horizontal="center"/>
    </xf>
    <xf numFmtId="4" fontId="53" fillId="25" borderId="21" xfId="6" applyFont="1" applyFill="1" applyBorder="1">
      <alignment horizontal="right"/>
    </xf>
    <xf numFmtId="4" fontId="53" fillId="25" borderId="72" xfId="6" applyFont="1" applyFill="1" applyBorder="1">
      <alignment horizontal="right"/>
    </xf>
    <xf numFmtId="4" fontId="13" fillId="14" borderId="21" xfId="6" applyFont="1" applyFill="1" applyBorder="1">
      <alignment horizontal="right"/>
    </xf>
    <xf numFmtId="4" fontId="13" fillId="25" borderId="21" xfId="6" applyFont="1" applyFill="1" applyBorder="1">
      <alignment horizontal="right"/>
    </xf>
    <xf numFmtId="0" fontId="13" fillId="25" borderId="21" xfId="8" applyFont="1" applyFill="1" applyBorder="1" applyAlignment="1">
      <alignment horizontal="right"/>
    </xf>
    <xf numFmtId="10" fontId="0" fillId="12" borderId="0" xfId="14" applyNumberFormat="1" applyFont="1" applyFill="1" applyBorder="1" applyAlignment="1">
      <alignment horizontal="center"/>
    </xf>
    <xf numFmtId="0" fontId="9" fillId="4" borderId="0" xfId="32" applyFill="1"/>
    <xf numFmtId="0" fontId="9" fillId="4" borderId="0" xfId="32" applyFill="1" applyAlignment="1">
      <alignment horizontal="center"/>
    </xf>
    <xf numFmtId="168" fontId="9" fillId="4" borderId="0" xfId="32" applyNumberFormat="1" applyFill="1" applyAlignment="1">
      <alignment horizontal="center"/>
    </xf>
    <xf numFmtId="0" fontId="80" fillId="4" borderId="0" xfId="32" applyFont="1" applyFill="1"/>
    <xf numFmtId="10" fontId="13" fillId="0" borderId="67" xfId="35" applyNumberFormat="1" applyFont="1" applyBorder="1" applyAlignment="1">
      <alignment horizontal="center"/>
    </xf>
    <xf numFmtId="9" fontId="9" fillId="0" borderId="0" xfId="32" applyNumberFormat="1"/>
    <xf numFmtId="0" fontId="4" fillId="0" borderId="0" xfId="32" applyFont="1" applyAlignment="1">
      <alignment horizontal="center"/>
    </xf>
    <xf numFmtId="0" fontId="4" fillId="0" borderId="96" xfId="32" applyFont="1" applyBorder="1"/>
    <xf numFmtId="9" fontId="81" fillId="0" borderId="96" xfId="32" applyNumberFormat="1" applyFont="1" applyBorder="1" applyAlignment="1">
      <alignment horizontal="center"/>
    </xf>
    <xf numFmtId="9" fontId="9" fillId="26" borderId="96" xfId="14" applyFont="1" applyFill="1" applyBorder="1"/>
    <xf numFmtId="2" fontId="9" fillId="0" borderId="96" xfId="32" applyNumberFormat="1" applyBorder="1" applyAlignment="1">
      <alignment horizontal="right"/>
    </xf>
    <xf numFmtId="0" fontId="4" fillId="0" borderId="96" xfId="31" applyFont="1" applyBorder="1"/>
    <xf numFmtId="2" fontId="10" fillId="0" borderId="96" xfId="31" applyNumberFormat="1" applyBorder="1"/>
    <xf numFmtId="0" fontId="64" fillId="0" borderId="0" xfId="32" applyFont="1" applyAlignment="1">
      <alignment horizontal="right"/>
    </xf>
    <xf numFmtId="0" fontId="57" fillId="27" borderId="0" xfId="32" applyFont="1" applyFill="1"/>
    <xf numFmtId="0" fontId="9" fillId="27" borderId="0" xfId="32" applyFill="1"/>
    <xf numFmtId="0" fontId="9" fillId="27" borderId="0" xfId="32" applyFill="1" applyAlignment="1">
      <alignment horizontal="center"/>
    </xf>
    <xf numFmtId="0" fontId="4" fillId="27" borderId="0" xfId="32" applyFont="1" applyFill="1"/>
    <xf numFmtId="0" fontId="4" fillId="27" borderId="0" xfId="32" applyFont="1" applyFill="1" applyAlignment="1">
      <alignment horizontal="center"/>
    </xf>
    <xf numFmtId="0" fontId="81" fillId="26" borderId="96" xfId="32" applyFont="1" applyFill="1" applyBorder="1" applyAlignment="1">
      <alignment horizontal="center"/>
    </xf>
    <xf numFmtId="0" fontId="13" fillId="0" borderId="1" xfId="0" applyFont="1" applyBorder="1" applyAlignment="1">
      <alignment horizontal="left" vertical="top" wrapText="1"/>
    </xf>
    <xf numFmtId="0" fontId="57" fillId="27" borderId="0" xfId="32" applyFont="1" applyFill="1" applyAlignment="1">
      <alignment horizontal="center"/>
    </xf>
    <xf numFmtId="0" fontId="64" fillId="26" borderId="87" xfId="32" applyFont="1" applyFill="1" applyBorder="1" applyAlignment="1">
      <alignment horizontal="center"/>
    </xf>
    <xf numFmtId="170" fontId="4" fillId="0" borderId="85" xfId="32" applyNumberFormat="1" applyFont="1" applyBorder="1" applyAlignment="1">
      <alignment horizontal="left"/>
    </xf>
    <xf numFmtId="10" fontId="0" fillId="0" borderId="0" xfId="35" applyNumberFormat="1" applyFont="1" applyFill="1" applyBorder="1" applyAlignment="1">
      <alignment horizontal="center"/>
    </xf>
    <xf numFmtId="0" fontId="3" fillId="0" borderId="0" xfId="32" applyFont="1"/>
    <xf numFmtId="0" fontId="3" fillId="0" borderId="0" xfId="32" applyFont="1" applyAlignment="1">
      <alignment horizontal="center"/>
    </xf>
    <xf numFmtId="0" fontId="9" fillId="0" borderId="2" xfId="32" applyBorder="1" applyAlignment="1">
      <alignment horizontal="center"/>
    </xf>
    <xf numFmtId="0" fontId="64" fillId="26" borderId="88" xfId="32" applyFont="1" applyFill="1" applyBorder="1" applyAlignment="1">
      <alignment horizontal="center"/>
    </xf>
    <xf numFmtId="0" fontId="64" fillId="7" borderId="87" xfId="32" applyFont="1" applyFill="1" applyBorder="1" applyAlignment="1">
      <alignment horizontal="center"/>
    </xf>
    <xf numFmtId="0" fontId="3" fillId="0" borderId="87" xfId="32" applyFont="1" applyBorder="1"/>
    <xf numFmtId="9" fontId="9" fillId="0" borderId="87" xfId="14" applyFont="1" applyBorder="1" applyAlignment="1">
      <alignment horizontal="center"/>
    </xf>
    <xf numFmtId="0" fontId="3" fillId="0" borderId="87" xfId="32" applyFont="1" applyBorder="1" applyAlignment="1">
      <alignment horizontal="center"/>
    </xf>
    <xf numFmtId="0" fontId="81" fillId="26" borderId="87" xfId="32" applyFont="1" applyFill="1" applyBorder="1" applyAlignment="1">
      <alignment horizontal="center"/>
    </xf>
    <xf numFmtId="9" fontId="9" fillId="0" borderId="87" xfId="32" applyNumberFormat="1" applyBorder="1"/>
    <xf numFmtId="9" fontId="9" fillId="0" borderId="87" xfId="32" applyNumberFormat="1" applyBorder="1" applyAlignment="1">
      <alignment horizontal="center"/>
    </xf>
    <xf numFmtId="9" fontId="9" fillId="26" borderId="87" xfId="14" applyFont="1" applyFill="1" applyBorder="1"/>
    <xf numFmtId="9" fontId="3" fillId="26" borderId="87" xfId="14" applyFont="1" applyFill="1" applyBorder="1"/>
    <xf numFmtId="171" fontId="0" fillId="0" borderId="0" xfId="35" applyNumberFormat="1" applyFont="1" applyBorder="1" applyAlignment="1">
      <alignment horizontal="center"/>
    </xf>
    <xf numFmtId="0" fontId="64" fillId="0" borderId="0" xfId="32" applyFont="1" applyAlignment="1">
      <alignment horizontal="left"/>
    </xf>
    <xf numFmtId="0" fontId="3" fillId="0" borderId="0" xfId="32" applyFont="1" applyAlignment="1">
      <alignment horizontal="right"/>
    </xf>
    <xf numFmtId="171" fontId="3" fillId="26" borderId="96" xfId="14" applyNumberFormat="1" applyFont="1" applyFill="1" applyBorder="1" applyAlignment="1">
      <alignment horizontal="right"/>
    </xf>
    <xf numFmtId="172" fontId="3" fillId="0" borderId="96" xfId="38" applyNumberFormat="1" applyFont="1" applyBorder="1" applyAlignment="1">
      <alignment horizontal="right"/>
    </xf>
    <xf numFmtId="172" fontId="3" fillId="0" borderId="96" xfId="32" applyNumberFormat="1" applyFont="1" applyBorder="1" applyAlignment="1">
      <alignment horizontal="right"/>
    </xf>
    <xf numFmtId="172" fontId="3" fillId="0" borderId="99" xfId="32" applyNumberFormat="1" applyFont="1" applyBorder="1" applyAlignment="1">
      <alignment horizontal="right"/>
    </xf>
    <xf numFmtId="0" fontId="81" fillId="26" borderId="97" xfId="32" applyFont="1" applyFill="1" applyBorder="1" applyAlignment="1">
      <alignment horizontal="left"/>
    </xf>
    <xf numFmtId="0" fontId="3" fillId="0" borderId="87" xfId="32" applyFont="1" applyBorder="1" applyAlignment="1">
      <alignment horizontal="left"/>
    </xf>
    <xf numFmtId="0" fontId="64" fillId="7" borderId="98" xfId="32" applyFont="1" applyFill="1" applyBorder="1" applyAlignment="1">
      <alignment horizontal="center"/>
    </xf>
    <xf numFmtId="0" fontId="64" fillId="7" borderId="96" xfId="32" applyFont="1" applyFill="1" applyBorder="1" applyAlignment="1">
      <alignment horizontal="center"/>
    </xf>
    <xf numFmtId="0" fontId="81" fillId="26" borderId="97" xfId="32" applyFont="1" applyFill="1" applyBorder="1" applyAlignment="1">
      <alignment horizontal="center"/>
    </xf>
    <xf numFmtId="171" fontId="4" fillId="0" borderId="97" xfId="32" applyNumberFormat="1" applyFont="1" applyBorder="1" applyAlignment="1">
      <alignment horizontal="center"/>
    </xf>
    <xf numFmtId="171" fontId="9" fillId="0" borderId="87" xfId="32" applyNumberFormat="1" applyBorder="1" applyAlignment="1">
      <alignment horizontal="center"/>
    </xf>
    <xf numFmtId="10" fontId="64" fillId="0" borderId="0" xfId="32" applyNumberFormat="1" applyFont="1"/>
    <xf numFmtId="0" fontId="81" fillId="26" borderId="96" xfId="31" applyFont="1" applyFill="1" applyBorder="1"/>
    <xf numFmtId="1" fontId="64" fillId="7" borderId="96" xfId="14" applyNumberFormat="1" applyFont="1" applyFill="1" applyBorder="1" applyAlignment="1">
      <alignment horizontal="center"/>
    </xf>
    <xf numFmtId="1" fontId="64" fillId="7" borderId="96" xfId="32" applyNumberFormat="1" applyFont="1" applyFill="1" applyBorder="1" applyAlignment="1">
      <alignment horizontal="center"/>
    </xf>
    <xf numFmtId="0" fontId="57" fillId="0" borderId="0" xfId="32" applyFont="1"/>
    <xf numFmtId="0" fontId="64" fillId="0" borderId="0" xfId="32" applyFont="1" applyAlignment="1">
      <alignment horizontal="center"/>
    </xf>
    <xf numFmtId="0" fontId="4" fillId="0" borderId="87" xfId="32" applyFont="1" applyBorder="1" applyAlignment="1">
      <alignment horizontal="center"/>
    </xf>
    <xf numFmtId="10" fontId="9" fillId="0" borderId="87" xfId="32" applyNumberFormat="1" applyBorder="1" applyAlignment="1">
      <alignment horizontal="center"/>
    </xf>
    <xf numFmtId="0" fontId="4" fillId="0" borderId="3" xfId="32" applyFont="1" applyBorder="1" applyAlignment="1">
      <alignment horizontal="center"/>
    </xf>
    <xf numFmtId="0" fontId="64" fillId="7" borderId="88" xfId="32" applyFont="1" applyFill="1" applyBorder="1" applyAlignment="1">
      <alignment horizontal="center"/>
    </xf>
    <xf numFmtId="10" fontId="3" fillId="26" borderId="87" xfId="32" applyNumberFormat="1" applyFont="1" applyFill="1" applyBorder="1"/>
    <xf numFmtId="0" fontId="3" fillId="0" borderId="87" xfId="32" applyFont="1" applyBorder="1" applyAlignment="1">
      <alignment horizontal="right"/>
    </xf>
    <xf numFmtId="0" fontId="9" fillId="0" borderId="3" xfId="14" applyNumberFormat="1" applyFont="1" applyFill="1" applyBorder="1" applyAlignment="1">
      <alignment horizontal="right"/>
    </xf>
    <xf numFmtId="0" fontId="4" fillId="0" borderId="3" xfId="14" applyNumberFormat="1" applyFont="1" applyFill="1" applyBorder="1" applyAlignment="1">
      <alignment horizontal="right"/>
    </xf>
    <xf numFmtId="0" fontId="9" fillId="0" borderId="3" xfId="14" applyNumberFormat="1" applyFont="1" applyBorder="1" applyAlignment="1">
      <alignment horizontal="right"/>
    </xf>
    <xf numFmtId="0" fontId="9" fillId="0" borderId="100" xfId="32" applyBorder="1"/>
    <xf numFmtId="0" fontId="80" fillId="27" borderId="0" xfId="32" applyFont="1" applyFill="1"/>
    <xf numFmtId="10" fontId="3" fillId="0" borderId="87" xfId="32" applyNumberFormat="1" applyFont="1" applyBorder="1" applyAlignment="1">
      <alignment horizontal="center"/>
    </xf>
    <xf numFmtId="0" fontId="81" fillId="26" borderId="2" xfId="32" applyFont="1" applyFill="1" applyBorder="1"/>
    <xf numFmtId="9" fontId="3" fillId="0" borderId="87" xfId="32" applyNumberFormat="1" applyFont="1" applyBorder="1"/>
    <xf numFmtId="10" fontId="9" fillId="0" borderId="0" xfId="32" applyNumberFormat="1" applyAlignment="1">
      <alignment horizontal="center"/>
    </xf>
    <xf numFmtId="0" fontId="64" fillId="7" borderId="87" xfId="32" applyFont="1" applyFill="1" applyBorder="1"/>
    <xf numFmtId="0" fontId="9" fillId="26" borderId="89" xfId="32" applyFill="1" applyBorder="1"/>
    <xf numFmtId="9" fontId="0" fillId="0" borderId="0" xfId="14" applyFont="1" applyAlignment="1">
      <alignment horizontal="center" vertical="center"/>
    </xf>
    <xf numFmtId="9" fontId="30" fillId="0" borderId="15" xfId="14" applyFont="1" applyBorder="1" applyAlignment="1">
      <alignment horizontal="center" vertical="center"/>
    </xf>
    <xf numFmtId="170" fontId="0" fillId="0" borderId="0" xfId="0" applyNumberFormat="1" applyAlignment="1">
      <alignment horizontal="center" vertical="center"/>
    </xf>
    <xf numFmtId="2" fontId="0" fillId="0" borderId="0" xfId="14" applyNumberFormat="1" applyFont="1" applyFill="1" applyAlignment="1">
      <alignment horizontal="center"/>
    </xf>
    <xf numFmtId="2" fontId="0" fillId="12" borderId="0" xfId="14" applyNumberFormat="1" applyFont="1" applyFill="1" applyBorder="1" applyAlignment="1">
      <alignment horizontal="center"/>
    </xf>
    <xf numFmtId="0" fontId="64" fillId="28" borderId="87" xfId="32" applyFont="1" applyFill="1" applyBorder="1" applyAlignment="1">
      <alignment horizontal="center"/>
    </xf>
    <xf numFmtId="3" fontId="9" fillId="0" borderId="87" xfId="32" applyNumberFormat="1" applyBorder="1"/>
    <xf numFmtId="0" fontId="63" fillId="29" borderId="0" xfId="23" applyFont="1" applyFill="1"/>
    <xf numFmtId="176" fontId="63" fillId="29" borderId="0" xfId="38" applyNumberFormat="1" applyFont="1" applyFill="1" applyBorder="1" applyAlignment="1">
      <alignment horizontal="center"/>
    </xf>
    <xf numFmtId="2" fontId="0" fillId="0" borderId="0" xfId="14" applyNumberFormat="1" applyFont="1" applyFill="1" applyBorder="1" applyAlignment="1">
      <alignment horizontal="center"/>
    </xf>
    <xf numFmtId="2" fontId="0" fillId="20" borderId="0" xfId="14" applyNumberFormat="1" applyFont="1" applyFill="1" applyBorder="1" applyAlignment="1">
      <alignment horizontal="center"/>
    </xf>
    <xf numFmtId="2" fontId="0" fillId="13" borderId="0" xfId="14" applyNumberFormat="1" applyFont="1" applyFill="1" applyBorder="1" applyAlignment="1">
      <alignment horizontal="center"/>
    </xf>
    <xf numFmtId="2" fontId="0" fillId="15" borderId="77" xfId="14" applyNumberFormat="1" applyFont="1" applyFill="1" applyBorder="1" applyAlignment="1">
      <alignment horizontal="center"/>
    </xf>
    <xf numFmtId="10" fontId="0" fillId="15" borderId="77" xfId="14" applyNumberFormat="1" applyFont="1" applyFill="1" applyBorder="1" applyAlignment="1">
      <alignment horizontal="center"/>
    </xf>
    <xf numFmtId="10" fontId="0" fillId="15" borderId="0" xfId="14" applyNumberFormat="1" applyFont="1" applyFill="1" applyBorder="1" applyAlignment="1">
      <alignment horizontal="center"/>
    </xf>
    <xf numFmtId="10" fontId="0" fillId="0" borderId="77" xfId="14" applyNumberFormat="1" applyFont="1" applyFill="1" applyBorder="1" applyAlignment="1">
      <alignment horizontal="center"/>
    </xf>
    <xf numFmtId="168" fontId="63" fillId="9" borderId="0" xfId="38" applyNumberFormat="1" applyFont="1" applyFill="1" applyAlignment="1">
      <alignment horizontal="center"/>
    </xf>
    <xf numFmtId="168" fontId="0" fillId="0" borderId="77" xfId="0" applyNumberFormat="1" applyBorder="1" applyAlignment="1">
      <alignment horizontal="center"/>
    </xf>
    <xf numFmtId="2" fontId="0" fillId="0" borderId="77" xfId="14" applyNumberFormat="1" applyFont="1" applyFill="1" applyBorder="1" applyAlignment="1">
      <alignment horizontal="center"/>
    </xf>
    <xf numFmtId="2" fontId="0" fillId="20" borderId="0" xfId="0" applyNumberFormat="1" applyFill="1" applyAlignment="1">
      <alignment horizontal="center"/>
    </xf>
    <xf numFmtId="2" fontId="0" fillId="22" borderId="77" xfId="0" applyNumberFormat="1" applyFill="1" applyBorder="1" applyAlignment="1">
      <alignment horizontal="center"/>
    </xf>
    <xf numFmtId="2" fontId="0" fillId="13" borderId="77" xfId="0" applyNumberFormat="1" applyFill="1" applyBorder="1" applyAlignment="1">
      <alignment horizontal="center"/>
    </xf>
    <xf numFmtId="2" fontId="0" fillId="21" borderId="0" xfId="0" applyNumberFormat="1" applyFill="1" applyAlignment="1">
      <alignment horizontal="center"/>
    </xf>
    <xf numFmtId="2" fontId="13" fillId="13" borderId="79" xfId="14" applyNumberFormat="1" applyFont="1" applyFill="1" applyBorder="1" applyAlignment="1">
      <alignment horizontal="center"/>
    </xf>
    <xf numFmtId="2" fontId="0" fillId="13" borderId="79" xfId="14" applyNumberFormat="1" applyFont="1" applyFill="1" applyBorder="1" applyAlignment="1">
      <alignment horizontal="center"/>
    </xf>
    <xf numFmtId="2" fontId="13" fillId="15" borderId="79" xfId="14" applyNumberFormat="1" applyFont="1" applyFill="1" applyBorder="1" applyAlignment="1">
      <alignment horizontal="center"/>
    </xf>
    <xf numFmtId="2" fontId="0" fillId="15" borderId="80" xfId="14" applyNumberFormat="1" applyFont="1" applyFill="1" applyBorder="1" applyAlignment="1">
      <alignment horizontal="center"/>
    </xf>
    <xf numFmtId="10" fontId="0" fillId="15" borderId="0" xfId="14" applyNumberFormat="1" applyFont="1" applyFill="1" applyAlignment="1">
      <alignment horizontal="center"/>
    </xf>
    <xf numFmtId="10" fontId="0" fillId="12" borderId="0" xfId="14" applyNumberFormat="1" applyFont="1" applyFill="1" applyAlignment="1">
      <alignment horizontal="center"/>
    </xf>
    <xf numFmtId="10" fontId="0" fillId="13" borderId="77" xfId="14" applyNumberFormat="1" applyFont="1" applyFill="1" applyBorder="1" applyAlignment="1">
      <alignment horizontal="center"/>
    </xf>
    <xf numFmtId="10" fontId="0" fillId="13" borderId="0" xfId="14" applyNumberFormat="1" applyFont="1" applyFill="1" applyAlignment="1">
      <alignment horizontal="center"/>
    </xf>
    <xf numFmtId="0" fontId="3" fillId="0" borderId="3" xfId="32" applyFont="1" applyBorder="1"/>
    <xf numFmtId="0" fontId="64" fillId="7" borderId="101" xfId="32" applyFont="1" applyFill="1" applyBorder="1" applyAlignment="1">
      <alignment horizontal="center"/>
    </xf>
    <xf numFmtId="0" fontId="9" fillId="0" borderId="102" xfId="32" applyBorder="1"/>
    <xf numFmtId="3" fontId="9" fillId="0" borderId="88" xfId="32" applyNumberFormat="1" applyBorder="1"/>
    <xf numFmtId="3" fontId="9" fillId="0" borderId="0" xfId="32" applyNumberFormat="1"/>
    <xf numFmtId="9" fontId="9" fillId="0" borderId="0" xfId="14" applyFont="1" applyFill="1" applyBorder="1"/>
    <xf numFmtId="0" fontId="9" fillId="0" borderId="88" xfId="32" applyBorder="1"/>
    <xf numFmtId="0" fontId="81" fillId="26" borderId="103" xfId="32" applyFont="1" applyFill="1" applyBorder="1"/>
    <xf numFmtId="0" fontId="9" fillId="7" borderId="87" xfId="32" applyFill="1" applyBorder="1"/>
    <xf numFmtId="171" fontId="3" fillId="0" borderId="87" xfId="32" applyNumberFormat="1" applyFont="1" applyBorder="1" applyAlignment="1">
      <alignment horizontal="center"/>
    </xf>
    <xf numFmtId="9" fontId="9" fillId="0" borderId="87" xfId="14" applyFont="1" applyBorder="1"/>
    <xf numFmtId="171" fontId="9" fillId="0" borderId="87" xfId="14" applyNumberFormat="1" applyFont="1" applyBorder="1"/>
    <xf numFmtId="0" fontId="81" fillId="26" borderId="87" xfId="32" applyFont="1" applyFill="1" applyBorder="1"/>
    <xf numFmtId="0" fontId="3" fillId="0" borderId="102" xfId="32" applyFont="1" applyBorder="1"/>
    <xf numFmtId="173" fontId="25" fillId="3" borderId="4" xfId="41">
      <alignment horizontal="right"/>
    </xf>
    <xf numFmtId="173" fontId="16" fillId="3" borderId="4" xfId="5">
      <alignment horizontal="right"/>
    </xf>
    <xf numFmtId="9" fontId="9" fillId="7" borderId="87" xfId="14" applyFont="1" applyFill="1" applyBorder="1"/>
    <xf numFmtId="4" fontId="13" fillId="9" borderId="21" xfId="6" applyFont="1" applyFill="1" applyBorder="1">
      <alignment horizontal="right"/>
    </xf>
    <xf numFmtId="4" fontId="56" fillId="25" borderId="21" xfId="6" applyFont="1" applyFill="1" applyBorder="1">
      <alignment horizontal="right"/>
    </xf>
    <xf numFmtId="0" fontId="13" fillId="25" borderId="27" xfId="0" applyFont="1" applyFill="1" applyBorder="1" applyAlignment="1">
      <alignment horizontal="center"/>
    </xf>
    <xf numFmtId="170" fontId="13" fillId="25" borderId="27" xfId="0" applyNumberFormat="1" applyFont="1" applyFill="1" applyBorder="1" applyAlignment="1">
      <alignment horizontal="center"/>
    </xf>
    <xf numFmtId="3" fontId="0" fillId="0" borderId="32" xfId="0" applyNumberFormat="1" applyBorder="1" applyAlignment="1">
      <alignment horizontal="center"/>
    </xf>
    <xf numFmtId="170" fontId="0" fillId="17" borderId="57" xfId="0" applyNumberFormat="1" applyFill="1" applyBorder="1" applyAlignment="1">
      <alignment horizontal="center"/>
    </xf>
    <xf numFmtId="9" fontId="3" fillId="0" borderId="87" xfId="32" applyNumberFormat="1" applyFont="1" applyBorder="1" applyAlignment="1">
      <alignment horizontal="center"/>
    </xf>
    <xf numFmtId="0" fontId="64" fillId="26" borderId="89" xfId="32" applyFont="1" applyFill="1" applyBorder="1" applyAlignment="1">
      <alignment horizontal="center"/>
    </xf>
    <xf numFmtId="0" fontId="18" fillId="0" borderId="87" xfId="32" applyFont="1" applyBorder="1"/>
    <xf numFmtId="171" fontId="13" fillId="0" borderId="87" xfId="32" applyNumberFormat="1" applyFont="1" applyBorder="1" applyAlignment="1">
      <alignment horizontal="center"/>
    </xf>
    <xf numFmtId="171" fontId="40" fillId="30" borderId="87" xfId="34" applyNumberFormat="1" applyFont="1" applyFill="1" applyBorder="1" applyAlignment="1">
      <alignment horizontal="center"/>
    </xf>
    <xf numFmtId="0" fontId="2" fillId="0" borderId="0" xfId="32" applyFont="1"/>
    <xf numFmtId="0" fontId="2" fillId="0" borderId="0" xfId="32" applyFont="1" applyAlignment="1">
      <alignment horizontal="center"/>
    </xf>
    <xf numFmtId="3" fontId="2" fillId="0" borderId="87" xfId="32" applyNumberFormat="1" applyFont="1" applyBorder="1"/>
    <xf numFmtId="9" fontId="2" fillId="0" borderId="87" xfId="14" applyFont="1" applyBorder="1"/>
    <xf numFmtId="0" fontId="9" fillId="28" borderId="87" xfId="32" applyFill="1" applyBorder="1"/>
    <xf numFmtId="0" fontId="64" fillId="28" borderId="3" xfId="32" applyFont="1" applyFill="1" applyBorder="1" applyAlignment="1">
      <alignment horizontal="center"/>
    </xf>
    <xf numFmtId="0" fontId="81" fillId="28" borderId="87" xfId="32" applyFont="1" applyFill="1" applyBorder="1"/>
    <xf numFmtId="0" fontId="9" fillId="0" borderId="87" xfId="32" applyBorder="1" applyAlignment="1">
      <alignment horizontal="right"/>
    </xf>
    <xf numFmtId="3" fontId="9" fillId="0" borderId="87" xfId="32" applyNumberFormat="1" applyBorder="1" applyAlignment="1">
      <alignment horizontal="right"/>
    </xf>
    <xf numFmtId="0" fontId="9" fillId="0" borderId="2" xfId="32" applyBorder="1" applyAlignment="1">
      <alignment horizontal="right"/>
    </xf>
    <xf numFmtId="0" fontId="9" fillId="0" borderId="89" xfId="32" applyBorder="1" applyAlignment="1">
      <alignment horizontal="right"/>
    </xf>
    <xf numFmtId="0" fontId="80" fillId="4" borderId="104" xfId="32" applyFont="1" applyFill="1" applyBorder="1" applyAlignment="1">
      <alignment horizontal="center"/>
    </xf>
    <xf numFmtId="10" fontId="9" fillId="0" borderId="105" xfId="14" applyNumberFormat="1" applyFont="1" applyBorder="1" applyAlignment="1">
      <alignment horizontal="center"/>
    </xf>
    <xf numFmtId="2" fontId="13" fillId="15" borderId="0" xfId="0" applyNumberFormat="1" applyFont="1" applyFill="1" applyAlignment="1">
      <alignment horizontal="center"/>
    </xf>
    <xf numFmtId="2" fontId="0" fillId="12" borderId="77" xfId="0" applyNumberFormat="1" applyFill="1" applyBorder="1" applyAlignment="1">
      <alignment horizontal="center"/>
    </xf>
    <xf numFmtId="10" fontId="0" fillId="0" borderId="0" xfId="14" applyNumberFormat="1" applyFont="1" applyAlignment="1">
      <alignment horizontal="center" vertical="center"/>
    </xf>
    <xf numFmtId="170" fontId="1" fillId="19" borderId="87" xfId="32" applyNumberFormat="1" applyFont="1" applyFill="1" applyBorder="1" applyAlignment="1">
      <alignment horizontal="center"/>
    </xf>
    <xf numFmtId="0" fontId="87" fillId="0" borderId="0" xfId="19" applyFont="1" applyAlignment="1">
      <alignment horizontal="left" wrapText="1" readingOrder="1"/>
    </xf>
    <xf numFmtId="0" fontId="88" fillId="0" borderId="0" xfId="0" applyFont="1"/>
    <xf numFmtId="0" fontId="89" fillId="0" borderId="0" xfId="0" applyFont="1"/>
    <xf numFmtId="0" fontId="90" fillId="0" borderId="0" xfId="0" applyFont="1" applyAlignment="1">
      <alignment vertical="top" wrapText="1"/>
    </xf>
    <xf numFmtId="0" fontId="47" fillId="0" borderId="0" xfId="0" applyFont="1"/>
    <xf numFmtId="0" fontId="47" fillId="0" borderId="0" xfId="0" applyFont="1" applyAlignment="1">
      <alignment horizontal="center"/>
    </xf>
    <xf numFmtId="0" fontId="1" fillId="0" borderId="0" xfId="32" applyFont="1" applyAlignment="1">
      <alignment horizontal="center"/>
    </xf>
    <xf numFmtId="0" fontId="1" fillId="0" borderId="0" xfId="32" applyFont="1"/>
    <xf numFmtId="176" fontId="63" fillId="29" borderId="0" xfId="38" applyNumberFormat="1" applyFont="1" applyFill="1" applyAlignment="1">
      <alignment horizontal="center"/>
    </xf>
    <xf numFmtId="10" fontId="0" fillId="14" borderId="0" xfId="14" applyNumberFormat="1" applyFont="1" applyFill="1" applyBorder="1" applyAlignment="1">
      <alignment horizontal="center"/>
    </xf>
    <xf numFmtId="10" fontId="0" fillId="14" borderId="77" xfId="14" applyNumberFormat="1" applyFont="1" applyFill="1" applyBorder="1" applyAlignment="1">
      <alignment horizontal="center"/>
    </xf>
    <xf numFmtId="2" fontId="0" fillId="14" borderId="0" xfId="0" applyNumberFormat="1" applyFill="1" applyAlignment="1">
      <alignment horizontal="center"/>
    </xf>
    <xf numFmtId="172" fontId="9" fillId="0" borderId="0" xfId="32" applyNumberFormat="1" applyAlignment="1">
      <alignment horizontal="center"/>
    </xf>
    <xf numFmtId="0" fontId="0" fillId="9" borderId="0" xfId="0" applyFill="1"/>
    <xf numFmtId="0" fontId="64" fillId="31" borderId="106" xfId="0" applyFont="1" applyFill="1" applyBorder="1" applyAlignment="1">
      <alignment horizontal="center"/>
    </xf>
    <xf numFmtId="0" fontId="64" fillId="31" borderId="107" xfId="0" applyFont="1" applyFill="1" applyBorder="1" applyAlignment="1">
      <alignment horizontal="center"/>
    </xf>
    <xf numFmtId="0" fontId="64" fillId="31" borderId="105" xfId="0" applyFont="1" applyFill="1" applyBorder="1" applyAlignment="1">
      <alignment horizontal="center"/>
    </xf>
    <xf numFmtId="0" fontId="0" fillId="31" borderId="108" xfId="0" applyFill="1" applyBorder="1" applyAlignment="1">
      <alignment horizontal="center"/>
    </xf>
    <xf numFmtId="172" fontId="0" fillId="9" borderId="108" xfId="0" applyNumberFormat="1" applyFill="1" applyBorder="1"/>
    <xf numFmtId="172" fontId="0" fillId="23" borderId="108" xfId="0" applyNumberFormat="1" applyFill="1" applyBorder="1"/>
    <xf numFmtId="0" fontId="0" fillId="31" borderId="109" xfId="0" applyFill="1" applyBorder="1" applyAlignment="1">
      <alignment horizontal="center"/>
    </xf>
    <xf numFmtId="172" fontId="0" fillId="9" borderId="109" xfId="0" applyNumberFormat="1" applyFill="1" applyBorder="1"/>
    <xf numFmtId="172" fontId="0" fillId="23" borderId="109" xfId="0" applyNumberFormat="1" applyFill="1" applyBorder="1"/>
    <xf numFmtId="0" fontId="0" fillId="32" borderId="107" xfId="0" applyFill="1" applyBorder="1" applyAlignment="1">
      <alignment horizontal="center"/>
    </xf>
    <xf numFmtId="172" fontId="0" fillId="9" borderId="107" xfId="0" applyNumberFormat="1" applyFill="1" applyBorder="1"/>
    <xf numFmtId="172" fontId="0" fillId="23" borderId="107" xfId="0" applyNumberFormat="1" applyFill="1" applyBorder="1"/>
    <xf numFmtId="172" fontId="0" fillId="23" borderId="105" xfId="0" applyNumberFormat="1" applyFill="1" applyBorder="1"/>
    <xf numFmtId="0" fontId="0" fillId="9" borderId="0" xfId="0" applyFill="1" applyAlignment="1">
      <alignment vertical="center"/>
    </xf>
    <xf numFmtId="0" fontId="0" fillId="9" borderId="0" xfId="0" applyFill="1" applyAlignment="1">
      <alignment horizontal="center"/>
    </xf>
    <xf numFmtId="0" fontId="64" fillId="31" borderId="111" xfId="0" applyFont="1" applyFill="1" applyBorder="1" applyAlignment="1">
      <alignment horizontal="center"/>
    </xf>
    <xf numFmtId="0" fontId="0" fillId="9" borderId="108" xfId="0" applyFill="1" applyBorder="1" applyAlignment="1">
      <alignment horizontal="center"/>
    </xf>
    <xf numFmtId="171" fontId="0" fillId="9" borderId="108" xfId="14" applyNumberFormat="1" applyFont="1" applyFill="1" applyBorder="1"/>
    <xf numFmtId="10" fontId="0" fillId="23" borderId="108" xfId="0" applyNumberFormat="1" applyFill="1" applyBorder="1"/>
    <xf numFmtId="171" fontId="0" fillId="23" borderId="87" xfId="14" applyNumberFormat="1" applyFont="1" applyFill="1" applyBorder="1"/>
    <xf numFmtId="0" fontId="0" fillId="23" borderId="108" xfId="0" applyFill="1" applyBorder="1"/>
    <xf numFmtId="9" fontId="0" fillId="23" borderId="108" xfId="0" applyNumberFormat="1" applyFill="1" applyBorder="1"/>
    <xf numFmtId="171" fontId="0" fillId="23" borderId="108" xfId="14" applyNumberFormat="1" applyFont="1" applyFill="1" applyBorder="1"/>
    <xf numFmtId="0" fontId="0" fillId="9" borderId="109" xfId="0" applyFill="1" applyBorder="1" applyAlignment="1">
      <alignment horizontal="center"/>
    </xf>
    <xf numFmtId="171" fontId="0" fillId="9" borderId="109" xfId="14" applyNumberFormat="1" applyFont="1" applyFill="1" applyBorder="1"/>
    <xf numFmtId="171" fontId="0" fillId="23" borderId="109" xfId="14" applyNumberFormat="1" applyFont="1" applyFill="1" applyBorder="1"/>
    <xf numFmtId="171" fontId="0" fillId="23" borderId="2" xfId="14" applyNumberFormat="1" applyFont="1" applyFill="1" applyBorder="1"/>
    <xf numFmtId="171" fontId="0" fillId="23" borderId="109" xfId="0" applyNumberFormat="1" applyFill="1" applyBorder="1"/>
    <xf numFmtId="171" fontId="0" fillId="23" borderId="108" xfId="0" applyNumberFormat="1" applyFill="1" applyBorder="1"/>
    <xf numFmtId="10" fontId="0" fillId="23" borderId="109" xfId="14" applyNumberFormat="1" applyFont="1" applyFill="1" applyBorder="1"/>
    <xf numFmtId="10" fontId="0" fillId="23" borderId="109" xfId="0" applyNumberFormat="1" applyFill="1" applyBorder="1"/>
    <xf numFmtId="9" fontId="0" fillId="23" borderId="109" xfId="0" applyNumberFormat="1" applyFill="1" applyBorder="1"/>
    <xf numFmtId="0" fontId="0" fillId="9" borderId="107" xfId="0" applyFill="1" applyBorder="1" applyAlignment="1">
      <alignment horizontal="center"/>
    </xf>
    <xf numFmtId="171" fontId="0" fillId="9" borderId="107" xfId="14" applyNumberFormat="1" applyFont="1" applyFill="1" applyBorder="1"/>
    <xf numFmtId="171" fontId="0" fillId="23" borderId="107" xfId="14" applyNumberFormat="1" applyFont="1" applyFill="1" applyBorder="1"/>
    <xf numFmtId="10" fontId="0" fillId="23" borderId="107" xfId="14" applyNumberFormat="1" applyFont="1" applyFill="1" applyBorder="1"/>
    <xf numFmtId="9" fontId="0" fillId="23" borderId="107" xfId="14" applyFont="1" applyFill="1" applyBorder="1"/>
    <xf numFmtId="0" fontId="0" fillId="27" borderId="0" xfId="0" applyFill="1"/>
    <xf numFmtId="0" fontId="80" fillId="27" borderId="0" xfId="0" applyFont="1" applyFill="1"/>
    <xf numFmtId="0" fontId="13" fillId="26" borderId="27" xfId="0" applyFont="1" applyFill="1" applyBorder="1"/>
    <xf numFmtId="171" fontId="51" fillId="26" borderId="27" xfId="14" applyNumberFormat="1" applyFont="1" applyFill="1" applyBorder="1" applyAlignment="1">
      <alignment horizontal="center"/>
    </xf>
    <xf numFmtId="168" fontId="13" fillId="26" borderId="73" xfId="0" applyNumberFormat="1" applyFont="1" applyFill="1" applyBorder="1"/>
    <xf numFmtId="9" fontId="0" fillId="26" borderId="0" xfId="14" applyFont="1" applyFill="1" applyAlignment="1">
      <alignment horizontal="center"/>
    </xf>
    <xf numFmtId="170" fontId="13" fillId="26" borderId="27" xfId="0" applyNumberFormat="1" applyFont="1" applyFill="1" applyBorder="1" applyAlignment="1">
      <alignment horizontal="center"/>
    </xf>
    <xf numFmtId="0" fontId="13" fillId="26" borderId="27" xfId="0" applyFont="1" applyFill="1" applyBorder="1" applyAlignment="1">
      <alignment horizontal="left"/>
    </xf>
    <xf numFmtId="170" fontId="13" fillId="26" borderId="32" xfId="0" applyNumberFormat="1" applyFont="1" applyFill="1" applyBorder="1" applyAlignment="1">
      <alignment horizontal="center"/>
    </xf>
    <xf numFmtId="0" fontId="17" fillId="0" borderId="115" xfId="0" applyFont="1" applyBorder="1" applyAlignment="1">
      <alignment horizontal="center" vertical="center" wrapText="1"/>
    </xf>
    <xf numFmtId="0" fontId="13" fillId="0" borderId="56" xfId="0" applyFont="1" applyBorder="1"/>
    <xf numFmtId="172" fontId="0" fillId="0" borderId="56" xfId="0" applyNumberFormat="1" applyBorder="1" applyAlignment="1">
      <alignment horizontal="center"/>
    </xf>
    <xf numFmtId="172" fontId="0" fillId="0" borderId="116" xfId="0" applyNumberFormat="1" applyBorder="1" applyAlignment="1">
      <alignment horizontal="center"/>
    </xf>
    <xf numFmtId="173" fontId="63" fillId="3" borderId="71" xfId="5" applyFont="1" applyBorder="1" applyAlignment="1">
      <alignment horizontal="left" vertical="center" wrapText="1"/>
    </xf>
    <xf numFmtId="3" fontId="35" fillId="3" borderId="11" xfId="4" applyFont="1" applyBorder="1" applyAlignment="1">
      <alignment horizontal="right" wrapText="1"/>
    </xf>
    <xf numFmtId="4" fontId="63" fillId="9" borderId="71" xfId="6" applyFont="1" applyFill="1" applyBorder="1" applyAlignment="1">
      <alignment horizontal="left" vertical="center" wrapText="1"/>
    </xf>
    <xf numFmtId="3" fontId="63" fillId="3" borderId="11" xfId="4" applyFont="1" applyBorder="1" applyAlignment="1">
      <alignment horizontal="left" vertical="center" wrapText="1"/>
    </xf>
    <xf numFmtId="3" fontId="63" fillId="3" borderId="71" xfId="4" applyFont="1" applyBorder="1" applyAlignment="1">
      <alignment horizontal="left" vertical="center" wrapText="1"/>
    </xf>
    <xf numFmtId="0" fontId="44" fillId="0" borderId="12" xfId="8" applyFont="1" applyFill="1" applyBorder="1" applyAlignment="1">
      <alignment vertical="center"/>
    </xf>
    <xf numFmtId="0" fontId="44" fillId="3" borderId="18" xfId="8" applyFont="1" applyBorder="1" applyAlignment="1">
      <alignment vertical="center"/>
    </xf>
    <xf numFmtId="0" fontId="43" fillId="0" borderId="10" xfId="7" applyFont="1" applyFill="1" applyBorder="1" applyAlignment="1">
      <alignment horizontal="center" vertical="center"/>
    </xf>
    <xf numFmtId="0" fontId="43" fillId="0" borderId="12" xfId="7" applyFont="1" applyFill="1" applyBorder="1" applyAlignment="1">
      <alignment horizontal="center" vertical="center"/>
    </xf>
    <xf numFmtId="0" fontId="44" fillId="3" borderId="19" xfId="8" applyFont="1" applyBorder="1" applyAlignment="1">
      <alignment vertical="center"/>
    </xf>
    <xf numFmtId="0" fontId="63" fillId="0" borderId="15" xfId="0" applyFont="1" applyBorder="1" applyAlignment="1">
      <alignment vertical="center" wrapText="1"/>
    </xf>
    <xf numFmtId="0" fontId="63" fillId="0" borderId="15" xfId="0" applyFont="1" applyBorder="1" applyAlignment="1">
      <alignment wrapText="1"/>
    </xf>
    <xf numFmtId="0" fontId="17" fillId="14" borderId="0" xfId="0" applyFont="1" applyFill="1"/>
    <xf numFmtId="0" fontId="63" fillId="0" borderId="64" xfId="0" applyFont="1" applyBorder="1" applyAlignment="1">
      <alignment wrapText="1"/>
    </xf>
    <xf numFmtId="0" fontId="18" fillId="0" borderId="10" xfId="0" applyFont="1" applyBorder="1"/>
    <xf numFmtId="170" fontId="18" fillId="0" borderId="90" xfId="0" applyNumberFormat="1" applyFont="1" applyBorder="1" applyAlignment="1">
      <alignment horizontal="center"/>
    </xf>
    <xf numFmtId="170" fontId="18" fillId="0" borderId="90" xfId="0" applyNumberFormat="1" applyFont="1" applyBorder="1"/>
    <xf numFmtId="9" fontId="18" fillId="0" borderId="90" xfId="14" applyFont="1" applyBorder="1"/>
    <xf numFmtId="171" fontId="18" fillId="9" borderId="90" xfId="14" applyNumberFormat="1" applyFont="1" applyFill="1" applyBorder="1"/>
    <xf numFmtId="9" fontId="18" fillId="0" borderId="118" xfId="14" applyFont="1" applyBorder="1"/>
    <xf numFmtId="0" fontId="48" fillId="4" borderId="25" xfId="0" applyFont="1" applyFill="1" applyBorder="1" applyAlignment="1">
      <alignment horizontal="center"/>
    </xf>
    <xf numFmtId="0" fontId="48" fillId="4" borderId="26" xfId="0" applyFont="1" applyFill="1" applyBorder="1" applyAlignment="1">
      <alignment horizontal="center"/>
    </xf>
    <xf numFmtId="0" fontId="13" fillId="0" borderId="27" xfId="0" applyFont="1" applyBorder="1" applyAlignment="1">
      <alignment horizontal="left" vertical="center"/>
    </xf>
    <xf numFmtId="171" fontId="13" fillId="0" borderId="27" xfId="16" applyNumberFormat="1" applyFont="1" applyFill="1" applyBorder="1" applyAlignment="1">
      <alignment vertical="center"/>
    </xf>
    <xf numFmtId="14" fontId="13" fillId="0" borderId="45" xfId="0" applyNumberFormat="1" applyFont="1" applyBorder="1" applyAlignment="1">
      <alignment horizontal="center" vertical="center" wrapText="1"/>
    </xf>
    <xf numFmtId="177" fontId="13" fillId="9" borderId="119" xfId="0" applyNumberFormat="1" applyFont="1" applyFill="1" applyBorder="1" applyAlignment="1">
      <alignment horizontal="center"/>
    </xf>
    <xf numFmtId="9" fontId="13" fillId="9" borderId="119" xfId="14" applyFont="1" applyFill="1" applyBorder="1" applyAlignment="1">
      <alignment horizontal="center"/>
    </xf>
    <xf numFmtId="177" fontId="72" fillId="9" borderId="119" xfId="14" applyNumberFormat="1" applyFont="1" applyFill="1" applyBorder="1" applyAlignment="1">
      <alignment horizontal="center"/>
    </xf>
    <xf numFmtId="9" fontId="72" fillId="9" borderId="119" xfId="14" applyFont="1" applyFill="1" applyBorder="1" applyAlignment="1">
      <alignment horizontal="center"/>
    </xf>
    <xf numFmtId="171" fontId="72" fillId="28" borderId="119" xfId="14" applyNumberFormat="1" applyFont="1" applyFill="1" applyBorder="1" applyAlignment="1">
      <alignment horizontal="center"/>
    </xf>
    <xf numFmtId="9" fontId="72" fillId="7" borderId="119" xfId="14" applyFont="1" applyFill="1" applyBorder="1" applyAlignment="1">
      <alignment horizontal="center"/>
    </xf>
    <xf numFmtId="9" fontId="72" fillId="7" borderId="120" xfId="14" applyFont="1" applyFill="1" applyBorder="1" applyAlignment="1">
      <alignment horizontal="center"/>
    </xf>
    <xf numFmtId="0" fontId="13" fillId="9" borderId="27" xfId="0" applyFont="1" applyFill="1" applyBorder="1"/>
    <xf numFmtId="171" fontId="13" fillId="9" borderId="32" xfId="14" applyNumberFormat="1" applyFont="1" applyFill="1" applyBorder="1" applyAlignment="1">
      <alignment horizontal="center"/>
    </xf>
    <xf numFmtId="9" fontId="13" fillId="9" borderId="27" xfId="14" applyFont="1" applyFill="1" applyBorder="1" applyAlignment="1">
      <alignment horizontal="center"/>
    </xf>
    <xf numFmtId="3" fontId="13" fillId="9" borderId="0" xfId="23" applyNumberFormat="1" applyFill="1" applyAlignment="1">
      <alignment horizontal="center"/>
    </xf>
    <xf numFmtId="3" fontId="18" fillId="9" borderId="0" xfId="23" applyNumberFormat="1" applyFont="1" applyFill="1" applyAlignment="1">
      <alignment horizontal="center"/>
    </xf>
    <xf numFmtId="0" fontId="60" fillId="9" borderId="0" xfId="23" applyFont="1" applyFill="1"/>
    <xf numFmtId="0" fontId="13" fillId="9" borderId="0" xfId="23" applyFill="1"/>
    <xf numFmtId="0" fontId="18" fillId="9" borderId="0" xfId="23" applyFont="1" applyFill="1"/>
    <xf numFmtId="9" fontId="13" fillId="7" borderId="119" xfId="14" applyFont="1" applyFill="1" applyBorder="1" applyAlignment="1">
      <alignment horizontal="center"/>
    </xf>
    <xf numFmtId="0" fontId="91" fillId="4" borderId="27" xfId="0" applyFont="1" applyFill="1" applyBorder="1" applyAlignment="1">
      <alignment horizontal="center"/>
    </xf>
    <xf numFmtId="0" fontId="14" fillId="0" borderId="47" xfId="0" applyFont="1" applyBorder="1" applyAlignment="1">
      <alignment horizontal="center" vertical="center"/>
    </xf>
    <xf numFmtId="0" fontId="14" fillId="0" borderId="48" xfId="0" applyFont="1" applyBorder="1" applyAlignment="1">
      <alignment horizontal="center" vertical="center"/>
    </xf>
    <xf numFmtId="0" fontId="14" fillId="0" borderId="49" xfId="0" applyFont="1" applyBorder="1" applyAlignment="1">
      <alignment horizontal="center" vertical="center"/>
    </xf>
    <xf numFmtId="0" fontId="42" fillId="4" borderId="40" xfId="0" applyFont="1" applyFill="1" applyBorder="1" applyAlignment="1">
      <alignment horizontal="left"/>
    </xf>
    <xf numFmtId="0" fontId="42" fillId="4" borderId="41" xfId="0" applyFont="1" applyFill="1" applyBorder="1" applyAlignment="1">
      <alignment horizontal="left"/>
    </xf>
    <xf numFmtId="0" fontId="42" fillId="4" borderId="42" xfId="0" applyFont="1" applyFill="1" applyBorder="1" applyAlignment="1">
      <alignment horizontal="left"/>
    </xf>
    <xf numFmtId="0" fontId="31" fillId="0" borderId="27" xfId="0" applyFont="1" applyBorder="1" applyAlignment="1">
      <alignment horizontal="left" vertical="center" wrapText="1"/>
    </xf>
    <xf numFmtId="0" fontId="31" fillId="0" borderId="32" xfId="0" applyFont="1" applyBorder="1" applyAlignment="1">
      <alignment horizontal="left" vertical="center" wrapText="1"/>
    </xf>
    <xf numFmtId="0" fontId="27" fillId="0" borderId="31" xfId="0" applyFont="1" applyBorder="1" applyAlignment="1">
      <alignment horizontal="center" wrapText="1"/>
    </xf>
    <xf numFmtId="0" fontId="27" fillId="0" borderId="27" xfId="0" applyFont="1" applyBorder="1" applyAlignment="1">
      <alignment horizontal="center" wrapText="1"/>
    </xf>
    <xf numFmtId="9" fontId="14" fillId="0" borderId="32" xfId="14" applyFont="1" applyBorder="1" applyAlignment="1">
      <alignment horizontal="center" vertical="center"/>
    </xf>
    <xf numFmtId="0" fontId="27" fillId="0" borderId="31" xfId="0" applyFont="1" applyBorder="1" applyAlignment="1">
      <alignment horizontal="center" vertical="center" wrapText="1"/>
    </xf>
    <xf numFmtId="0" fontId="27" fillId="0" borderId="27" xfId="0" applyFont="1" applyBorder="1" applyAlignment="1">
      <alignment horizontal="center" vertical="center" wrapText="1"/>
    </xf>
    <xf numFmtId="0" fontId="32" fillId="0" borderId="27" xfId="0" applyFont="1" applyBorder="1" applyAlignment="1">
      <alignment horizontal="left" vertical="center" wrapText="1"/>
    </xf>
    <xf numFmtId="0" fontId="32" fillId="0" borderId="32" xfId="0" applyFont="1" applyBorder="1" applyAlignment="1">
      <alignment horizontal="left" vertical="center" wrapText="1"/>
    </xf>
    <xf numFmtId="0" fontId="42" fillId="4" borderId="27" xfId="0" applyFont="1" applyFill="1" applyBorder="1" applyAlignment="1">
      <alignment horizontal="center"/>
    </xf>
    <xf numFmtId="0" fontId="42" fillId="4" borderId="32" xfId="0" applyFont="1" applyFill="1" applyBorder="1" applyAlignment="1">
      <alignment horizontal="center"/>
    </xf>
    <xf numFmtId="0" fontId="42" fillId="4" borderId="31" xfId="0" applyFont="1" applyFill="1" applyBorder="1" applyAlignment="1">
      <alignment horizontal="center"/>
    </xf>
    <xf numFmtId="0" fontId="13" fillId="0" borderId="40" xfId="0" applyFont="1" applyBorder="1" applyAlignment="1">
      <alignment horizontal="left" vertical="center" wrapText="1"/>
    </xf>
    <xf numFmtId="0" fontId="17" fillId="0" borderId="41" xfId="0" applyFont="1" applyBorder="1" applyAlignment="1">
      <alignment horizontal="left" vertical="center" wrapText="1"/>
    </xf>
    <xf numFmtId="0" fontId="17" fillId="0" borderId="42" xfId="0" applyFont="1" applyBorder="1" applyAlignment="1">
      <alignment horizontal="left" vertical="center" wrapText="1"/>
    </xf>
    <xf numFmtId="0" fontId="13" fillId="0" borderId="27" xfId="0" applyFont="1" applyBorder="1" applyAlignment="1">
      <alignment horizontal="left" vertical="center"/>
    </xf>
    <xf numFmtId="0" fontId="13" fillId="0" borderId="50" xfId="0" applyFont="1" applyBorder="1" applyAlignment="1">
      <alignment horizontal="left" vertical="center" wrapText="1"/>
    </xf>
    <xf numFmtId="0" fontId="17" fillId="0" borderId="51" xfId="0" applyFont="1" applyBorder="1" applyAlignment="1">
      <alignment horizontal="left" vertical="center" wrapText="1"/>
    </xf>
    <xf numFmtId="0" fontId="17" fillId="0" borderId="52" xfId="0" applyFont="1" applyBorder="1" applyAlignment="1">
      <alignment horizontal="left" vertical="center" wrapText="1"/>
    </xf>
    <xf numFmtId="0" fontId="17" fillId="0" borderId="53" xfId="0" applyFont="1" applyBorder="1" applyAlignment="1">
      <alignment horizontal="left" vertical="center" wrapText="1"/>
    </xf>
    <xf numFmtId="0" fontId="17" fillId="0" borderId="54" xfId="0" applyFont="1" applyBorder="1" applyAlignment="1">
      <alignment horizontal="left" vertical="center" wrapText="1"/>
    </xf>
    <xf numFmtId="0" fontId="17" fillId="0" borderId="55" xfId="0" applyFont="1" applyBorder="1" applyAlignment="1">
      <alignment horizontal="left" vertical="center" wrapText="1"/>
    </xf>
    <xf numFmtId="0" fontId="18" fillId="0" borderId="65" xfId="0" applyFont="1" applyBorder="1" applyAlignment="1">
      <alignment horizontal="center"/>
    </xf>
    <xf numFmtId="0" fontId="18" fillId="0" borderId="0" xfId="0" applyFont="1" applyAlignment="1">
      <alignment horizontal="center"/>
    </xf>
    <xf numFmtId="0" fontId="18" fillId="0" borderId="66" xfId="0" applyFont="1" applyBorder="1" applyAlignment="1">
      <alignment horizontal="left" vertical="center" wrapText="1"/>
    </xf>
    <xf numFmtId="0" fontId="18" fillId="0" borderId="51" xfId="0" applyFont="1" applyBorder="1" applyAlignment="1">
      <alignment horizontal="left" vertical="center"/>
    </xf>
    <xf numFmtId="0" fontId="18" fillId="0" borderId="52" xfId="0" applyFont="1" applyBorder="1" applyAlignment="1">
      <alignment horizontal="left" vertical="center"/>
    </xf>
    <xf numFmtId="0" fontId="18" fillId="0" borderId="68" xfId="0" applyFont="1" applyBorder="1" applyAlignment="1">
      <alignment horizontal="left" vertical="center"/>
    </xf>
    <xf numFmtId="0" fontId="18" fillId="0" borderId="0" xfId="0" applyFont="1" applyAlignment="1">
      <alignment horizontal="left" vertical="center"/>
    </xf>
    <xf numFmtId="0" fontId="18" fillId="0" borderId="69" xfId="0" applyFont="1" applyBorder="1" applyAlignment="1">
      <alignment horizontal="left" vertical="center"/>
    </xf>
    <xf numFmtId="0" fontId="18" fillId="0" borderId="70" xfId="0" applyFont="1" applyBorder="1" applyAlignment="1">
      <alignment horizontal="left" vertical="center"/>
    </xf>
    <xf numFmtId="0" fontId="18" fillId="0" borderId="54" xfId="0" applyFont="1" applyBorder="1" applyAlignment="1">
      <alignment horizontal="left" vertical="center"/>
    </xf>
    <xf numFmtId="0" fontId="18" fillId="0" borderId="55" xfId="0" applyFont="1" applyBorder="1" applyAlignment="1">
      <alignment horizontal="left" vertical="center"/>
    </xf>
    <xf numFmtId="0" fontId="47" fillId="4" borderId="27" xfId="0" applyFont="1" applyFill="1" applyBorder="1" applyAlignment="1">
      <alignment horizontal="center"/>
    </xf>
    <xf numFmtId="171" fontId="13" fillId="0" borderId="27" xfId="14" applyNumberFormat="1" applyFont="1" applyFill="1" applyBorder="1" applyAlignment="1">
      <alignment horizontal="center" vertical="center"/>
    </xf>
    <xf numFmtId="171" fontId="13" fillId="0" borderId="66" xfId="16" applyNumberFormat="1" applyFont="1" applyFill="1" applyBorder="1" applyAlignment="1">
      <alignment horizontal="center" vertical="center"/>
    </xf>
    <xf numFmtId="171" fontId="13" fillId="0" borderId="51" xfId="16" applyNumberFormat="1" applyFont="1" applyFill="1" applyBorder="1" applyAlignment="1">
      <alignment horizontal="center" vertical="center"/>
    </xf>
    <xf numFmtId="171" fontId="13" fillId="0" borderId="52" xfId="16" applyNumberFormat="1" applyFont="1" applyFill="1" applyBorder="1" applyAlignment="1">
      <alignment horizontal="center" vertical="center"/>
    </xf>
    <xf numFmtId="171" fontId="13" fillId="0" borderId="68" xfId="16" applyNumberFormat="1" applyFont="1" applyFill="1" applyBorder="1" applyAlignment="1">
      <alignment horizontal="center" vertical="center"/>
    </xf>
    <xf numFmtId="171" fontId="13" fillId="0" borderId="0" xfId="16" applyNumberFormat="1" applyFont="1" applyFill="1" applyBorder="1" applyAlignment="1">
      <alignment horizontal="center" vertical="center"/>
    </xf>
    <xf numFmtId="171" fontId="13" fillId="0" borderId="69" xfId="16" applyNumberFormat="1" applyFont="1" applyFill="1" applyBorder="1" applyAlignment="1">
      <alignment horizontal="center" vertical="center"/>
    </xf>
    <xf numFmtId="171" fontId="13" fillId="0" borderId="70" xfId="16" applyNumberFormat="1" applyFont="1" applyFill="1" applyBorder="1" applyAlignment="1">
      <alignment horizontal="center" vertical="center"/>
    </xf>
    <xf numFmtId="171" fontId="13" fillId="0" borderId="54" xfId="16" applyNumberFormat="1" applyFont="1" applyFill="1" applyBorder="1" applyAlignment="1">
      <alignment horizontal="center" vertical="center"/>
    </xf>
    <xf numFmtId="171" fontId="13" fillId="0" borderId="55" xfId="16" applyNumberFormat="1" applyFont="1" applyFill="1" applyBorder="1" applyAlignment="1">
      <alignment horizontal="center" vertical="center"/>
    </xf>
    <xf numFmtId="169" fontId="14" fillId="0" borderId="32" xfId="0" applyNumberFormat="1" applyFont="1" applyBorder="1" applyAlignment="1">
      <alignment horizontal="center" vertical="center"/>
    </xf>
    <xf numFmtId="0" fontId="13" fillId="8" borderId="56" xfId="0" applyFont="1" applyFill="1" applyBorder="1" applyAlignment="1">
      <alignment horizontal="center" vertical="center" wrapText="1"/>
    </xf>
    <xf numFmtId="0" fontId="17" fillId="8" borderId="57" xfId="0" applyFont="1" applyFill="1" applyBorder="1" applyAlignment="1">
      <alignment horizontal="center" vertical="center" wrapText="1"/>
    </xf>
    <xf numFmtId="0" fontId="42" fillId="4" borderId="31" xfId="0" applyFont="1" applyFill="1" applyBorder="1" applyAlignment="1">
      <alignment horizontal="left" vertical="center"/>
    </xf>
    <xf numFmtId="0" fontId="42" fillId="4" borderId="27" xfId="0" applyFont="1" applyFill="1" applyBorder="1" applyAlignment="1">
      <alignment horizontal="left" vertical="center"/>
    </xf>
    <xf numFmtId="0" fontId="42" fillId="4" borderId="46" xfId="0" applyFont="1" applyFill="1" applyBorder="1" applyAlignment="1">
      <alignment horizontal="left" vertical="center"/>
    </xf>
    <xf numFmtId="0" fontId="21" fillId="0" borderId="24" xfId="0" applyFont="1" applyBorder="1" applyAlignment="1">
      <alignment horizontal="center" vertical="center" wrapText="1"/>
    </xf>
    <xf numFmtId="0" fontId="21" fillId="0" borderId="25" xfId="0" applyFont="1" applyBorder="1" applyAlignment="1">
      <alignment horizontal="center" vertical="center" wrapText="1"/>
    </xf>
    <xf numFmtId="0" fontId="21" fillId="0" borderId="26" xfId="0" applyFont="1" applyBorder="1" applyAlignment="1">
      <alignment horizontal="center" vertical="center" wrapText="1"/>
    </xf>
    <xf numFmtId="0" fontId="21" fillId="0" borderId="12" xfId="0" applyFont="1" applyBorder="1" applyAlignment="1">
      <alignment horizontal="center" vertical="center" wrapText="1"/>
    </xf>
    <xf numFmtId="0" fontId="21" fillId="0" borderId="0" xfId="0" applyFont="1" applyAlignment="1">
      <alignment horizontal="center" vertical="center" wrapText="1"/>
    </xf>
    <xf numFmtId="0" fontId="21" fillId="0" borderId="15" xfId="0" applyFont="1" applyBorder="1" applyAlignment="1">
      <alignment horizontal="center" vertical="center" wrapText="1"/>
    </xf>
    <xf numFmtId="0" fontId="21" fillId="0" borderId="19" xfId="0" applyFont="1" applyBorder="1" applyAlignment="1">
      <alignment horizontal="center" vertical="center" wrapText="1"/>
    </xf>
    <xf numFmtId="0" fontId="21" fillId="0" borderId="117" xfId="0" applyFont="1" applyBorder="1" applyAlignment="1">
      <alignment horizontal="center" vertical="center" wrapText="1"/>
    </xf>
    <xf numFmtId="0" fontId="21" fillId="0" borderId="64" xfId="0" applyFont="1" applyBorder="1" applyAlignment="1">
      <alignment horizontal="center" vertical="center" wrapText="1"/>
    </xf>
    <xf numFmtId="0" fontId="13" fillId="9" borderId="40" xfId="0" applyFont="1" applyFill="1" applyBorder="1" applyAlignment="1">
      <alignment horizontal="left" vertical="center"/>
    </xf>
    <xf numFmtId="0" fontId="42" fillId="9" borderId="41" xfId="0" applyFont="1" applyFill="1" applyBorder="1" applyAlignment="1">
      <alignment horizontal="left" vertical="center"/>
    </xf>
    <xf numFmtId="0" fontId="42" fillId="4" borderId="58" xfId="0" applyFont="1" applyFill="1" applyBorder="1" applyAlignment="1">
      <alignment horizontal="left"/>
    </xf>
    <xf numFmtId="0" fontId="42" fillId="4" borderId="59" xfId="0" applyFont="1" applyFill="1" applyBorder="1" applyAlignment="1">
      <alignment horizontal="left"/>
    </xf>
    <xf numFmtId="0" fontId="42" fillId="4" borderId="114" xfId="0" applyFont="1" applyFill="1" applyBorder="1" applyAlignment="1">
      <alignment horizontal="left"/>
    </xf>
    <xf numFmtId="0" fontId="13" fillId="0" borderId="31" xfId="0" applyFont="1" applyBorder="1" applyAlignment="1">
      <alignment horizontal="left" vertical="center" wrapText="1"/>
    </xf>
    <xf numFmtId="0" fontId="17" fillId="0" borderId="27" xfId="0" applyFont="1" applyBorder="1" applyAlignment="1">
      <alignment horizontal="left" vertical="center" wrapText="1"/>
    </xf>
    <xf numFmtId="0" fontId="17" fillId="0" borderId="46" xfId="0" applyFont="1" applyBorder="1" applyAlignment="1">
      <alignment horizontal="left" vertical="center" wrapText="1"/>
    </xf>
    <xf numFmtId="0" fontId="14" fillId="0" borderId="0" xfId="0" applyFont="1" applyAlignment="1">
      <alignment horizontal="center"/>
    </xf>
    <xf numFmtId="0" fontId="48" fillId="4" borderId="60" xfId="0" applyFont="1" applyFill="1" applyBorder="1" applyAlignment="1">
      <alignment horizontal="center"/>
    </xf>
    <xf numFmtId="0" fontId="48" fillId="4" borderId="61" xfId="0" applyFont="1" applyFill="1" applyBorder="1" applyAlignment="1">
      <alignment horizontal="center"/>
    </xf>
    <xf numFmtId="0" fontId="48" fillId="4" borderId="62" xfId="0" applyFont="1" applyFill="1" applyBorder="1" applyAlignment="1">
      <alignment horizontal="center"/>
    </xf>
    <xf numFmtId="0" fontId="18" fillId="0" borderId="12" xfId="0" applyFont="1" applyBorder="1" applyAlignment="1">
      <alignment horizontal="center" vertical="center"/>
    </xf>
    <xf numFmtId="0" fontId="18" fillId="0" borderId="0" xfId="0" applyFont="1" applyAlignment="1">
      <alignment horizontal="center" vertical="center"/>
    </xf>
    <xf numFmtId="0" fontId="18" fillId="0" borderId="15" xfId="0" applyFont="1" applyBorder="1" applyAlignment="1">
      <alignment horizontal="center" vertical="center"/>
    </xf>
    <xf numFmtId="0" fontId="18" fillId="0" borderId="19" xfId="0" applyFont="1" applyBorder="1" applyAlignment="1">
      <alignment horizontal="center" vertical="center"/>
    </xf>
    <xf numFmtId="0" fontId="18" fillId="0" borderId="117" xfId="0" applyFont="1" applyBorder="1" applyAlignment="1">
      <alignment horizontal="center" vertical="center"/>
    </xf>
    <xf numFmtId="0" fontId="18" fillId="0" borderId="64" xfId="0" applyFont="1" applyBorder="1" applyAlignment="1">
      <alignment horizontal="center" vertical="center"/>
    </xf>
    <xf numFmtId="0" fontId="57" fillId="11" borderId="74" xfId="0" applyFont="1" applyFill="1" applyBorder="1" applyAlignment="1">
      <alignment horizontal="center" vertical="center"/>
    </xf>
    <xf numFmtId="0" fontId="57" fillId="11" borderId="76" xfId="0" applyFont="1" applyFill="1" applyBorder="1" applyAlignment="1">
      <alignment horizontal="center" vertical="center"/>
    </xf>
    <xf numFmtId="170" fontId="0" fillId="0" borderId="0" xfId="0" applyNumberFormat="1" applyAlignment="1">
      <alignment horizontal="center"/>
    </xf>
    <xf numFmtId="0" fontId="48" fillId="4" borderId="0" xfId="0" applyFont="1" applyFill="1" applyAlignment="1">
      <alignment horizontal="center"/>
    </xf>
    <xf numFmtId="171" fontId="0" fillId="0" borderId="0" xfId="0" applyNumberFormat="1" applyAlignment="1">
      <alignment horizontal="center"/>
    </xf>
    <xf numFmtId="0" fontId="0" fillId="0" borderId="0" xfId="0" applyAlignment="1">
      <alignment horizontal="center"/>
    </xf>
    <xf numFmtId="0" fontId="64" fillId="0" borderId="3" xfId="32" applyFont="1" applyBorder="1" applyAlignment="1">
      <alignment horizontal="center" vertical="center" wrapText="1"/>
    </xf>
    <xf numFmtId="0" fontId="64" fillId="0" borderId="4" xfId="32" applyFont="1" applyBorder="1" applyAlignment="1">
      <alignment horizontal="center" vertical="center" wrapText="1"/>
    </xf>
    <xf numFmtId="0" fontId="64" fillId="0" borderId="2" xfId="32" applyFont="1" applyBorder="1" applyAlignment="1">
      <alignment horizontal="center" vertical="center" wrapText="1"/>
    </xf>
    <xf numFmtId="0" fontId="64" fillId="0" borderId="3" xfId="32" applyFont="1" applyBorder="1" applyAlignment="1">
      <alignment horizontal="left" vertical="center"/>
    </xf>
    <xf numFmtId="0" fontId="64" fillId="0" borderId="4" xfId="32" applyFont="1" applyBorder="1" applyAlignment="1">
      <alignment horizontal="left" vertical="center"/>
    </xf>
    <xf numFmtId="0" fontId="64" fillId="0" borderId="2" xfId="32" applyFont="1" applyBorder="1" applyAlignment="1">
      <alignment horizontal="left" vertical="center"/>
    </xf>
    <xf numFmtId="0" fontId="48" fillId="4" borderId="0" xfId="32" applyFont="1" applyFill="1" applyAlignment="1">
      <alignment horizontal="center"/>
    </xf>
    <xf numFmtId="0" fontId="18" fillId="0" borderId="87" xfId="32" applyFont="1" applyBorder="1" applyAlignment="1">
      <alignment horizontal="center" vertical="center" wrapText="1"/>
    </xf>
    <xf numFmtId="0" fontId="64" fillId="0" borderId="3" xfId="32" applyFont="1" applyBorder="1" applyAlignment="1">
      <alignment horizontal="center" vertical="center"/>
    </xf>
    <xf numFmtId="0" fontId="64" fillId="0" borderId="4" xfId="32" applyFont="1" applyBorder="1" applyAlignment="1">
      <alignment horizontal="center" vertical="center"/>
    </xf>
    <xf numFmtId="0" fontId="64" fillId="0" borderId="2" xfId="32" applyFont="1" applyBorder="1" applyAlignment="1">
      <alignment horizontal="center" vertical="center"/>
    </xf>
    <xf numFmtId="0" fontId="64" fillId="0" borderId="87" xfId="32" applyFont="1" applyBorder="1" applyAlignment="1">
      <alignment horizontal="left" vertical="center" wrapText="1"/>
    </xf>
    <xf numFmtId="0" fontId="13" fillId="23" borderId="74" xfId="0" applyFont="1" applyFill="1" applyBorder="1" applyAlignment="1">
      <alignment horizontal="center" vertical="center"/>
    </xf>
    <xf numFmtId="0" fontId="0" fillId="23" borderId="112" xfId="0" applyFill="1" applyBorder="1" applyAlignment="1">
      <alignment horizontal="center" vertical="center"/>
    </xf>
    <xf numFmtId="0" fontId="0" fillId="23" borderId="78" xfId="0" applyFill="1" applyBorder="1" applyAlignment="1">
      <alignment horizontal="center" vertical="center"/>
    </xf>
    <xf numFmtId="0" fontId="0" fillId="23" borderId="113" xfId="0" applyFill="1" applyBorder="1" applyAlignment="1">
      <alignment horizontal="center" vertical="center"/>
    </xf>
    <xf numFmtId="0" fontId="0" fillId="23" borderId="104" xfId="0" applyFill="1" applyBorder="1" applyAlignment="1">
      <alignment horizontal="center" vertical="center"/>
    </xf>
    <xf numFmtId="0" fontId="0" fillId="23" borderId="110" xfId="0" applyFill="1" applyBorder="1" applyAlignment="1">
      <alignment horizontal="center" vertical="center"/>
    </xf>
    <xf numFmtId="0" fontId="0" fillId="23" borderId="74" xfId="0" applyFill="1" applyBorder="1" applyAlignment="1">
      <alignment horizontal="center" vertical="center"/>
    </xf>
    <xf numFmtId="0" fontId="0" fillId="23" borderId="74" xfId="0" applyFill="1" applyBorder="1" applyAlignment="1">
      <alignment horizontal="center" wrapText="1"/>
    </xf>
    <xf numFmtId="0" fontId="0" fillId="23" borderId="112" xfId="0" applyFill="1" applyBorder="1" applyAlignment="1">
      <alignment horizontal="center" wrapText="1"/>
    </xf>
    <xf numFmtId="0" fontId="0" fillId="23" borderId="78" xfId="0" applyFill="1" applyBorder="1" applyAlignment="1">
      <alignment horizontal="center" wrapText="1"/>
    </xf>
    <xf numFmtId="0" fontId="0" fillId="23" borderId="113" xfId="0" applyFill="1" applyBorder="1" applyAlignment="1">
      <alignment horizontal="center" wrapText="1"/>
    </xf>
    <xf numFmtId="4" fontId="53" fillId="10" borderId="94" xfId="6" applyFont="1" applyFill="1" applyBorder="1" applyAlignment="1">
      <alignment horizontal="center"/>
    </xf>
    <xf numFmtId="4" fontId="53" fillId="10" borderId="90" xfId="6" applyFont="1" applyFill="1" applyBorder="1" applyAlignment="1">
      <alignment horizontal="center"/>
    </xf>
    <xf numFmtId="4" fontId="53" fillId="10" borderId="95" xfId="6" applyFont="1" applyFill="1" applyBorder="1" applyAlignment="1">
      <alignment horizontal="center"/>
    </xf>
    <xf numFmtId="4" fontId="53" fillId="8" borderId="76" xfId="6" applyFont="1" applyFill="1" applyBorder="1" applyAlignment="1">
      <alignment horizontal="center"/>
    </xf>
    <xf numFmtId="4" fontId="53" fillId="8" borderId="0" xfId="6" applyFont="1" applyFill="1" applyBorder="1" applyAlignment="1">
      <alignment horizontal="center"/>
    </xf>
    <xf numFmtId="4" fontId="53" fillId="8" borderId="77" xfId="6" applyFont="1" applyFill="1" applyBorder="1" applyAlignment="1">
      <alignment horizontal="center"/>
    </xf>
    <xf numFmtId="4" fontId="13" fillId="6" borderId="78" xfId="6" applyFont="1" applyFill="1" applyBorder="1" applyAlignment="1">
      <alignment horizontal="center"/>
    </xf>
    <xf numFmtId="4" fontId="13" fillId="6" borderId="79" xfId="6" applyFont="1" applyFill="1" applyBorder="1" applyAlignment="1">
      <alignment horizontal="center"/>
    </xf>
    <xf numFmtId="4" fontId="13" fillId="6" borderId="80" xfId="6" applyFont="1" applyFill="1" applyBorder="1" applyAlignment="1">
      <alignment horizontal="center"/>
    </xf>
    <xf numFmtId="0" fontId="42" fillId="4" borderId="60" xfId="0" applyFont="1" applyFill="1" applyBorder="1" applyAlignment="1">
      <alignment horizontal="center" vertical="center"/>
    </xf>
    <xf numFmtId="0" fontId="42" fillId="4" borderId="61" xfId="0" applyFont="1" applyFill="1" applyBorder="1" applyAlignment="1">
      <alignment horizontal="center" vertical="center"/>
    </xf>
    <xf numFmtId="0" fontId="42" fillId="4" borderId="62" xfId="0" applyFont="1" applyFill="1" applyBorder="1" applyAlignment="1">
      <alignment horizontal="center" vertical="center"/>
    </xf>
    <xf numFmtId="0" fontId="23" fillId="4" borderId="24" xfId="1" applyFill="1" applyBorder="1" applyAlignment="1">
      <alignment horizontal="center" vertical="center" readingOrder="1"/>
    </xf>
    <xf numFmtId="0" fontId="23" fillId="4" borderId="25" xfId="1" applyFill="1" applyBorder="1" applyAlignment="1">
      <alignment horizontal="center" vertical="center" readingOrder="1"/>
    </xf>
    <xf numFmtId="0" fontId="23" fillId="4" borderId="26" xfId="1" applyFill="1" applyBorder="1" applyAlignment="1">
      <alignment horizontal="center" vertical="center" readingOrder="1"/>
    </xf>
    <xf numFmtId="0" fontId="42" fillId="4" borderId="8" xfId="0" applyFont="1" applyFill="1" applyBorder="1" applyAlignment="1">
      <alignment horizontal="center"/>
    </xf>
    <xf numFmtId="0" fontId="42" fillId="4" borderId="63" xfId="0" applyFont="1" applyFill="1" applyBorder="1" applyAlignment="1">
      <alignment horizontal="center"/>
    </xf>
    <xf numFmtId="0" fontId="44" fillId="0" borderId="15" xfId="0" applyFont="1" applyBorder="1" applyAlignment="1">
      <alignment horizontal="center" vertical="center" wrapText="1"/>
    </xf>
    <xf numFmtId="0" fontId="44" fillId="0" borderId="64" xfId="0" applyFont="1" applyBorder="1" applyAlignment="1">
      <alignment horizontal="center" vertical="center" wrapText="1"/>
    </xf>
    <xf numFmtId="0" fontId="42" fillId="4" borderId="91" xfId="0" applyFont="1" applyFill="1" applyBorder="1" applyAlignment="1">
      <alignment horizontal="center" vertical="center"/>
    </xf>
    <xf numFmtId="0" fontId="42" fillId="4" borderId="92" xfId="0" applyFont="1" applyFill="1" applyBorder="1" applyAlignment="1">
      <alignment horizontal="center" vertical="center"/>
    </xf>
    <xf numFmtId="0" fontId="42" fillId="4" borderId="93" xfId="0" applyFont="1" applyFill="1" applyBorder="1" applyAlignment="1">
      <alignment horizontal="center" vertical="center"/>
    </xf>
    <xf numFmtId="0" fontId="14" fillId="0" borderId="0" xfId="23" applyFont="1" applyAlignment="1">
      <alignment horizontal="center"/>
    </xf>
    <xf numFmtId="0" fontId="60" fillId="0" borderId="0" xfId="23" applyFont="1" applyAlignment="1">
      <alignment horizontal="center"/>
    </xf>
    <xf numFmtId="0" fontId="63" fillId="0" borderId="0" xfId="23" applyFont="1" applyAlignment="1">
      <alignment horizontal="center"/>
    </xf>
  </cellXfs>
  <cellStyles count="42">
    <cellStyle name="blp_title_header_row_left" xfId="1" xr:uid="{00000000-0005-0000-0000-000000000000}"/>
    <cellStyle name="Comma" xfId="36" builtinId="3"/>
    <cellStyle name="Currency" xfId="38" builtinId="4"/>
    <cellStyle name="fa_column_header_bottom 2" xfId="40" xr:uid="{B0C5064F-C567-49E7-9954-C35FFCF58B8B}"/>
    <cellStyle name="fa_column_header_top 2" xfId="2" xr:uid="{00000000-0005-0000-0000-000003000000}"/>
    <cellStyle name="fa_column_header_top_left 2" xfId="3" xr:uid="{00000000-0005-0000-0000-000004000000}"/>
    <cellStyle name="fa_data_bold_0_grouped" xfId="4" xr:uid="{00000000-0005-0000-0000-000005000000}"/>
    <cellStyle name="fa_data_bold_1_grouped" xfId="41" xr:uid="{BE140F71-95CD-4C43-A611-45DED52CF664}"/>
    <cellStyle name="fa_data_standard_1_grouped" xfId="5" xr:uid="{00000000-0005-0000-0000-000006000000}"/>
    <cellStyle name="fa_data_standard_2_grouped" xfId="6" xr:uid="{00000000-0005-0000-0000-000007000000}"/>
    <cellStyle name="fa_row_header_bold 2" xfId="7" xr:uid="{00000000-0005-0000-0000-000008000000}"/>
    <cellStyle name="fa_row_header_standard 2" xfId="8" xr:uid="{00000000-0005-0000-0000-000009000000}"/>
    <cellStyle name="Hyperlink" xfId="9" builtinId="8"/>
    <cellStyle name="Millares 2" xfId="28" xr:uid="{00000000-0005-0000-0000-00000B000000}"/>
    <cellStyle name="Moneda 2" xfId="10" xr:uid="{00000000-0005-0000-0000-00000C000000}"/>
    <cellStyle name="Moneda 2 2" xfId="11" xr:uid="{00000000-0005-0000-0000-00000D000000}"/>
    <cellStyle name="Moneda 2 2 2" xfId="21" xr:uid="{00000000-0005-0000-0000-00000E000000}"/>
    <cellStyle name="Moneda 2 3" xfId="20" xr:uid="{00000000-0005-0000-0000-00000F000000}"/>
    <cellStyle name="Moneda 3" xfId="29" xr:uid="{00000000-0005-0000-0000-000010000000}"/>
    <cellStyle name="Normal" xfId="0" builtinId="0"/>
    <cellStyle name="Normal 2" xfId="12" xr:uid="{00000000-0005-0000-0000-000012000000}"/>
    <cellStyle name="Normal 2 2" xfId="13" xr:uid="{00000000-0005-0000-0000-000013000000}"/>
    <cellStyle name="Normal 2 2 2" xfId="23" xr:uid="{00000000-0005-0000-0000-000014000000}"/>
    <cellStyle name="Normal 2 3" xfId="18" xr:uid="{00000000-0005-0000-0000-000015000000}"/>
    <cellStyle name="Normal 2 3 2" xfId="27" xr:uid="{00000000-0005-0000-0000-000016000000}"/>
    <cellStyle name="Normal 2 4" xfId="22" xr:uid="{00000000-0005-0000-0000-000017000000}"/>
    <cellStyle name="Normal 2 4 2" xfId="30" xr:uid="{00000000-0005-0000-0000-000018000000}"/>
    <cellStyle name="Normal 3" xfId="37" xr:uid="{00000000-0005-0000-0000-000019000000}"/>
    <cellStyle name="Normal 3 2" xfId="19" xr:uid="{00000000-0005-0000-0000-00001A000000}"/>
    <cellStyle name="Normal 3 3" xfId="31" xr:uid="{00000000-0005-0000-0000-00001B000000}"/>
    <cellStyle name="Normal 3 3 2" xfId="32" xr:uid="{00000000-0005-0000-0000-00001C000000}"/>
    <cellStyle name="Normal 4" xfId="39" xr:uid="{D08EE401-5128-4483-AB95-8D069C9928B5}"/>
    <cellStyle name="Normal 5" xfId="33" xr:uid="{00000000-0005-0000-0000-00001D000000}"/>
    <cellStyle name="Percent" xfId="14" builtinId="5"/>
    <cellStyle name="Porcentaje 2" xfId="15" xr:uid="{00000000-0005-0000-0000-00001F000000}"/>
    <cellStyle name="Porcentaje 2 2" xfId="16" xr:uid="{00000000-0005-0000-0000-000020000000}"/>
    <cellStyle name="Porcentaje 2 2 2" xfId="25" xr:uid="{00000000-0005-0000-0000-000021000000}"/>
    <cellStyle name="Porcentaje 2 3" xfId="24" xr:uid="{00000000-0005-0000-0000-000022000000}"/>
    <cellStyle name="Porcentaje 3" xfId="17" xr:uid="{00000000-0005-0000-0000-000023000000}"/>
    <cellStyle name="Porcentaje 3 2" xfId="26" xr:uid="{00000000-0005-0000-0000-000024000000}"/>
    <cellStyle name="Porcentaje 4 2" xfId="35" xr:uid="{00000000-0005-0000-0000-000025000000}"/>
    <cellStyle name="Porcentaje 5" xfId="34" xr:uid="{00000000-0005-0000-0000-000026000000}"/>
  </cellStyles>
  <dxfs count="2">
    <dxf>
      <font>
        <color rgb="FF006100"/>
      </font>
      <fill>
        <patternFill>
          <bgColor rgb="FFC6EFCE"/>
        </patternFill>
      </fill>
    </dxf>
    <dxf>
      <font>
        <color rgb="FF9C0006"/>
      </font>
      <fill>
        <patternFill>
          <bgColor rgb="FFFFC7CE"/>
        </patternFill>
      </fill>
    </dxf>
  </dxfs>
  <tableStyles count="0" defaultTableStyle="TableStyleMedium9" defaultPivotStyle="PivotStyleLight16"/>
  <colors>
    <mruColors>
      <color rgb="FF1F497D"/>
      <color rgb="FF000099"/>
      <color rgb="FF244062"/>
      <color rgb="FFFF3399"/>
      <color rgb="FFE838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SupportingPropertyBag" Target="richData/rdsupportingpropertybag.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5" Type="http://schemas.openxmlformats.org/officeDocument/2006/relationships/customXml" Target="../customXml/item2.xml"/><Relationship Id="rId2" Type="http://schemas.openxmlformats.org/officeDocument/2006/relationships/worksheet" Target="worksheets/sheet2.xml"/><Relationship Id="rId16" Type="http://schemas.microsoft.com/office/2022/10/relationships/richValueRel" Target="richData/richValueRel.xml"/><Relationship Id="rId20" Type="http://schemas.microsoft.com/office/2017/06/relationships/rdSupportingPropertyBagStructure" Target="richData/rdsupportingpropertybag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17/06/relationships/richStyles" Target="richData/rich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sz="1200"/>
              <a:t>Revenue</a:t>
            </a:r>
          </a:p>
        </c:rich>
      </c:tx>
      <c:layout>
        <c:manualLayout>
          <c:xMode val="edge"/>
          <c:yMode val="edge"/>
          <c:x val="0.36695842584287197"/>
          <c:y val="5.2079382100685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manualLayout>
          <c:layoutTarget val="inner"/>
          <c:xMode val="edge"/>
          <c:yMode val="edge"/>
          <c:x val="6.0888492554344177E-2"/>
          <c:y val="0.24282011904444584"/>
          <c:w val="0.8782230148913116"/>
          <c:h val="0.66604096227935461"/>
        </c:manualLayout>
      </c:layout>
      <c:lineChart>
        <c:grouping val="standard"/>
        <c:varyColors val="0"/>
        <c:ser>
          <c:idx val="0"/>
          <c:order val="0"/>
          <c:spPr>
            <a:ln w="28575" cap="rnd">
              <a:solidFill>
                <a:schemeClr val="accent1"/>
              </a:solidFill>
              <a:round/>
            </a:ln>
            <a:effectLst/>
          </c:spPr>
          <c:marker>
            <c:symbol val="none"/>
          </c:marker>
          <c:val>
            <c:numRef>
              <c:f>DCFF!$D$6:$AF$6</c:f>
              <c:numCache>
                <c:formatCode>"$"#\ ##0</c:formatCode>
                <c:ptCount val="29"/>
                <c:pt idx="0">
                  <c:v>1024.9169999999999</c:v>
                </c:pt>
                <c:pt idx="1">
                  <c:v>1086.701</c:v>
                </c:pt>
                <c:pt idx="2">
                  <c:v>1242.271</c:v>
                </c:pt>
                <c:pt idx="3">
                  <c:v>1484.288</c:v>
                </c:pt>
                <c:pt idx="4">
                  <c:v>1566.6000000000001</c:v>
                </c:pt>
                <c:pt idx="5">
                  <c:v>1655.7334739999997</c:v>
                </c:pt>
                <c:pt idx="6">
                  <c:v>1748.0280472022291</c:v>
                </c:pt>
                <c:pt idx="7">
                  <c:v>1843.2590882200161</c:v>
                </c:pt>
                <c:pt idx="8">
                  <c:v>1945.4486677081529</c:v>
                </c:pt>
                <c:pt idx="9">
                  <c:v>2049.7091624723835</c:v>
                </c:pt>
                <c:pt idx="10">
                  <c:v>2155.8726604320932</c:v>
                </c:pt>
                <c:pt idx="11">
                  <c:v>2263.7713374388845</c:v>
                </c:pt>
                <c:pt idx="12">
                  <c:v>2373.2387884930117</c:v>
                </c:pt>
                <c:pt idx="13">
                  <c:v>2484.1112280488765</c:v>
                </c:pt>
                <c:pt idx="14">
                  <c:v>2596.2285555525687</c:v>
                </c:pt>
                <c:pt idx="15">
                  <c:v>2709.4352854445533</c:v>
                </c:pt>
                <c:pt idx="16">
                  <c:v>2819.5454047681123</c:v>
                </c:pt>
                <c:pt idx="17">
                  <c:v>2926.4577285558139</c:v>
                </c:pt>
                <c:pt idx="18">
                  <c:v>3030.1261690287638</c:v>
                </c:pt>
                <c:pt idx="19">
                  <c:v>3130.551076659503</c:v>
                </c:pt>
                <c:pt idx="20">
                  <c:v>3238.7613311941004</c:v>
                </c:pt>
                <c:pt idx="21">
                  <c:v>3344.4864229863756</c:v>
                </c:pt>
                <c:pt idx="22">
                  <c:v>3447.7975932322938</c:v>
                </c:pt>
                <c:pt idx="23">
                  <c:v>3548.7855594357006</c:v>
                </c:pt>
                <c:pt idx="24">
                  <c:v>3647.55572473042</c:v>
                </c:pt>
                <c:pt idx="25">
                  <c:v>3744.2240791601976</c:v>
                </c:pt>
                <c:pt idx="26">
                  <c:v>3838.9137447376747</c:v>
                </c:pt>
                <c:pt idx="27">
                  <c:v>3931.7521056729665</c:v>
                </c:pt>
                <c:pt idx="28">
                  <c:v>4029.1541032609157</c:v>
                </c:pt>
              </c:numCache>
            </c:numRef>
          </c:val>
          <c:smooth val="0"/>
          <c:extLst>
            <c:ext xmlns:c16="http://schemas.microsoft.com/office/drawing/2014/chart" uri="{C3380CC4-5D6E-409C-BE32-E72D297353CC}">
              <c16:uniqueId val="{00000000-10DC-403A-B17C-683197D1295F}"/>
            </c:ext>
          </c:extLst>
        </c:ser>
        <c:dLbls>
          <c:showLegendKey val="0"/>
          <c:showVal val="0"/>
          <c:showCatName val="0"/>
          <c:showSerName val="0"/>
          <c:showPercent val="0"/>
          <c:showBubbleSize val="0"/>
        </c:dLbls>
        <c:smooth val="0"/>
        <c:axId val="1311438863"/>
        <c:axId val="1311439343"/>
      </c:lineChart>
      <c:catAx>
        <c:axId val="1311438863"/>
        <c:scaling>
          <c:orientation val="minMax"/>
        </c:scaling>
        <c:delete val="1"/>
        <c:axPos val="b"/>
        <c:majorTickMark val="none"/>
        <c:minorTickMark val="none"/>
        <c:tickLblPos val="nextTo"/>
        <c:crossAx val="1311439343"/>
        <c:crosses val="autoZero"/>
        <c:auto val="1"/>
        <c:lblAlgn val="ctr"/>
        <c:lblOffset val="100"/>
        <c:noMultiLvlLbl val="0"/>
      </c:catAx>
      <c:valAx>
        <c:axId val="1311439343"/>
        <c:scaling>
          <c:orientation val="minMax"/>
          <c:max val="4200"/>
          <c:min val="1000"/>
        </c:scaling>
        <c:delete val="1"/>
        <c:axPos val="l"/>
        <c:numFmt formatCode="&quot;$&quot;#\ ##0" sourceLinked="1"/>
        <c:majorTickMark val="none"/>
        <c:minorTickMark val="none"/>
        <c:tickLblPos val="nextTo"/>
        <c:crossAx val="1311438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pt-P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sz="1200"/>
              <a:t>Operating margin</a:t>
            </a:r>
          </a:p>
        </c:rich>
      </c:tx>
      <c:layout>
        <c:manualLayout>
          <c:xMode val="edge"/>
          <c:yMode val="edge"/>
          <c:x val="0.23488761565784813"/>
          <c:y val="5.207938210068544E-2"/>
        </c:manualLayout>
      </c:layout>
      <c:overlay val="0"/>
      <c:spPr>
        <a:noFill/>
        <a:ln>
          <a:noFill/>
        </a:ln>
        <a:effectLst/>
      </c:spPr>
    </c:title>
    <c:autoTitleDeleted val="0"/>
    <c:plotArea>
      <c:layout>
        <c:manualLayout>
          <c:layoutTarget val="inner"/>
          <c:xMode val="edge"/>
          <c:yMode val="edge"/>
          <c:x val="6.0888492554344177E-2"/>
          <c:y val="0.39905826534650218"/>
          <c:w val="0.8782230148913116"/>
          <c:h val="0.50980281597729826"/>
        </c:manualLayout>
      </c:layout>
      <c:lineChart>
        <c:grouping val="standard"/>
        <c:varyColors val="0"/>
        <c:ser>
          <c:idx val="1"/>
          <c:order val="0"/>
          <c:marker>
            <c:symbol val="none"/>
          </c:marker>
          <c:val>
            <c:numRef>
              <c:f>DCFF!$D$7:$AF$7</c:f>
              <c:numCache>
                <c:formatCode>0.0%</c:formatCode>
                <c:ptCount val="29"/>
                <c:pt idx="0">
                  <c:v>9.4481797062591411E-2</c:v>
                </c:pt>
                <c:pt idx="1">
                  <c:v>0.1323758789216169</c:v>
                </c:pt>
                <c:pt idx="2">
                  <c:v>0.2180780200133465</c:v>
                </c:pt>
                <c:pt idx="3">
                  <c:v>0.23036095420834773</c:v>
                </c:pt>
                <c:pt idx="4">
                  <c:v>0.22500000000000001</c:v>
                </c:pt>
                <c:pt idx="5">
                  <c:v>0.22387499999999999</c:v>
                </c:pt>
                <c:pt idx="6">
                  <c:v>0.22275562499999998</c:v>
                </c:pt>
                <c:pt idx="7">
                  <c:v>0.22164184687499999</c:v>
                </c:pt>
                <c:pt idx="8">
                  <c:v>0.220533637640625</c:v>
                </c:pt>
                <c:pt idx="9">
                  <c:v>0.23</c:v>
                </c:pt>
                <c:pt idx="10">
                  <c:v>0.22885</c:v>
                </c:pt>
                <c:pt idx="11">
                  <c:v>0.22770574999999998</c:v>
                </c:pt>
                <c:pt idx="12">
                  <c:v>0.22656722124999998</c:v>
                </c:pt>
                <c:pt idx="13">
                  <c:v>0.22543438514374997</c:v>
                </c:pt>
                <c:pt idx="14">
                  <c:v>0.22430721321803121</c:v>
                </c:pt>
                <c:pt idx="15">
                  <c:v>0.22318567715194104</c:v>
                </c:pt>
                <c:pt idx="16">
                  <c:v>0.21</c:v>
                </c:pt>
                <c:pt idx="17">
                  <c:v>0.19949999999999998</c:v>
                </c:pt>
                <c:pt idx="18">
                  <c:v>0.21</c:v>
                </c:pt>
                <c:pt idx="19">
                  <c:v>0.21</c:v>
                </c:pt>
                <c:pt idx="20">
                  <c:v>0.21</c:v>
                </c:pt>
                <c:pt idx="21">
                  <c:v>0.21</c:v>
                </c:pt>
                <c:pt idx="22">
                  <c:v>0.21</c:v>
                </c:pt>
                <c:pt idx="23">
                  <c:v>0.21</c:v>
                </c:pt>
                <c:pt idx="24">
                  <c:v>0.21</c:v>
                </c:pt>
                <c:pt idx="25">
                  <c:v>0.21</c:v>
                </c:pt>
                <c:pt idx="26">
                  <c:v>0.21</c:v>
                </c:pt>
                <c:pt idx="27">
                  <c:v>0.21</c:v>
                </c:pt>
                <c:pt idx="28">
                  <c:v>0.21</c:v>
                </c:pt>
              </c:numCache>
            </c:numRef>
          </c:val>
          <c:smooth val="0"/>
          <c:extLst>
            <c:ext xmlns:c16="http://schemas.microsoft.com/office/drawing/2014/chart" uri="{C3380CC4-5D6E-409C-BE32-E72D297353CC}">
              <c16:uniqueId val="{00000005-100A-4654-9C60-4AA32EFA115B}"/>
            </c:ext>
          </c:extLst>
        </c:ser>
        <c:dLbls>
          <c:showLegendKey val="0"/>
          <c:showVal val="0"/>
          <c:showCatName val="0"/>
          <c:showSerName val="0"/>
          <c:showPercent val="0"/>
          <c:showBubbleSize val="0"/>
        </c:dLbls>
        <c:smooth val="0"/>
        <c:axId val="1311438863"/>
        <c:axId val="1311439343"/>
      </c:lineChart>
      <c:catAx>
        <c:axId val="1311438863"/>
        <c:scaling>
          <c:orientation val="minMax"/>
        </c:scaling>
        <c:delete val="1"/>
        <c:axPos val="b"/>
        <c:majorTickMark val="out"/>
        <c:minorTickMark val="none"/>
        <c:tickLblPos val="nextTo"/>
        <c:crossAx val="1311439343"/>
        <c:crosses val="autoZero"/>
        <c:auto val="1"/>
        <c:lblAlgn val="ctr"/>
        <c:lblOffset val="100"/>
        <c:noMultiLvlLbl val="0"/>
      </c:catAx>
      <c:valAx>
        <c:axId val="1311439343"/>
        <c:scaling>
          <c:orientation val="minMax"/>
          <c:max val="0.23500000000000001"/>
        </c:scaling>
        <c:delete val="1"/>
        <c:axPos val="l"/>
        <c:numFmt formatCode="0.0%" sourceLinked="1"/>
        <c:majorTickMark val="out"/>
        <c:minorTickMark val="none"/>
        <c:tickLblPos val="nextTo"/>
        <c:crossAx val="1311438863"/>
        <c:crosses val="autoZero"/>
        <c:crossBetween val="between"/>
      </c:valAx>
    </c:plotArea>
    <c:plotVisOnly val="1"/>
    <c:dispBlanksAs val="gap"/>
    <c:showDLblsOverMax val="0"/>
    <c:extLst/>
  </c:chart>
  <c:txPr>
    <a:bodyPr/>
    <a:lstStyle/>
    <a:p>
      <a:pPr>
        <a:defRPr/>
      </a:pPr>
      <a:endParaRPr lang="pt-P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none"/>
          </c:marker>
          <c:dPt>
            <c:idx val="2"/>
            <c:bubble3D val="0"/>
            <c:spPr>
              <a:ln w="28575" cap="rnd">
                <a:solidFill>
                  <a:schemeClr val="accent1"/>
                </a:solidFill>
                <a:prstDash val="sysDot"/>
                <a:round/>
              </a:ln>
              <a:effectLst/>
            </c:spPr>
            <c:extLst>
              <c:ext xmlns:c16="http://schemas.microsoft.com/office/drawing/2014/chart" uri="{C3380CC4-5D6E-409C-BE32-E72D297353CC}">
                <c16:uniqueId val="{00000001-29D6-40DE-82A1-0FA536C64509}"/>
              </c:ext>
            </c:extLst>
          </c:dPt>
          <c:dPt>
            <c:idx val="3"/>
            <c:bubble3D val="0"/>
            <c:spPr>
              <a:ln w="28575" cap="rnd">
                <a:solidFill>
                  <a:schemeClr val="accent1"/>
                </a:solidFill>
                <a:prstDash val="sysDot"/>
                <a:round/>
              </a:ln>
              <a:effectLst/>
            </c:spPr>
            <c:extLst>
              <c:ext xmlns:c16="http://schemas.microsoft.com/office/drawing/2014/chart" uri="{C3380CC4-5D6E-409C-BE32-E72D297353CC}">
                <c16:uniqueId val="{00000003-29D6-40DE-82A1-0FA536C64509}"/>
              </c:ext>
            </c:extLst>
          </c:dPt>
          <c:dPt>
            <c:idx val="4"/>
            <c:bubble3D val="0"/>
            <c:spPr>
              <a:ln w="28575" cap="rnd">
                <a:solidFill>
                  <a:schemeClr val="accent1"/>
                </a:solidFill>
                <a:prstDash val="sysDot"/>
                <a:round/>
              </a:ln>
              <a:effectLst/>
            </c:spPr>
            <c:extLst>
              <c:ext xmlns:c16="http://schemas.microsoft.com/office/drawing/2014/chart" uri="{C3380CC4-5D6E-409C-BE32-E72D297353CC}">
                <c16:uniqueId val="{00000005-29D6-40DE-82A1-0FA536C64509}"/>
              </c:ext>
            </c:extLst>
          </c:dPt>
          <c:cat>
            <c:strRef>
              <c:f>DCF!$B$35:$F$35</c:f>
              <c:strCache>
                <c:ptCount val="5"/>
                <c:pt idx="0">
                  <c:v>2019 (Real)</c:v>
                </c:pt>
                <c:pt idx="1">
                  <c:v>2020 (Real)</c:v>
                </c:pt>
                <c:pt idx="2">
                  <c:v>2021</c:v>
                </c:pt>
                <c:pt idx="3">
                  <c:v>2022</c:v>
                </c:pt>
                <c:pt idx="4">
                  <c:v>2023</c:v>
                </c:pt>
              </c:strCache>
            </c:strRef>
          </c:cat>
          <c:val>
            <c:numRef>
              <c:f>DCF!$B$37:$F$37</c:f>
              <c:numCache>
                <c:formatCode>"$"#\ ##0</c:formatCode>
                <c:ptCount val="5"/>
                <c:pt idx="0">
                  <c:v>1024.9169999999999</c:v>
                </c:pt>
                <c:pt idx="1">
                  <c:v>1086.701</c:v>
                </c:pt>
                <c:pt idx="2">
                  <c:v>1383.63795</c:v>
                </c:pt>
                <c:pt idx="3">
                  <c:v>1430.6816403</c:v>
                </c:pt>
                <c:pt idx="4">
                  <c:v>1566.5963961284999</c:v>
                </c:pt>
              </c:numCache>
            </c:numRef>
          </c:val>
          <c:smooth val="0"/>
          <c:extLst>
            <c:ext xmlns:c16="http://schemas.microsoft.com/office/drawing/2014/chart" uri="{C3380CC4-5D6E-409C-BE32-E72D297353CC}">
              <c16:uniqueId val="{00000006-29D6-40DE-82A1-0FA536C64509}"/>
            </c:ext>
          </c:extLst>
        </c:ser>
        <c:dLbls>
          <c:showLegendKey val="0"/>
          <c:showVal val="0"/>
          <c:showCatName val="0"/>
          <c:showSerName val="0"/>
          <c:showPercent val="0"/>
          <c:showBubbleSize val="0"/>
        </c:dLbls>
        <c:smooth val="0"/>
        <c:axId val="468295536"/>
        <c:axId val="469723232"/>
      </c:lineChart>
      <c:catAx>
        <c:axId val="46829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CN"/>
          </a:p>
        </c:txPr>
        <c:crossAx val="469723232"/>
        <c:crosses val="autoZero"/>
        <c:auto val="0"/>
        <c:lblAlgn val="ctr"/>
        <c:lblOffset val="100"/>
        <c:noMultiLvlLbl val="0"/>
      </c:catAx>
      <c:valAx>
        <c:axId val="46972323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CN"/>
          </a:p>
        </c:txPr>
        <c:crossAx val="468295536"/>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none"/>
          </c:marker>
          <c:dPt>
            <c:idx val="2"/>
            <c:bubble3D val="0"/>
            <c:spPr>
              <a:ln w="28575" cap="rnd">
                <a:solidFill>
                  <a:schemeClr val="accent1"/>
                </a:solidFill>
                <a:prstDash val="sysDot"/>
                <a:round/>
              </a:ln>
              <a:effectLst/>
            </c:spPr>
            <c:extLst>
              <c:ext xmlns:c16="http://schemas.microsoft.com/office/drawing/2014/chart" uri="{C3380CC4-5D6E-409C-BE32-E72D297353CC}">
                <c16:uniqueId val="{00000001-0852-4BF1-A341-E431ACE2ED99}"/>
              </c:ext>
            </c:extLst>
          </c:dPt>
          <c:dPt>
            <c:idx val="3"/>
            <c:bubble3D val="0"/>
            <c:spPr>
              <a:ln w="28575" cap="rnd">
                <a:solidFill>
                  <a:schemeClr val="accent1"/>
                </a:solidFill>
                <a:prstDash val="sysDot"/>
                <a:round/>
              </a:ln>
              <a:effectLst/>
            </c:spPr>
            <c:extLst>
              <c:ext xmlns:c16="http://schemas.microsoft.com/office/drawing/2014/chart" uri="{C3380CC4-5D6E-409C-BE32-E72D297353CC}">
                <c16:uniqueId val="{00000003-0852-4BF1-A341-E431ACE2ED99}"/>
              </c:ext>
            </c:extLst>
          </c:dPt>
          <c:dPt>
            <c:idx val="4"/>
            <c:bubble3D val="0"/>
            <c:spPr>
              <a:ln w="28575" cap="rnd">
                <a:solidFill>
                  <a:schemeClr val="accent1"/>
                </a:solidFill>
                <a:prstDash val="sysDot"/>
                <a:round/>
              </a:ln>
              <a:effectLst/>
            </c:spPr>
            <c:extLst>
              <c:ext xmlns:c16="http://schemas.microsoft.com/office/drawing/2014/chart" uri="{C3380CC4-5D6E-409C-BE32-E72D297353CC}">
                <c16:uniqueId val="{00000005-0852-4BF1-A341-E431ACE2ED99}"/>
              </c:ext>
            </c:extLst>
          </c:dPt>
          <c:cat>
            <c:strRef>
              <c:f>DCF!$B$35:$F$35</c:f>
              <c:strCache>
                <c:ptCount val="5"/>
                <c:pt idx="0">
                  <c:v>2019 (Real)</c:v>
                </c:pt>
                <c:pt idx="1">
                  <c:v>2020 (Real)</c:v>
                </c:pt>
                <c:pt idx="2">
                  <c:v>2021</c:v>
                </c:pt>
                <c:pt idx="3">
                  <c:v>2022</c:v>
                </c:pt>
                <c:pt idx="4">
                  <c:v>2023</c:v>
                </c:pt>
              </c:strCache>
            </c:strRef>
          </c:cat>
          <c:val>
            <c:numRef>
              <c:f>DCF!$B$38:$F$38</c:f>
              <c:numCache>
                <c:formatCode>0.0%</c:formatCode>
                <c:ptCount val="5"/>
                <c:pt idx="0">
                  <c:v>9.4481797062591411E-2</c:v>
                </c:pt>
                <c:pt idx="1">
                  <c:v>0.1323758789216169</c:v>
                </c:pt>
                <c:pt idx="2">
                  <c:v>0.29593021537936248</c:v>
                </c:pt>
                <c:pt idx="3">
                  <c:v>0.28617540807249875</c:v>
                </c:pt>
                <c:pt idx="4">
                  <c:v>0.27</c:v>
                </c:pt>
              </c:numCache>
            </c:numRef>
          </c:val>
          <c:smooth val="0"/>
          <c:extLst>
            <c:ext xmlns:c16="http://schemas.microsoft.com/office/drawing/2014/chart" uri="{C3380CC4-5D6E-409C-BE32-E72D297353CC}">
              <c16:uniqueId val="{00000006-0852-4BF1-A341-E431ACE2ED99}"/>
            </c:ext>
          </c:extLst>
        </c:ser>
        <c:dLbls>
          <c:showLegendKey val="0"/>
          <c:showVal val="0"/>
          <c:showCatName val="0"/>
          <c:showSerName val="0"/>
          <c:showPercent val="0"/>
          <c:showBubbleSize val="0"/>
        </c:dLbls>
        <c:smooth val="0"/>
        <c:axId val="469725472"/>
        <c:axId val="469726032"/>
      </c:lineChart>
      <c:catAx>
        <c:axId val="46972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CN"/>
          </a:p>
        </c:txPr>
        <c:crossAx val="469726032"/>
        <c:crosses val="autoZero"/>
        <c:auto val="1"/>
        <c:lblAlgn val="ctr"/>
        <c:lblOffset val="100"/>
        <c:noMultiLvlLbl val="0"/>
      </c:catAx>
      <c:valAx>
        <c:axId val="469726032"/>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CN"/>
          </a:p>
        </c:txPr>
        <c:crossAx val="469725472"/>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CN"/>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692336380204484"/>
          <c:y val="3.5969349607330517E-2"/>
          <c:w val="0.84839388374040381"/>
          <c:h val="0.77604277854266257"/>
        </c:manualLayout>
      </c:layout>
      <c:lineChart>
        <c:grouping val="standard"/>
        <c:varyColors val="0"/>
        <c:ser>
          <c:idx val="0"/>
          <c:order val="0"/>
          <c:spPr>
            <a:ln w="28575" cap="rnd">
              <a:solidFill>
                <a:schemeClr val="accent1"/>
              </a:solidFill>
              <a:round/>
            </a:ln>
            <a:effectLst/>
          </c:spPr>
          <c:marker>
            <c:symbol val="none"/>
          </c:marker>
          <c:dPt>
            <c:idx val="2"/>
            <c:bubble3D val="0"/>
            <c:spPr>
              <a:ln w="28575" cap="rnd">
                <a:solidFill>
                  <a:schemeClr val="accent1"/>
                </a:solidFill>
                <a:prstDash val="sysDot"/>
                <a:round/>
              </a:ln>
              <a:effectLst/>
            </c:spPr>
            <c:extLst>
              <c:ext xmlns:c16="http://schemas.microsoft.com/office/drawing/2014/chart" uri="{C3380CC4-5D6E-409C-BE32-E72D297353CC}">
                <c16:uniqueId val="{00000001-890B-4B55-856C-0152686CCD41}"/>
              </c:ext>
            </c:extLst>
          </c:dPt>
          <c:dPt>
            <c:idx val="3"/>
            <c:bubble3D val="0"/>
            <c:spPr>
              <a:ln w="28575" cap="rnd">
                <a:solidFill>
                  <a:schemeClr val="accent1"/>
                </a:solidFill>
                <a:prstDash val="sysDot"/>
                <a:round/>
              </a:ln>
              <a:effectLst/>
            </c:spPr>
            <c:extLst>
              <c:ext xmlns:c16="http://schemas.microsoft.com/office/drawing/2014/chart" uri="{C3380CC4-5D6E-409C-BE32-E72D297353CC}">
                <c16:uniqueId val="{00000003-890B-4B55-856C-0152686CCD41}"/>
              </c:ext>
            </c:extLst>
          </c:dPt>
          <c:dPt>
            <c:idx val="4"/>
            <c:bubble3D val="0"/>
            <c:spPr>
              <a:ln w="28575" cap="rnd">
                <a:solidFill>
                  <a:schemeClr val="accent1"/>
                </a:solidFill>
                <a:prstDash val="sysDot"/>
                <a:round/>
              </a:ln>
              <a:effectLst/>
            </c:spPr>
            <c:extLst>
              <c:ext xmlns:c16="http://schemas.microsoft.com/office/drawing/2014/chart" uri="{C3380CC4-5D6E-409C-BE32-E72D297353CC}">
                <c16:uniqueId val="{00000005-890B-4B55-856C-0152686CCD41}"/>
              </c:ext>
            </c:extLst>
          </c:dPt>
          <c:cat>
            <c:strRef>
              <c:f>DCF!$B$35:$F$35</c:f>
              <c:strCache>
                <c:ptCount val="5"/>
                <c:pt idx="0">
                  <c:v>2019 (Real)</c:v>
                </c:pt>
                <c:pt idx="1">
                  <c:v>2020 (Real)</c:v>
                </c:pt>
                <c:pt idx="2">
                  <c:v>2021</c:v>
                </c:pt>
                <c:pt idx="3">
                  <c:v>2022</c:v>
                </c:pt>
                <c:pt idx="4">
                  <c:v>2023</c:v>
                </c:pt>
              </c:strCache>
            </c:strRef>
          </c:cat>
          <c:val>
            <c:numRef>
              <c:f>DCF!$B$47:$F$47</c:f>
              <c:numCache>
                <c:formatCode>"$"#\ ##0</c:formatCode>
                <c:ptCount val="5"/>
                <c:pt idx="0">
                  <c:v>0</c:v>
                </c:pt>
                <c:pt idx="1">
                  <c:v>0</c:v>
                </c:pt>
                <c:pt idx="2">
                  <c:v>10000</c:v>
                </c:pt>
                <c:pt idx="3">
                  <c:v>10408</c:v>
                </c:pt>
                <c:pt idx="4">
                  <c:v>11594.511999999999</c:v>
                </c:pt>
              </c:numCache>
            </c:numRef>
          </c:val>
          <c:smooth val="0"/>
          <c:extLst>
            <c:ext xmlns:c16="http://schemas.microsoft.com/office/drawing/2014/chart" uri="{C3380CC4-5D6E-409C-BE32-E72D297353CC}">
              <c16:uniqueId val="{00000006-890B-4B55-856C-0152686CCD41}"/>
            </c:ext>
          </c:extLst>
        </c:ser>
        <c:dLbls>
          <c:showLegendKey val="0"/>
          <c:showVal val="0"/>
          <c:showCatName val="0"/>
          <c:showSerName val="0"/>
          <c:showPercent val="0"/>
          <c:showBubbleSize val="0"/>
        </c:dLbls>
        <c:smooth val="0"/>
        <c:axId val="469728272"/>
        <c:axId val="469728832"/>
      </c:lineChart>
      <c:catAx>
        <c:axId val="46972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CN"/>
          </a:p>
        </c:txPr>
        <c:crossAx val="469728832"/>
        <c:crosses val="autoZero"/>
        <c:auto val="0"/>
        <c:lblAlgn val="ctr"/>
        <c:lblOffset val="100"/>
        <c:noMultiLvlLbl val="0"/>
      </c:catAx>
      <c:valAx>
        <c:axId val="469728832"/>
        <c:scaling>
          <c:orientation val="minMax"/>
          <c:max val="25000"/>
          <c:min val="0"/>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CN"/>
          </a:p>
        </c:txPr>
        <c:crossAx val="469728272"/>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CN"/>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8575" cap="rnd">
              <a:solidFill>
                <a:schemeClr val="accent1"/>
              </a:solidFill>
              <a:round/>
            </a:ln>
            <a:effectLst/>
          </c:spPr>
          <c:marker>
            <c:symbol val="none"/>
          </c:marker>
          <c:dPt>
            <c:idx val="2"/>
            <c:bubble3D val="0"/>
            <c:spPr>
              <a:ln w="28575" cap="rnd">
                <a:solidFill>
                  <a:schemeClr val="accent1"/>
                </a:solidFill>
                <a:prstDash val="sysDot"/>
                <a:round/>
              </a:ln>
              <a:effectLst/>
            </c:spPr>
            <c:extLst>
              <c:ext xmlns:c16="http://schemas.microsoft.com/office/drawing/2014/chart" uri="{C3380CC4-5D6E-409C-BE32-E72D297353CC}">
                <c16:uniqueId val="{00000001-2BBB-4662-B16E-6E91A3BCDBBD}"/>
              </c:ext>
            </c:extLst>
          </c:dPt>
          <c:dPt>
            <c:idx val="3"/>
            <c:bubble3D val="0"/>
            <c:spPr>
              <a:ln w="28575" cap="rnd">
                <a:solidFill>
                  <a:schemeClr val="accent1"/>
                </a:solidFill>
                <a:prstDash val="sysDot"/>
                <a:round/>
              </a:ln>
              <a:effectLst/>
            </c:spPr>
            <c:extLst>
              <c:ext xmlns:c16="http://schemas.microsoft.com/office/drawing/2014/chart" uri="{C3380CC4-5D6E-409C-BE32-E72D297353CC}">
                <c16:uniqueId val="{00000003-2BBB-4662-B16E-6E91A3BCDBBD}"/>
              </c:ext>
            </c:extLst>
          </c:dPt>
          <c:dPt>
            <c:idx val="4"/>
            <c:bubble3D val="0"/>
            <c:spPr>
              <a:ln w="28575" cap="rnd">
                <a:solidFill>
                  <a:schemeClr val="accent1"/>
                </a:solidFill>
                <a:prstDash val="sysDot"/>
                <a:round/>
              </a:ln>
              <a:effectLst/>
            </c:spPr>
            <c:extLst>
              <c:ext xmlns:c16="http://schemas.microsoft.com/office/drawing/2014/chart" uri="{C3380CC4-5D6E-409C-BE32-E72D297353CC}">
                <c16:uniqueId val="{00000005-2BBB-4662-B16E-6E91A3BCDBBD}"/>
              </c:ext>
            </c:extLst>
          </c:dPt>
          <c:cat>
            <c:strRef>
              <c:f>DCF!$B$35:$F$35</c:f>
              <c:strCache>
                <c:ptCount val="5"/>
                <c:pt idx="0">
                  <c:v>2019 (Real)</c:v>
                </c:pt>
                <c:pt idx="1">
                  <c:v>2020 (Real)</c:v>
                </c:pt>
                <c:pt idx="2">
                  <c:v>2021</c:v>
                </c:pt>
                <c:pt idx="3">
                  <c:v>2022</c:v>
                </c:pt>
                <c:pt idx="4">
                  <c:v>2023</c:v>
                </c:pt>
              </c:strCache>
            </c:strRef>
          </c:cat>
          <c:val>
            <c:numRef>
              <c:f>DCF!$B$46:$F$46</c:f>
              <c:numCache>
                <c:formatCode>"$"#\ ##0</c:formatCode>
                <c:ptCount val="5"/>
                <c:pt idx="0">
                  <c:v>58073</c:v>
                </c:pt>
                <c:pt idx="1">
                  <c:v>61045</c:v>
                </c:pt>
                <c:pt idx="2">
                  <c:v>-2571.1574815250583</c:v>
                </c:pt>
                <c:pt idx="3">
                  <c:v>-2644.3759647345992</c:v>
                </c:pt>
                <c:pt idx="4">
                  <c:v>-2816.4086744220413</c:v>
                </c:pt>
              </c:numCache>
            </c:numRef>
          </c:val>
          <c:smooth val="0"/>
          <c:extLst>
            <c:ext xmlns:c16="http://schemas.microsoft.com/office/drawing/2014/chart" uri="{C3380CC4-5D6E-409C-BE32-E72D297353CC}">
              <c16:uniqueId val="{00000006-2BBB-4662-B16E-6E91A3BCDBBD}"/>
            </c:ext>
          </c:extLst>
        </c:ser>
        <c:dLbls>
          <c:showLegendKey val="0"/>
          <c:showVal val="0"/>
          <c:showCatName val="0"/>
          <c:showSerName val="0"/>
          <c:showPercent val="0"/>
          <c:showBubbleSize val="0"/>
        </c:dLbls>
        <c:smooth val="0"/>
        <c:axId val="471143824"/>
        <c:axId val="471144384"/>
      </c:lineChart>
      <c:catAx>
        <c:axId val="47114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n-CN"/>
          </a:p>
        </c:txPr>
        <c:crossAx val="471144384"/>
        <c:crosses val="autoZero"/>
        <c:auto val="1"/>
        <c:lblAlgn val="ctr"/>
        <c:lblOffset val="100"/>
        <c:noMultiLvlLbl val="0"/>
      </c:catAx>
      <c:valAx>
        <c:axId val="471144384"/>
        <c:scaling>
          <c:orientation val="minMax"/>
          <c:min val="-200"/>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CN"/>
          </a:p>
        </c:txPr>
        <c:crossAx val="47114382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n-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14</xdr:col>
      <xdr:colOff>0</xdr:colOff>
      <xdr:row>3</xdr:row>
      <xdr:rowOff>0</xdr:rowOff>
    </xdr:from>
    <xdr:to>
      <xdr:col>14</xdr:col>
      <xdr:colOff>304800</xdr:colOff>
      <xdr:row>3</xdr:row>
      <xdr:rowOff>304800</xdr:rowOff>
    </xdr:to>
    <xdr:sp macro="" textlink="">
      <xdr:nvSpPr>
        <xdr:cNvPr id="2096" name="AutoShape 48" descr="Resultado de imagen para heidelbergcement">
          <a:extLst>
            <a:ext uri="{FF2B5EF4-FFF2-40B4-BE49-F238E27FC236}">
              <a16:creationId xmlns:a16="http://schemas.microsoft.com/office/drawing/2014/main" id="{EBAF9DAF-18D3-4875-8FFF-AEB741FF11AC}"/>
            </a:ext>
          </a:extLst>
        </xdr:cNvPr>
        <xdr:cNvSpPr>
          <a:spLocks noChangeAspect="1" noChangeArrowheads="1"/>
        </xdr:cNvSpPr>
      </xdr:nvSpPr>
      <xdr:spPr bwMode="auto">
        <a:xfrm>
          <a:off x="15001875"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3</xdr:row>
      <xdr:rowOff>0</xdr:rowOff>
    </xdr:from>
    <xdr:to>
      <xdr:col>14</xdr:col>
      <xdr:colOff>304800</xdr:colOff>
      <xdr:row>3</xdr:row>
      <xdr:rowOff>304800</xdr:rowOff>
    </xdr:to>
    <xdr:sp macro="" textlink="">
      <xdr:nvSpPr>
        <xdr:cNvPr id="2097" name="AutoShape 49" descr="Resultado de imagen para heidelbergcement">
          <a:extLst>
            <a:ext uri="{FF2B5EF4-FFF2-40B4-BE49-F238E27FC236}">
              <a16:creationId xmlns:a16="http://schemas.microsoft.com/office/drawing/2014/main" id="{1AED6D21-AC79-48CB-9928-5DBD43CA26F1}"/>
            </a:ext>
          </a:extLst>
        </xdr:cNvPr>
        <xdr:cNvSpPr>
          <a:spLocks noChangeAspect="1" noChangeArrowheads="1"/>
        </xdr:cNvSpPr>
      </xdr:nvSpPr>
      <xdr:spPr bwMode="auto">
        <a:xfrm>
          <a:off x="15001875"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8</xdr:col>
      <xdr:colOff>36286</xdr:colOff>
      <xdr:row>20</xdr:row>
      <xdr:rowOff>45357</xdr:rowOff>
    </xdr:from>
    <xdr:to>
      <xdr:col>9</xdr:col>
      <xdr:colOff>1124857</xdr:colOff>
      <xdr:row>22</xdr:row>
      <xdr:rowOff>136071</xdr:rowOff>
    </xdr:to>
    <xdr:graphicFrame macro="">
      <xdr:nvGraphicFramePr>
        <xdr:cNvPr id="4" name="Chart 3">
          <a:extLst>
            <a:ext uri="{FF2B5EF4-FFF2-40B4-BE49-F238E27FC236}">
              <a16:creationId xmlns:a16="http://schemas.microsoft.com/office/drawing/2014/main" id="{C395503F-7D3D-4C51-A611-3F8D77003D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1170215</xdr:colOff>
      <xdr:row>20</xdr:row>
      <xdr:rowOff>36285</xdr:rowOff>
    </xdr:from>
    <xdr:to>
      <xdr:col>10</xdr:col>
      <xdr:colOff>1334215</xdr:colOff>
      <xdr:row>22</xdr:row>
      <xdr:rowOff>126999</xdr:rowOff>
    </xdr:to>
    <xdr:graphicFrame macro="">
      <xdr:nvGraphicFramePr>
        <xdr:cNvPr id="5" name="Chart 4">
          <a:extLst>
            <a:ext uri="{FF2B5EF4-FFF2-40B4-BE49-F238E27FC236}">
              <a16:creationId xmlns:a16="http://schemas.microsoft.com/office/drawing/2014/main" id="{E4CFE9BB-9DA2-4A4A-90A1-8AD77D0B9A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38100</xdr:rowOff>
    </xdr:from>
    <xdr:to>
      <xdr:col>5</xdr:col>
      <xdr:colOff>695325</xdr:colOff>
      <xdr:row>21</xdr:row>
      <xdr:rowOff>161924</xdr:rowOff>
    </xdr:to>
    <xdr:pic>
      <xdr:nvPicPr>
        <xdr:cNvPr id="2" name="Imagen 1">
          <a:extLst>
            <a:ext uri="{FF2B5EF4-FFF2-40B4-BE49-F238E27FC236}">
              <a16:creationId xmlns:a16="http://schemas.microsoft.com/office/drawing/2014/main" id="{F2F9330C-25CE-45E1-BA4E-66296A4EDD68}"/>
            </a:ext>
          </a:extLst>
        </xdr:cNvPr>
        <xdr:cNvPicPr>
          <a:picLocks noChangeAspect="1"/>
        </xdr:cNvPicPr>
      </xdr:nvPicPr>
      <xdr:blipFill rotWithShape="1">
        <a:blip xmlns:r="http://schemas.openxmlformats.org/officeDocument/2006/relationships" r:embed="rId1"/>
        <a:srcRect l="24381" t="20576" r="25833" b="16526"/>
        <a:stretch/>
      </xdr:blipFill>
      <xdr:spPr>
        <a:xfrm>
          <a:off x="0" y="361950"/>
          <a:ext cx="4505325" cy="3200399"/>
        </a:xfrm>
        <a:prstGeom prst="rect">
          <a:avLst/>
        </a:prstGeom>
      </xdr:spPr>
    </xdr:pic>
    <xdr:clientData/>
  </xdr:twoCellAnchor>
  <xdr:twoCellAnchor editAs="oneCell">
    <xdr:from>
      <xdr:col>5</xdr:col>
      <xdr:colOff>742951</xdr:colOff>
      <xdr:row>2</xdr:row>
      <xdr:rowOff>19050</xdr:rowOff>
    </xdr:from>
    <xdr:to>
      <xdr:col>12</xdr:col>
      <xdr:colOff>590550</xdr:colOff>
      <xdr:row>26</xdr:row>
      <xdr:rowOff>17452</xdr:rowOff>
    </xdr:to>
    <xdr:pic>
      <xdr:nvPicPr>
        <xdr:cNvPr id="3" name="Imagen 2">
          <a:extLst>
            <a:ext uri="{FF2B5EF4-FFF2-40B4-BE49-F238E27FC236}">
              <a16:creationId xmlns:a16="http://schemas.microsoft.com/office/drawing/2014/main" id="{6C3DB5B5-D2AB-4357-9042-072F61CBB8BC}"/>
            </a:ext>
          </a:extLst>
        </xdr:cNvPr>
        <xdr:cNvPicPr>
          <a:picLocks noChangeAspect="1"/>
        </xdr:cNvPicPr>
      </xdr:nvPicPr>
      <xdr:blipFill rotWithShape="1">
        <a:blip xmlns:r="http://schemas.openxmlformats.org/officeDocument/2006/relationships" r:embed="rId2"/>
        <a:srcRect l="35436" t="14585" r="5186" b="6238"/>
        <a:stretch/>
      </xdr:blipFill>
      <xdr:spPr>
        <a:xfrm>
          <a:off x="4552951" y="342900"/>
          <a:ext cx="5181599" cy="3884602"/>
        </a:xfrm>
        <a:prstGeom prst="rect">
          <a:avLst/>
        </a:prstGeom>
      </xdr:spPr>
    </xdr:pic>
    <xdr:clientData/>
  </xdr:twoCellAnchor>
  <xdr:twoCellAnchor editAs="oneCell">
    <xdr:from>
      <xdr:col>12</xdr:col>
      <xdr:colOff>733424</xdr:colOff>
      <xdr:row>1</xdr:row>
      <xdr:rowOff>152399</xdr:rowOff>
    </xdr:from>
    <xdr:to>
      <xdr:col>19</xdr:col>
      <xdr:colOff>200025</xdr:colOff>
      <xdr:row>25</xdr:row>
      <xdr:rowOff>104774</xdr:rowOff>
    </xdr:to>
    <xdr:pic>
      <xdr:nvPicPr>
        <xdr:cNvPr id="4" name="Imagen 3">
          <a:extLst>
            <a:ext uri="{FF2B5EF4-FFF2-40B4-BE49-F238E27FC236}">
              <a16:creationId xmlns:a16="http://schemas.microsoft.com/office/drawing/2014/main" id="{2F698728-CF09-4265-A947-5121BAAFCF06}"/>
            </a:ext>
          </a:extLst>
        </xdr:cNvPr>
        <xdr:cNvPicPr>
          <a:picLocks noChangeAspect="1"/>
        </xdr:cNvPicPr>
      </xdr:nvPicPr>
      <xdr:blipFill rotWithShape="1">
        <a:blip xmlns:r="http://schemas.openxmlformats.org/officeDocument/2006/relationships" r:embed="rId3"/>
        <a:srcRect l="17645" t="21877" r="37108" b="5196"/>
        <a:stretch/>
      </xdr:blipFill>
      <xdr:spPr>
        <a:xfrm>
          <a:off x="9877424" y="314324"/>
          <a:ext cx="4800601" cy="38385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22</xdr:row>
      <xdr:rowOff>0</xdr:rowOff>
    </xdr:from>
    <xdr:to>
      <xdr:col>4</xdr:col>
      <xdr:colOff>304800</xdr:colOff>
      <xdr:row>23</xdr:row>
      <xdr:rowOff>142875</xdr:rowOff>
    </xdr:to>
    <xdr:sp macro="" textlink="">
      <xdr:nvSpPr>
        <xdr:cNvPr id="914922" name="AutoShape 232" descr="Resultado de imagen para beer consumption trend">
          <a:extLst>
            <a:ext uri="{FF2B5EF4-FFF2-40B4-BE49-F238E27FC236}">
              <a16:creationId xmlns:a16="http://schemas.microsoft.com/office/drawing/2014/main" id="{290ADD27-FE0C-4C99-AF77-3098E89BD849}"/>
            </a:ext>
          </a:extLst>
        </xdr:cNvPr>
        <xdr:cNvSpPr>
          <a:spLocks noChangeAspect="1" noChangeArrowheads="1"/>
        </xdr:cNvSpPr>
      </xdr:nvSpPr>
      <xdr:spPr bwMode="auto">
        <a:xfrm>
          <a:off x="7829550" y="12001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22</xdr:row>
      <xdr:rowOff>0</xdr:rowOff>
    </xdr:from>
    <xdr:to>
      <xdr:col>4</xdr:col>
      <xdr:colOff>304800</xdr:colOff>
      <xdr:row>23</xdr:row>
      <xdr:rowOff>139065</xdr:rowOff>
    </xdr:to>
    <xdr:sp macro="" textlink="">
      <xdr:nvSpPr>
        <xdr:cNvPr id="914923" name="AutoShape 233" descr="Resultado de imagen para beer consumption trend">
          <a:extLst>
            <a:ext uri="{FF2B5EF4-FFF2-40B4-BE49-F238E27FC236}">
              <a16:creationId xmlns:a16="http://schemas.microsoft.com/office/drawing/2014/main" id="{76C615DC-9449-489C-838D-7501FF91B816}"/>
            </a:ext>
          </a:extLst>
        </xdr:cNvPr>
        <xdr:cNvSpPr>
          <a:spLocks noChangeAspect="1" noChangeArrowheads="1"/>
        </xdr:cNvSpPr>
      </xdr:nvSpPr>
      <xdr:spPr bwMode="auto">
        <a:xfrm>
          <a:off x="7067550" y="218122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xdr:row>
      <xdr:rowOff>161925</xdr:rowOff>
    </xdr:from>
    <xdr:to>
      <xdr:col>3</xdr:col>
      <xdr:colOff>438150</xdr:colOff>
      <xdr:row>14</xdr:row>
      <xdr:rowOff>95250</xdr:rowOff>
    </xdr:to>
    <xdr:graphicFrame macro="">
      <xdr:nvGraphicFramePr>
        <xdr:cNvPr id="69183" name="Gráfico 1">
          <a:extLst>
            <a:ext uri="{FF2B5EF4-FFF2-40B4-BE49-F238E27FC236}">
              <a16:creationId xmlns:a16="http://schemas.microsoft.com/office/drawing/2014/main" id="{77D8D2A6-31C8-436A-8BAC-BCB6DD15AE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523875</xdr:colOff>
      <xdr:row>3</xdr:row>
      <xdr:rowOff>19050</xdr:rowOff>
    </xdr:from>
    <xdr:to>
      <xdr:col>9</xdr:col>
      <xdr:colOff>0</xdr:colOff>
      <xdr:row>14</xdr:row>
      <xdr:rowOff>85725</xdr:rowOff>
    </xdr:to>
    <xdr:graphicFrame macro="">
      <xdr:nvGraphicFramePr>
        <xdr:cNvPr id="69184" name="Gráfico 2">
          <a:extLst>
            <a:ext uri="{FF2B5EF4-FFF2-40B4-BE49-F238E27FC236}">
              <a16:creationId xmlns:a16="http://schemas.microsoft.com/office/drawing/2014/main" id="{9B781514-F142-49A5-BB8C-98E772FF46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xdr:colOff>
      <xdr:row>16</xdr:row>
      <xdr:rowOff>28575</xdr:rowOff>
    </xdr:from>
    <xdr:to>
      <xdr:col>3</xdr:col>
      <xdr:colOff>457200</xdr:colOff>
      <xdr:row>27</xdr:row>
      <xdr:rowOff>123825</xdr:rowOff>
    </xdr:to>
    <xdr:graphicFrame macro="">
      <xdr:nvGraphicFramePr>
        <xdr:cNvPr id="69185" name="Gráfico 4">
          <a:extLst>
            <a:ext uri="{FF2B5EF4-FFF2-40B4-BE49-F238E27FC236}">
              <a16:creationId xmlns:a16="http://schemas.microsoft.com/office/drawing/2014/main" id="{F1BF886D-8D8C-489D-980F-D5383E1E77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542925</xdr:colOff>
      <xdr:row>16</xdr:row>
      <xdr:rowOff>38100</xdr:rowOff>
    </xdr:from>
    <xdr:to>
      <xdr:col>9</xdr:col>
      <xdr:colOff>19050</xdr:colOff>
      <xdr:row>27</xdr:row>
      <xdr:rowOff>104775</xdr:rowOff>
    </xdr:to>
    <xdr:graphicFrame macro="">
      <xdr:nvGraphicFramePr>
        <xdr:cNvPr id="69186" name="Gráfico 5">
          <a:extLst>
            <a:ext uri="{FF2B5EF4-FFF2-40B4-BE49-F238E27FC236}">
              <a16:creationId xmlns:a16="http://schemas.microsoft.com/office/drawing/2014/main" id="{AB6311A8-5D3E-4293-82B3-E0C5B246C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1</xdr:col>
      <xdr:colOff>0</xdr:colOff>
      <xdr:row>1048557</xdr:row>
      <xdr:rowOff>0</xdr:rowOff>
    </xdr:from>
    <xdr:ext cx="4621302" cy="2301177"/>
    <xdr:pic>
      <xdr:nvPicPr>
        <xdr:cNvPr id="2" name="Picture 1">
          <a:extLst>
            <a:ext uri="{FF2B5EF4-FFF2-40B4-BE49-F238E27FC236}">
              <a16:creationId xmlns:a16="http://schemas.microsoft.com/office/drawing/2014/main" id="{AFDD2A71-44D1-4424-A1D6-6C1CA78EBE93}"/>
            </a:ext>
          </a:extLst>
        </xdr:cNvPr>
        <xdr:cNvPicPr>
          <a:picLocks noChangeAspect="1"/>
        </xdr:cNvPicPr>
      </xdr:nvPicPr>
      <xdr:blipFill>
        <a:blip xmlns:r="http://schemas.openxmlformats.org/officeDocument/2006/relationships" r:embed="rId1"/>
        <a:stretch>
          <a:fillRect/>
        </a:stretch>
      </xdr:blipFill>
      <xdr:spPr>
        <a:xfrm>
          <a:off x="992909" y="193667172182"/>
          <a:ext cx="4621302" cy="2301177"/>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1</xdr:col>
      <xdr:colOff>27044</xdr:colOff>
      <xdr:row>33</xdr:row>
      <xdr:rowOff>16282</xdr:rowOff>
    </xdr:from>
    <xdr:to>
      <xdr:col>2</xdr:col>
      <xdr:colOff>216284</xdr:colOff>
      <xdr:row>49</xdr:row>
      <xdr:rowOff>49131</xdr:rowOff>
    </xdr:to>
    <xdr:pic>
      <xdr:nvPicPr>
        <xdr:cNvPr id="7" name="Picture 1">
          <a:extLst>
            <a:ext uri="{FF2B5EF4-FFF2-40B4-BE49-F238E27FC236}">
              <a16:creationId xmlns:a16="http://schemas.microsoft.com/office/drawing/2014/main" id="{7B5969DB-32BD-EFBD-09BF-FE442068010A}"/>
            </a:ext>
          </a:extLst>
        </xdr:cNvPr>
        <xdr:cNvPicPr>
          <a:picLocks noChangeAspect="1"/>
        </xdr:cNvPicPr>
      </xdr:nvPicPr>
      <xdr:blipFill>
        <a:blip xmlns:r="http://schemas.openxmlformats.org/officeDocument/2006/relationships" r:embed="rId1"/>
        <a:stretch>
          <a:fillRect/>
        </a:stretch>
      </xdr:blipFill>
      <xdr:spPr>
        <a:xfrm>
          <a:off x="108454" y="5362222"/>
          <a:ext cx="4437390" cy="2623650"/>
        </a:xfrm>
        <a:prstGeom prst="rect">
          <a:avLst/>
        </a:prstGeom>
      </xdr:spPr>
    </xdr:pic>
    <xdr:clientData/>
  </xdr:twoCellAnchor>
  <xdr:twoCellAnchor editAs="oneCell">
    <xdr:from>
      <xdr:col>3</xdr:col>
      <xdr:colOff>0</xdr:colOff>
      <xdr:row>34</xdr:row>
      <xdr:rowOff>157393</xdr:rowOff>
    </xdr:from>
    <xdr:to>
      <xdr:col>7</xdr:col>
      <xdr:colOff>805690</xdr:colOff>
      <xdr:row>41</xdr:row>
      <xdr:rowOff>127389</xdr:rowOff>
    </xdr:to>
    <xdr:pic>
      <xdr:nvPicPr>
        <xdr:cNvPr id="8" name="Picture 2">
          <a:extLst>
            <a:ext uri="{FF2B5EF4-FFF2-40B4-BE49-F238E27FC236}">
              <a16:creationId xmlns:a16="http://schemas.microsoft.com/office/drawing/2014/main" id="{EA6F871D-5FDB-2EAA-DFEE-160929373EEA}"/>
            </a:ext>
          </a:extLst>
        </xdr:cNvPr>
        <xdr:cNvPicPr>
          <a:picLocks noChangeAspect="1"/>
        </xdr:cNvPicPr>
      </xdr:nvPicPr>
      <xdr:blipFill>
        <a:blip xmlns:r="http://schemas.openxmlformats.org/officeDocument/2006/relationships" r:embed="rId2"/>
        <a:stretch>
          <a:fillRect/>
        </a:stretch>
      </xdr:blipFill>
      <xdr:spPr>
        <a:xfrm>
          <a:off x="4819487" y="5660726"/>
          <a:ext cx="3938357" cy="1103472"/>
        </a:xfrm>
        <a:prstGeom prst="rect">
          <a:avLst/>
        </a:prstGeom>
      </xdr:spPr>
    </xdr:pic>
    <xdr:clientData/>
  </xdr:twoCellAnchor>
  <xdr:twoCellAnchor editAs="oneCell">
    <xdr:from>
      <xdr:col>7</xdr:col>
      <xdr:colOff>903110</xdr:colOff>
      <xdr:row>33</xdr:row>
      <xdr:rowOff>105834</xdr:rowOff>
    </xdr:from>
    <xdr:to>
      <xdr:col>7</xdr:col>
      <xdr:colOff>5997041</xdr:colOff>
      <xdr:row>59</xdr:row>
      <xdr:rowOff>53807</xdr:rowOff>
    </xdr:to>
    <xdr:pic>
      <xdr:nvPicPr>
        <xdr:cNvPr id="2" name="Picture 1">
          <a:extLst>
            <a:ext uri="{FF2B5EF4-FFF2-40B4-BE49-F238E27FC236}">
              <a16:creationId xmlns:a16="http://schemas.microsoft.com/office/drawing/2014/main" id="{B9C83E58-1A94-C906-816F-38128C5E6081}"/>
            </a:ext>
          </a:extLst>
        </xdr:cNvPr>
        <xdr:cNvPicPr>
          <a:picLocks noChangeAspect="1"/>
        </xdr:cNvPicPr>
      </xdr:nvPicPr>
      <xdr:blipFill>
        <a:blip xmlns:r="http://schemas.openxmlformats.org/officeDocument/2006/relationships" r:embed="rId3"/>
        <a:stretch>
          <a:fillRect/>
        </a:stretch>
      </xdr:blipFill>
      <xdr:spPr>
        <a:xfrm>
          <a:off x="8798277" y="5545667"/>
          <a:ext cx="5093931" cy="4167197"/>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5">
  <rv s="0">
    <v>https://www.bing.com/financeapi/forcetrigger?t=a1wr3m&amp;q=XNAS%3aLAUR&amp;form=skydnc</v>
    <v>Learn more on Bing</v>
  </rv>
  <rv s="1">
    <v>pt-BR</v>
    <v>a1wr3m</v>
    <v>268435456</v>
    <v>1</v>
    <v>Da plataforma Refinitiv</v>
    <v>0</v>
    <v>1</v>
    <v>Laureate Edu (XNAS:LAUR)</v>
    <v>3</v>
    <v>4</v>
    <v>Finance</v>
    <v>5</v>
    <v>31.74</v>
    <v>15.15</v>
    <v>XNAS</v>
    <v>147363100</v>
    <v>30.38</v>
    <v>2015</v>
    <v>29.69</v>
    <v>0.63519999999999999</v>
    <v>Nasdaq Stock Market</v>
    <v>4441523834</v>
    <v>Laureate Education, Inc. operates a portfolio of degree-granting higher education institutions (Laureate International Universities network) in Mexico and Peru. The Laureate International Universities network offers a range of undergraduate and graduate degrees through campus-based, online and hybrid programs. The Company offers its educational services through two reportable segments: Mexico and Peru. It owns Universidad del Valle de Mexico (UVM) and Universidad Tecnologica de Mexico (UNITEC) in Mexico. It also owns the Universidad Peruana de Ciencias Aplicadas (UPC), Universidad Privada del Norte (UPN) and CIBERTEC institution in Peru. Its institutions in Mexico and Peru offer traditional higher education students a private education alternative, with multiple brands and price points in each market and program. The Company offers various programs, including medicine and health sciences, engineering and information technology, and business and management.</v>
    <v>XNAS</v>
    <v>29.79</v>
    <v>31800</v>
    <v>45945.664679003909</v>
    <v>0</v>
    <v>1186263</v>
    <v>USD</v>
    <v>Laureate Edu</v>
    <v>Laureate Edu</v>
    <v>17.814299999999999</v>
    <v>29.8</v>
    <v>30.14</v>
    <v>Pmb 1158, 1000 Brickell Ave., Suite 715, MIAMI, FL, 33131 US</v>
    <v>Miscellaneous Educational Service Providers</v>
    <v>LAUR</v>
    <v>Ações</v>
    <v>Laureate Edu (XNAS:LAUR)</v>
    <v>0.35</v>
    <v>1.1749000000000001E-2</v>
    <v>142827</v>
  </rv>
  <rv s="2">
    <v>1</v>
  </rv>
  <rv s="3">
    <v>0</v>
    <v>5</v>
  </rv>
  <rv s="3">
    <v>1</v>
    <v>5</v>
  </rv>
</rvData>
</file>

<file path=xl/richData/rdrichvaluestructure.xml><?xml version="1.0" encoding="utf-8"?>
<rvStructures xmlns="http://schemas.microsoft.com/office/spreadsheetml/2017/richdata" count="4">
  <s t="_hyperlink">
    <k n="Address" t="s"/>
    <k n="Text" t="s"/>
  </s>
  <s t="_linkedentitycore">
    <k n="%EntityCulture" t="s"/>
    <k n="%EntityId" t="s"/>
    <k n="%EntityServiceId"/>
    <k n="%IsRefreshable" t="b"/>
    <k n="%ProviderInfo" t="s"/>
    <k n="_CanonicalPropertyNames" t="spb"/>
    <k n="_Display" t="spb"/>
    <k n="_DisplayString" t="s"/>
    <k n="_Flags" t="spb"/>
    <k n="_Format" t="spb"/>
    <k n="_Icon" t="s"/>
    <k n="_SubLabel" t="spb"/>
    <k n="52 semanas de alta"/>
    <k n="52 semanas de baixa"/>
    <k n="Abreviatura do câmbio" t="s"/>
    <k n="Ações em circulaçã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
    <k n="Pendência"/>
    <k n="Preço"/>
    <k n="Sede" t="s"/>
    <k n="Setor" t="s"/>
    <k n="Símbolo do ticker" t="s"/>
    <k n="Tipo de instrumento" t="s"/>
    <k n="UniqueName" t="s"/>
    <k n="Variação"/>
    <k n="Variação (%)"/>
    <k n="Volume"/>
  </s>
  <s t="_linkedentity">
    <k n="%cvi" t="r"/>
  </s>
  <s t="_localImage">
    <k n="_rvRel:LocalImageIdentifier" t="i"/>
    <k n="CalcOrigin" t="i"/>
  </s>
</rvStructures>
</file>

<file path=xl/richData/rdsupportingpropertybag.xml><?xml version="1.0" encoding="utf-8"?>
<supportingPropertyBags xmlns="http://schemas.microsoft.com/office/spreadsheetml/2017/richdata2">
  <spbArrays count="1">
    <a count="43">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Ano de incorporação</v>
      <v t="s">_Flags</v>
      <v t="s">UniqueName</v>
      <v t="s">_DisplayString</v>
      <v t="s">LearnMoreOnLink</v>
      <v t="s">ExchangeID</v>
      <v t="s">%ProviderInfo</v>
    </a>
  </spbArrays>
  <spbData count="6">
    <spb s="0">
      <v>P/E</v>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spb>
    <spb s="1">
      <v>0</v>
      <v>Name</v>
      <v>LearnMoreOnLink</v>
    </spb>
    <spb s="2">
      <v>0</v>
      <v>0</v>
      <v>0</v>
    </spb>
    <spb s="3">
      <v>2</v>
      <v>2</v>
      <v>2</v>
      <v>2</v>
    </spb>
    <spb s="4">
      <v>1</v>
      <v>2</v>
      <v>1</v>
      <v>3</v>
      <v>2</v>
      <v>2</v>
      <v>4</v>
      <v>2</v>
      <v>2</v>
      <v>4</v>
      <v>5</v>
      <v>4</v>
      <v>6</v>
      <v>2</v>
      <v>2</v>
      <v>7</v>
      <v>4</v>
      <v>2</v>
      <v>8</v>
      <v>9</v>
    </spb>
    <spb s="5">
      <v>Tempo Real Nasdaq Última venda</v>
      <v xml:space="preserve">do fechamento anterior </v>
      <v>Origem : Nasdaq Última venda</v>
      <v xml:space="preserve">do fechamento anterior </v>
      <v>GMT</v>
    </spb>
  </spbData>
</supportingPropertyBags>
</file>

<file path=xl/richData/rdsupportingpropertybagstructure.xml><?xml version="1.0" encoding="utf-8"?>
<spbStructures xmlns="http://schemas.microsoft.com/office/spreadsheetml/2017/richdata2" count="6">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Order" t="spba"/>
    <k n="TitleProperty" t="s"/>
    <k n="SubTitleProperty" t="s"/>
  </s>
  <s>
    <k n="ShowInCardView" t="b"/>
    <k n="ShowInDotNotation" t="b"/>
    <k n="ShowInAutoComplete" t="b"/>
  </s>
  <s>
    <k n="ExchangeID" t="spb"/>
    <k n="UniqueName" t="spb"/>
    <k n="`%ProviderInfo" t="spb"/>
    <k n="LearnMoreOnLink" t="spb"/>
  </s>
  <s>
    <k n="P/E" t="i"/>
    <k n="Alto" t="i"/>
    <k n="Beta"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s>
  <s>
    <k n="Preço" t="s"/>
    <k n="Variação" t="s"/>
    <k n="ExchangeID" t="s"/>
    <k n="Variação (%)" t="s"/>
    <k n="Hora da última transação"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dd/mm/yyyy\ hh:mm"/>
    </x:dxf>
    <x:dxf>
      <x:numFmt numFmtId="14" formatCode="0.00%"/>
    </x:dxf>
    <x:dxf>
      <x:numFmt numFmtId="3" formatCode="#,##0"/>
    </x:dxf>
    <x:dxf>
      <x:numFmt numFmtId="4" formatCode="#,##0.00"/>
    </x:dxf>
    <x:dxf>
      <x:numFmt numFmtId="1" formatCode="0"/>
    </x:dxf>
  </dxfs>
  <richProperties>
    <rPr n="NumberFormat" t="s"/>
    <rPr n="IsTitleField" t="b"/>
  </richProperties>
  <richStyles>
    <rSty dxfid="5">
      <rpv i="0">#,##0.00</rpv>
    </rSty>
    <rSty dxfid="1">
      <rpv i="0">_([$$-en-US]* #,##0.00_);_([$$-en-US]* (#,##0.00);_([$$-en-US]* "-"??_);_(@_)</rpv>
    </rSty>
    <rSty>
      <rpv i="1">1</rpv>
    </rSty>
    <rSty dxfid="4">
      <rpv i="0">#,##0</rpv>
    </rSty>
    <rSty dxfid="3"/>
    <rSty dxfid="0">
      <rpv i="0">0.00</rpv>
    </rSty>
    <rSty dxfid="6">
      <rpv i="0">0</rpv>
    </rSty>
    <rSty dxfid="1">
      <rpv i="0">_([$$-en-US]* #,##0_);_([$$-en-US]* (#,##0);_([$$-en-US]* "-"_);_(@_)</rpv>
    </rSty>
    <rSty dxfid="2"/>
  </richStyles>
</richStyleSheet>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macrumors.com/guide/covid-19-coronavirus/" TargetMode="External"/><Relationship Id="rId2" Type="http://schemas.openxmlformats.org/officeDocument/2006/relationships/hyperlink" Target="https://glg.it/articles/how-might-the-wuhan-coronavirus-impact-apples-supply-chain/" TargetMode="External"/><Relationship Id="rId1" Type="http://schemas.openxmlformats.org/officeDocument/2006/relationships/hyperlink" Target="https://www.apple.com/newsroom/2020/03/apples-covid-19-response/" TargetMode="External"/><Relationship Id="rId5" Type="http://schemas.openxmlformats.org/officeDocument/2006/relationships/drawing" Target="../drawings/drawing2.xml"/><Relationship Id="rId4" Type="http://schemas.openxmlformats.org/officeDocument/2006/relationships/hyperlink" Target="https://www.cnbc.com/2020/02/18/the-significance-of-apples-coronavirus-warning.htm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hyperlink" Target="mailto:VPN*@i%25"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002060"/>
    <pageSetUpPr fitToPage="1"/>
  </sheetPr>
  <dimension ref="A1:BT61"/>
  <sheetViews>
    <sheetView showGridLines="0" tabSelected="1" zoomScale="70" zoomScaleNormal="70" workbookViewId="0">
      <selection activeCell="D4" sqref="D4:L5"/>
    </sheetView>
  </sheetViews>
  <sheetFormatPr defaultColWidth="11.28515625" defaultRowHeight="12.75" x14ac:dyDescent="0.2"/>
  <cols>
    <col min="1" max="1" width="0.28515625" customWidth="1"/>
    <col min="2" max="2" width="19" customWidth="1"/>
    <col min="3" max="3" width="29.28515625" customWidth="1"/>
    <col min="4" max="4" width="23.28515625" customWidth="1"/>
    <col min="5" max="5" width="15.28515625" customWidth="1"/>
    <col min="6" max="6" width="13.28515625" customWidth="1"/>
    <col min="7" max="7" width="14.28515625" customWidth="1"/>
    <col min="8" max="8" width="22.85546875" customWidth="1"/>
    <col min="9" max="9" width="17.28515625" customWidth="1"/>
    <col min="10" max="10" width="29.28515625" customWidth="1"/>
    <col min="11" max="11" width="20" customWidth="1"/>
    <col min="12" max="12" width="16.28515625" bestFit="1" customWidth="1"/>
    <col min="13" max="13" width="1" customWidth="1"/>
    <col min="14" max="14" width="7.28515625" style="19" customWidth="1"/>
    <col min="15" max="15" width="15.28515625" style="140" bestFit="1" customWidth="1"/>
    <col min="16" max="16" width="11.28515625" style="19"/>
    <col min="21" max="30" width="11.28515625" style="11" customWidth="1"/>
  </cols>
  <sheetData>
    <row r="1" spans="2:17" ht="3.75" customHeight="1" thickBot="1" x14ac:dyDescent="0.25"/>
    <row r="2" spans="2:17" ht="31.5" customHeight="1" x14ac:dyDescent="0.2">
      <c r="B2" s="410">
        <v>45761</v>
      </c>
      <c r="C2" s="96" t="s">
        <v>257</v>
      </c>
      <c r="D2" s="664" t="s">
        <v>541</v>
      </c>
      <c r="E2" s="682" t="e" vm="1">
        <v>#VALUE!</v>
      </c>
      <c r="F2" s="683"/>
      <c r="G2" s="683"/>
      <c r="H2" s="683"/>
      <c r="I2" s="683"/>
      <c r="J2" s="684"/>
      <c r="K2" s="93" t="str" cm="1">
        <f t="array" aca="1" ref="K2" ca="1">_FV(E2,"Bolsa")</f>
        <v>Nasdaq Stock Market</v>
      </c>
      <c r="L2" s="117" t="s">
        <v>172</v>
      </c>
    </row>
    <row r="3" spans="2:17" ht="33.75" customHeight="1" x14ac:dyDescent="0.2">
      <c r="B3" s="693" t="e" vm="2">
        <v>#VALUE!</v>
      </c>
      <c r="C3" s="694"/>
      <c r="D3" s="688" t="s">
        <v>542</v>
      </c>
      <c r="E3" s="695"/>
      <c r="F3" s="695"/>
      <c r="G3" s="695"/>
      <c r="H3" s="695"/>
      <c r="I3" s="695"/>
      <c r="J3" s="695"/>
      <c r="K3" s="695"/>
      <c r="L3" s="696"/>
      <c r="O3" s="19"/>
    </row>
    <row r="4" spans="2:17" ht="42.6" customHeight="1" x14ac:dyDescent="0.2">
      <c r="B4" s="693"/>
      <c r="C4" s="694"/>
      <c r="D4" s="688" t="s">
        <v>517</v>
      </c>
      <c r="E4" s="688"/>
      <c r="F4" s="688"/>
      <c r="G4" s="688"/>
      <c r="H4" s="688"/>
      <c r="I4" s="688"/>
      <c r="J4" s="688"/>
      <c r="K4" s="688"/>
      <c r="L4" s="689"/>
    </row>
    <row r="5" spans="2:17" ht="15.75" customHeight="1" x14ac:dyDescent="0.2">
      <c r="B5" s="690" t="s">
        <v>179</v>
      </c>
      <c r="C5" s="691"/>
      <c r="D5" s="688"/>
      <c r="E5" s="688"/>
      <c r="F5" s="688"/>
      <c r="G5" s="688"/>
      <c r="H5" s="688"/>
      <c r="I5" s="688"/>
      <c r="J5" s="688"/>
      <c r="K5" s="688"/>
      <c r="L5" s="689"/>
      <c r="N5" s="129"/>
    </row>
    <row r="6" spans="2:17" x14ac:dyDescent="0.2">
      <c r="B6" s="699" t="s">
        <v>104</v>
      </c>
      <c r="C6" s="697"/>
      <c r="D6" s="697" t="s">
        <v>169</v>
      </c>
      <c r="E6" s="697"/>
      <c r="F6" s="697" t="str">
        <f>Segments!B2</f>
        <v>Regions (2023)</v>
      </c>
      <c r="G6" s="697"/>
      <c r="H6" s="697"/>
      <c r="I6" s="697" t="s">
        <v>357</v>
      </c>
      <c r="J6" s="697"/>
      <c r="K6" s="697" t="s">
        <v>113</v>
      </c>
      <c r="L6" s="698"/>
    </row>
    <row r="7" spans="2:17" x14ac:dyDescent="0.2">
      <c r="B7" s="102" t="s">
        <v>35</v>
      </c>
      <c r="C7" s="100" cm="1">
        <f t="array" aca="1" ref="C7" ca="1">_FV(E2,"Preço")</f>
        <v>30.14</v>
      </c>
      <c r="D7" s="103" t="s">
        <v>150</v>
      </c>
      <c r="E7" s="94">
        <f>Cifras_Originales!B27</f>
        <v>1972.2370000000001</v>
      </c>
      <c r="F7" s="710"/>
      <c r="G7" s="711"/>
      <c r="H7" s="91" t="s">
        <v>181</v>
      </c>
      <c r="I7" s="98" t="s">
        <v>115</v>
      </c>
      <c r="J7" s="124">
        <v>46022</v>
      </c>
      <c r="K7" s="98" t="s">
        <v>26</v>
      </c>
      <c r="L7" s="126">
        <v>0.91</v>
      </c>
      <c r="Q7" s="97"/>
    </row>
    <row r="8" spans="2:17" ht="12.75" customHeight="1" x14ac:dyDescent="0.2">
      <c r="B8" s="102" t="s">
        <v>28</v>
      </c>
      <c r="C8" s="398" cm="1">
        <f t="array" aca="1" ref="C8" ca="1">_FV(E2,"Ações em circulação",TRUE)/1000000</f>
        <v>147.3631</v>
      </c>
      <c r="D8" s="98" t="s">
        <v>151</v>
      </c>
      <c r="E8" s="94">
        <f>Cifras_Originales!B39</f>
        <v>1196.482</v>
      </c>
      <c r="F8" s="703" t="str">
        <f>Segments!B4</f>
        <v>Mexico</v>
      </c>
      <c r="G8" s="703"/>
      <c r="H8" s="722" t="str">
        <f>+Segments!J4</f>
        <v>53%; NA; 27%</v>
      </c>
      <c r="I8" s="98"/>
      <c r="J8" s="97"/>
      <c r="K8" s="98" t="s">
        <v>2</v>
      </c>
      <c r="L8" s="127">
        <f>Cifras_Originales!B50</f>
        <v>2.3199999999999998E-2</v>
      </c>
      <c r="M8" s="11"/>
      <c r="O8" s="115"/>
      <c r="Q8" s="97"/>
    </row>
    <row r="9" spans="2:17" ht="12.75" customHeight="1" x14ac:dyDescent="0.2">
      <c r="B9" s="102" t="s">
        <v>29</v>
      </c>
      <c r="C9" s="94" cm="1">
        <f t="array" aca="1" ref="C9" ca="1">_FV(E2,"Capitalização de mercado",TRUE)/1000000</f>
        <v>4441.5238339999996</v>
      </c>
      <c r="D9" s="98" t="s">
        <v>37</v>
      </c>
      <c r="E9" s="142">
        <f ca="1">C11/C8</f>
        <v>0.57793979632621739</v>
      </c>
      <c r="F9" s="703"/>
      <c r="G9" s="703"/>
      <c r="H9" s="722"/>
      <c r="I9" s="98" t="s">
        <v>3</v>
      </c>
      <c r="J9" s="94">
        <v>262.26900000000001</v>
      </c>
      <c r="K9" s="61" t="s">
        <v>262</v>
      </c>
      <c r="L9" s="150">
        <f>0.89</f>
        <v>0.89</v>
      </c>
      <c r="O9" s="115"/>
      <c r="Q9" s="97"/>
    </row>
    <row r="10" spans="2:17" ht="12.75" customHeight="1" x14ac:dyDescent="0.2">
      <c r="B10" s="104" t="s">
        <v>36</v>
      </c>
      <c r="C10" s="94">
        <f>Cifras_Originales!B39</f>
        <v>1196.482</v>
      </c>
      <c r="D10" s="98" t="s">
        <v>62</v>
      </c>
      <c r="E10" s="125">
        <f>378.3/Cifras_Originales!B9</f>
        <v>4.3184931506849322</v>
      </c>
      <c r="F10" s="703" t="str">
        <f>Segments!B5</f>
        <v>Peru</v>
      </c>
      <c r="G10" s="703"/>
      <c r="H10" s="722" t="str">
        <f>+Segments!J5</f>
        <v>47%; NA; 12%</v>
      </c>
      <c r="I10" s="105" t="s">
        <v>4</v>
      </c>
      <c r="J10" s="94">
        <f>Cifras_Originales!C11</f>
        <v>59.131999999999998</v>
      </c>
      <c r="K10" s="672" t="s">
        <v>16</v>
      </c>
      <c r="L10" s="673" t="s">
        <v>543</v>
      </c>
      <c r="O10" s="115"/>
      <c r="Q10" s="97"/>
    </row>
    <row r="11" spans="2:17" ht="12.75" customHeight="1" x14ac:dyDescent="0.2">
      <c r="B11" s="104" t="s">
        <v>48</v>
      </c>
      <c r="C11" s="94">
        <f>Cifras_Originales!B22</f>
        <v>85.167000000000002</v>
      </c>
      <c r="D11" s="98" t="s">
        <v>67</v>
      </c>
      <c r="E11" s="143">
        <f>E8/378.3</f>
        <v>3.1627861485593445</v>
      </c>
      <c r="F11" s="703"/>
      <c r="G11" s="703"/>
      <c r="H11" s="722"/>
      <c r="I11" s="105" t="s">
        <v>5</v>
      </c>
      <c r="J11" s="94">
        <f>J9+J10</f>
        <v>321.40100000000001</v>
      </c>
      <c r="K11" s="98" t="s">
        <v>7</v>
      </c>
      <c r="L11" s="151">
        <v>3.02</v>
      </c>
      <c r="Q11" s="97"/>
    </row>
    <row r="12" spans="2:17" ht="12.75" customHeight="1" x14ac:dyDescent="0.2">
      <c r="B12" s="104" t="s">
        <v>47</v>
      </c>
      <c r="C12" s="94">
        <f ca="1">C9+C10-C11</f>
        <v>5552.8388339999992</v>
      </c>
      <c r="D12" s="672" t="s">
        <v>50</v>
      </c>
      <c r="E12" s="674">
        <f>Cifras_Originales!B26/OP!E7</f>
        <v>0.45779234442919381</v>
      </c>
      <c r="F12" s="703" t="str">
        <f>Segments!B6</f>
        <v>United States</v>
      </c>
      <c r="G12" s="703"/>
      <c r="H12" s="722" t="str">
        <f>+Segments!J6</f>
        <v>0%; NA; NA</v>
      </c>
      <c r="I12" s="98" t="s">
        <v>41</v>
      </c>
      <c r="J12" s="106">
        <f>Cifras_Originales!B16</f>
        <v>107.59</v>
      </c>
      <c r="K12" s="98" t="s">
        <v>46</v>
      </c>
      <c r="L12" s="155">
        <f>J18/E7</f>
        <v>-1.2121430301395487E-2</v>
      </c>
      <c r="Q12" s="97"/>
    </row>
    <row r="13" spans="2:17" ht="12.75" customHeight="1" x14ac:dyDescent="0.2">
      <c r="B13" s="104" t="s">
        <v>162</v>
      </c>
      <c r="C13" s="99" t="s">
        <v>422</v>
      </c>
      <c r="D13" s="98" t="s">
        <v>6</v>
      </c>
      <c r="E13" s="95">
        <f>C10/E7</f>
        <v>0.60666238388185589</v>
      </c>
      <c r="F13" s="703"/>
      <c r="G13" s="703"/>
      <c r="H13" s="722"/>
      <c r="I13" s="98" t="s">
        <v>42</v>
      </c>
      <c r="J13" s="100">
        <f ca="1">1000000*J12/C8</f>
        <v>730101.3618741734</v>
      </c>
      <c r="K13" s="98" t="s">
        <v>24</v>
      </c>
      <c r="L13" s="152">
        <f ca="1">C9/J17</f>
        <v>50.140535371381148</v>
      </c>
      <c r="N13" s="19">
        <f>C10/J11</f>
        <v>3.7227077700442748</v>
      </c>
      <c r="Q13" s="97"/>
    </row>
    <row r="14" spans="2:17" ht="12.75" customHeight="1" x14ac:dyDescent="0.2">
      <c r="B14" s="102" t="s">
        <v>140</v>
      </c>
      <c r="C14" s="8">
        <v>0.1</v>
      </c>
      <c r="D14" s="98" t="s">
        <v>55</v>
      </c>
      <c r="E14" s="145">
        <v>0.23100000000000001</v>
      </c>
      <c r="F14" s="662" t="str">
        <f>Segments!B7</f>
        <v>Other Foreign Countries</v>
      </c>
      <c r="G14" s="663"/>
      <c r="H14" s="109" t="str">
        <f>+Segments!J7</f>
        <v>NA; NA; NA</v>
      </c>
      <c r="I14" s="98" t="s">
        <v>56</v>
      </c>
      <c r="J14" s="149">
        <f>J12/E7</f>
        <v>5.4552267298504188E-2</v>
      </c>
      <c r="K14" s="98" t="s">
        <v>49</v>
      </c>
      <c r="L14" s="153">
        <f ca="1">C12/E7</f>
        <v>2.8155028193873246</v>
      </c>
      <c r="Q14" s="97"/>
    </row>
    <row r="15" spans="2:17" ht="12.75" customHeight="1" x14ac:dyDescent="0.2">
      <c r="B15" s="102" t="s">
        <v>137</v>
      </c>
      <c r="C15" s="399">
        <v>2.2800000000000001E-2</v>
      </c>
      <c r="D15" s="98" t="s">
        <v>38</v>
      </c>
      <c r="E15" s="144">
        <v>0.221</v>
      </c>
      <c r="F15" s="697" t="str">
        <f>Segments!B15</f>
        <v>Products (2023)</v>
      </c>
      <c r="G15" s="697"/>
      <c r="H15" s="697"/>
      <c r="I15" s="98" t="s">
        <v>129</v>
      </c>
      <c r="J15" s="149">
        <f>J12/(E7-(E8-C10))</f>
        <v>5.4552267298504188E-2</v>
      </c>
      <c r="K15" s="98" t="s">
        <v>51</v>
      </c>
      <c r="L15" s="154">
        <f ca="1">C12/J16</f>
        <v>22.445264923523006</v>
      </c>
      <c r="Q15" s="97"/>
    </row>
    <row r="16" spans="2:17" ht="12.75" customHeight="1" x14ac:dyDescent="0.2">
      <c r="B16" s="699" t="s">
        <v>128</v>
      </c>
      <c r="C16" s="697"/>
      <c r="D16" s="98" t="s">
        <v>39</v>
      </c>
      <c r="E16" s="95">
        <f>140.3/423.4</f>
        <v>0.33136513934813422</v>
      </c>
      <c r="F16" s="723" t="s">
        <v>540</v>
      </c>
      <c r="G16" s="724"/>
      <c r="H16" s="725"/>
      <c r="I16" s="98" t="s">
        <v>58</v>
      </c>
      <c r="J16" s="101">
        <f>AVERAGE(Cifras_en_Millones!B19:D19)</f>
        <v>247.39466666666667</v>
      </c>
      <c r="K16" s="98" t="s">
        <v>25</v>
      </c>
      <c r="L16" s="152">
        <f ca="1">C9/J18</f>
        <v>-185.78858464284218</v>
      </c>
      <c r="N16" s="111"/>
      <c r="Q16" s="97"/>
    </row>
    <row r="17" spans="1:72" ht="12.75" customHeight="1" x14ac:dyDescent="0.2">
      <c r="B17" s="66" t="s">
        <v>125</v>
      </c>
      <c r="C17" s="550"/>
      <c r="D17" s="98" t="s">
        <v>59</v>
      </c>
      <c r="E17" s="95">
        <f>Cifras_Originales!B9/(Cifras_Originales!B31+Cifras_Originales!B35)</f>
        <v>7.3214640922303884E-2</v>
      </c>
      <c r="F17" s="726"/>
      <c r="G17" s="727"/>
      <c r="H17" s="728"/>
      <c r="I17" s="98" t="s">
        <v>40</v>
      </c>
      <c r="J17" s="94">
        <f>AVERAGE(Cifras_en_Millones!B23:D23)</f>
        <v>88.581500000000005</v>
      </c>
      <c r="K17" s="98" t="s">
        <v>359</v>
      </c>
      <c r="L17" s="139" t="s">
        <v>358</v>
      </c>
      <c r="N17" s="19">
        <v>12</v>
      </c>
      <c r="Q17" s="97"/>
    </row>
    <row r="18" spans="1:72" ht="12.75" customHeight="1" x14ac:dyDescent="0.2">
      <c r="B18" s="66" t="s">
        <v>126</v>
      </c>
      <c r="C18" s="551"/>
      <c r="D18" s="629"/>
      <c r="E18" s="630"/>
      <c r="F18" s="726"/>
      <c r="G18" s="727"/>
      <c r="H18" s="728"/>
      <c r="I18" s="98" t="s">
        <v>121</v>
      </c>
      <c r="J18" s="94">
        <f>SUM(F35:F37)/3</f>
        <v>-23.906333333333333</v>
      </c>
      <c r="K18" s="98" t="s">
        <v>52</v>
      </c>
      <c r="L18" s="174">
        <f ca="1">SUM(E35:E37)/(3*C9)</f>
        <v>-7.7174864485934899E-2</v>
      </c>
      <c r="Q18" s="97"/>
    </row>
    <row r="19" spans="1:72" ht="12.75" customHeight="1" x14ac:dyDescent="0.2">
      <c r="B19" s="66" t="s">
        <v>127</v>
      </c>
      <c r="C19" s="551"/>
      <c r="D19" s="631" t="s">
        <v>259</v>
      </c>
      <c r="E19" s="632"/>
      <c r="F19" s="729"/>
      <c r="G19" s="730"/>
      <c r="H19" s="731"/>
      <c r="I19" s="98" t="s">
        <v>174</v>
      </c>
      <c r="J19" s="99">
        <v>0.16</v>
      </c>
      <c r="K19" s="98" t="s">
        <v>65</v>
      </c>
      <c r="L19" s="174">
        <v>0</v>
      </c>
      <c r="Q19" s="97"/>
      <c r="R19" s="19"/>
    </row>
    <row r="20" spans="1:72" ht="15" x14ac:dyDescent="0.25">
      <c r="B20" s="82" t="s">
        <v>45</v>
      </c>
      <c r="C20" s="83"/>
      <c r="D20" s="83"/>
      <c r="E20" s="83"/>
      <c r="F20" s="83"/>
      <c r="G20" s="83"/>
      <c r="H20" s="84" t="s">
        <v>154</v>
      </c>
      <c r="I20" s="721" t="s">
        <v>60</v>
      </c>
      <c r="J20" s="721"/>
      <c r="K20" s="721"/>
      <c r="L20" s="67" t="s">
        <v>61</v>
      </c>
      <c r="M20" s="18"/>
      <c r="N20" s="112"/>
      <c r="O20" s="141"/>
      <c r="P20" s="113"/>
      <c r="Q20" s="18"/>
      <c r="R20" s="18"/>
    </row>
    <row r="21" spans="1:72" ht="35.25" customHeight="1" x14ac:dyDescent="0.2">
      <c r="A21" s="97"/>
      <c r="B21" s="704" t="s">
        <v>516</v>
      </c>
      <c r="C21" s="705"/>
      <c r="D21" s="705"/>
      <c r="E21" s="705"/>
      <c r="F21" s="705"/>
      <c r="G21" s="706"/>
      <c r="H21" s="733" t="s">
        <v>158</v>
      </c>
      <c r="I21" s="712"/>
      <c r="J21" s="713"/>
      <c r="K21" s="714"/>
      <c r="L21" s="732">
        <f ca="1">DCFF!D66</f>
        <v>16.276883496546848</v>
      </c>
      <c r="M21" s="18"/>
      <c r="N21" s="113"/>
      <c r="O21" s="141"/>
      <c r="P21" s="113"/>
      <c r="Q21" s="18"/>
      <c r="R21" s="18"/>
    </row>
    <row r="22" spans="1:72" ht="35.25" customHeight="1" x14ac:dyDescent="0.2">
      <c r="B22" s="707"/>
      <c r="C22" s="708"/>
      <c r="D22" s="708"/>
      <c r="E22" s="708"/>
      <c r="F22" s="708"/>
      <c r="G22" s="709"/>
      <c r="H22" s="734"/>
      <c r="I22" s="715"/>
      <c r="J22" s="716"/>
      <c r="K22" s="717"/>
      <c r="L22" s="732"/>
      <c r="M22" s="18"/>
      <c r="N22" s="113"/>
      <c r="O22" s="141"/>
      <c r="P22" s="113"/>
      <c r="Q22" s="18"/>
      <c r="R22" s="18"/>
    </row>
    <row r="23" spans="1:72" x14ac:dyDescent="0.2">
      <c r="B23" s="685" t="s">
        <v>103</v>
      </c>
      <c r="C23" s="686"/>
      <c r="D23" s="686"/>
      <c r="E23" s="686"/>
      <c r="F23" s="686"/>
      <c r="G23" s="687"/>
      <c r="H23" s="62" t="s">
        <v>141</v>
      </c>
      <c r="I23" s="718"/>
      <c r="J23" s="719"/>
      <c r="K23" s="720"/>
      <c r="L23" s="692">
        <f ca="1">DCFF!D65</f>
        <v>-0.45995741550939462</v>
      </c>
      <c r="M23" s="18"/>
      <c r="N23" s="113"/>
      <c r="O23" s="141"/>
      <c r="P23" s="113"/>
      <c r="Q23" s="18"/>
      <c r="R23" s="18"/>
    </row>
    <row r="24" spans="1:72" ht="24.75" customHeight="1" x14ac:dyDescent="0.2">
      <c r="B24" s="700" t="s">
        <v>500</v>
      </c>
      <c r="C24" s="701"/>
      <c r="D24" s="701"/>
      <c r="E24" s="701"/>
      <c r="F24" s="701"/>
      <c r="G24" s="702"/>
      <c r="H24" s="85">
        <f ca="1">L21*0.85</f>
        <v>13.83535097206482</v>
      </c>
      <c r="I24" s="87" t="s">
        <v>106</v>
      </c>
      <c r="J24" s="88">
        <f>DCFF!D47</f>
        <v>9.2499999999999999E-2</v>
      </c>
      <c r="K24" s="89"/>
      <c r="L24" s="692"/>
      <c r="M24" s="18"/>
      <c r="N24" s="113"/>
      <c r="O24" s="141"/>
      <c r="P24" s="113"/>
      <c r="Q24" s="18"/>
      <c r="R24" s="18"/>
    </row>
    <row r="25" spans="1:72" x14ac:dyDescent="0.2">
      <c r="B25" s="68" t="s">
        <v>34</v>
      </c>
      <c r="C25" s="64" t="s">
        <v>0</v>
      </c>
      <c r="D25" s="64" t="s">
        <v>1</v>
      </c>
      <c r="E25" s="64" t="s">
        <v>105</v>
      </c>
      <c r="F25" s="64" t="s">
        <v>12</v>
      </c>
      <c r="G25" s="64" t="s">
        <v>6</v>
      </c>
      <c r="H25" s="681" t="s">
        <v>549</v>
      </c>
      <c r="I25" s="64" t="s">
        <v>155</v>
      </c>
      <c r="J25" s="697" t="s">
        <v>30</v>
      </c>
      <c r="K25" s="697"/>
      <c r="L25" s="698"/>
      <c r="Q25" s="17"/>
      <c r="R25" s="17"/>
      <c r="S25" s="20"/>
      <c r="T25" s="20"/>
    </row>
    <row r="26" spans="1:72" x14ac:dyDescent="0.2">
      <c r="B26" s="66">
        <v>2012</v>
      </c>
      <c r="C26" s="665">
        <f>Cifras_Originales!M6</f>
        <v>3567.1170000000002</v>
      </c>
      <c r="D26" s="666">
        <f>Cifras_Originales!M8/Cifras_Originales!M6</f>
        <v>8.6486930481955035E-2</v>
      </c>
      <c r="E26" s="665">
        <f>Cifras_Originales!M17</f>
        <v>-15.561</v>
      </c>
      <c r="F26" s="667">
        <v>-80.599999999999994</v>
      </c>
      <c r="G26" s="680"/>
      <c r="H26" s="680"/>
      <c r="I26" s="665">
        <v>-457.3</v>
      </c>
      <c r="J26" s="98"/>
      <c r="K26" s="65">
        <v>2024</v>
      </c>
      <c r="L26" s="69">
        <v>2023</v>
      </c>
      <c r="Q26" s="19"/>
      <c r="R26" s="19"/>
      <c r="S26" s="19"/>
      <c r="T26" s="20"/>
      <c r="W26" s="59"/>
    </row>
    <row r="27" spans="1:72" x14ac:dyDescent="0.2">
      <c r="B27" s="66">
        <f t="shared" ref="B27:B34" si="0">B26+1</f>
        <v>2013</v>
      </c>
      <c r="C27" s="665">
        <f>Cifras_Originales!L6</f>
        <v>3913.8809999999999</v>
      </c>
      <c r="D27" s="668">
        <f>Cifras_en_Millones!M12</f>
        <v>9.0507350632275232E-2</v>
      </c>
      <c r="E27" s="665">
        <f>Cifras_Originales!L17</f>
        <v>0</v>
      </c>
      <c r="F27" s="667">
        <v>132.30000000000001</v>
      </c>
      <c r="G27" s="680"/>
      <c r="H27" s="665">
        <f>Cifras_en_Millones!L17</f>
        <v>288.33100000000002</v>
      </c>
      <c r="I27" s="665">
        <v>-273.89999999999998</v>
      </c>
      <c r="J27" s="98" t="s">
        <v>66</v>
      </c>
      <c r="K27" s="94">
        <v>39.200000000000003</v>
      </c>
      <c r="L27" s="256">
        <v>26</v>
      </c>
      <c r="N27" s="114">
        <f t="shared" ref="N27:N34" si="1">C27/C26-1</f>
        <v>9.7211277342458713E-2</v>
      </c>
      <c r="O27" s="140">
        <f>D27/D26-1</f>
        <v>4.6485869343681152E-2</v>
      </c>
      <c r="Q27" s="19"/>
      <c r="R27" s="19"/>
      <c r="S27" s="19"/>
      <c r="T27" s="20"/>
    </row>
    <row r="28" spans="1:72" x14ac:dyDescent="0.2">
      <c r="B28" s="66">
        <f t="shared" si="0"/>
        <v>2014</v>
      </c>
      <c r="C28" s="665">
        <f>Cifras_Originales!K6</f>
        <v>4414.6819999999998</v>
      </c>
      <c r="D28" s="668">
        <f>Cifras_en_Millones!L12</f>
        <v>9.6334911551953242E-2</v>
      </c>
      <c r="E28" s="665">
        <f>Cifras_Originales!K17</f>
        <v>-8.3810000000000002</v>
      </c>
      <c r="F28" s="667">
        <v>-98.3</v>
      </c>
      <c r="G28" s="666">
        <f>Cifras_en_Millones!L61</f>
        <v>0.48715919896677506</v>
      </c>
      <c r="H28" s="665">
        <f>Cifras_en_Millones!L17</f>
        <v>288.33100000000002</v>
      </c>
      <c r="I28" s="665">
        <v>-148.5</v>
      </c>
      <c r="J28" s="98" t="s">
        <v>263</v>
      </c>
      <c r="K28" s="94">
        <v>90.263000000000005</v>
      </c>
      <c r="L28" s="256">
        <f>117.987-26.87</f>
        <v>91.11699999999999</v>
      </c>
      <c r="N28" s="114">
        <f t="shared" si="1"/>
        <v>0.12795509112310777</v>
      </c>
      <c r="O28" s="140">
        <f>D28/D27-1</f>
        <v>6.4387708611148842E-2</v>
      </c>
      <c r="P28" s="19" t="e">
        <f t="shared" ref="O28:Q34" si="2">E28/E27-1</f>
        <v>#DIV/0!</v>
      </c>
      <c r="Q28" s="19">
        <f t="shared" si="2"/>
        <v>-1.7430083144368858</v>
      </c>
      <c r="R28" s="19">
        <f t="shared" ref="R28:R30" si="3">H28/H27-1</f>
        <v>0</v>
      </c>
      <c r="S28" s="19">
        <f t="shared" ref="S28:S31" si="4">I28/I27-1</f>
        <v>-0.45783132530120474</v>
      </c>
      <c r="T28" s="19"/>
      <c r="BT28">
        <v>4303</v>
      </c>
    </row>
    <row r="29" spans="1:72" x14ac:dyDescent="0.2">
      <c r="B29" s="66">
        <f t="shared" si="0"/>
        <v>2015</v>
      </c>
      <c r="C29" s="665">
        <f>Cifras_Originales!J6</f>
        <v>4291.6589999999997</v>
      </c>
      <c r="D29" s="668">
        <f>Cifras_en_Millones!K12</f>
        <v>7.851439268590539E-2</v>
      </c>
      <c r="E29" s="665">
        <f>Cifras_Originales!J17</f>
        <v>-23.053999999999998</v>
      </c>
      <c r="F29" s="667">
        <v>-2.9</v>
      </c>
      <c r="G29" s="666">
        <f>Cifras_en_Millones!K61</f>
        <v>0.5154273094153291</v>
      </c>
      <c r="H29" s="665">
        <f>Cifras_en_Millones!K17</f>
        <v>282.94600000000003</v>
      </c>
      <c r="I29" s="665">
        <v>-358.9</v>
      </c>
      <c r="J29" t="s">
        <v>264</v>
      </c>
      <c r="K29" s="94">
        <v>-52.2</v>
      </c>
      <c r="L29" s="256">
        <v>-177</v>
      </c>
      <c r="M29" s="15"/>
      <c r="N29" s="114">
        <f t="shared" si="1"/>
        <v>-2.7866786327984672E-2</v>
      </c>
      <c r="O29" s="140">
        <f t="shared" si="2"/>
        <v>-0.18498505452446778</v>
      </c>
      <c r="P29" s="19">
        <f t="shared" si="2"/>
        <v>1.7507457343992363</v>
      </c>
      <c r="Q29" s="19">
        <f t="shared" si="2"/>
        <v>-0.97049847405900302</v>
      </c>
      <c r="R29" s="19">
        <f t="shared" si="3"/>
        <v>-1.8676451716950315E-2</v>
      </c>
      <c r="S29" s="19">
        <f t="shared" si="4"/>
        <v>1.4168350168350168</v>
      </c>
      <c r="T29" s="19"/>
      <c r="BT29">
        <v>3066</v>
      </c>
    </row>
    <row r="30" spans="1:72" x14ac:dyDescent="0.2">
      <c r="B30" s="66">
        <f t="shared" si="0"/>
        <v>2016</v>
      </c>
      <c r="C30" s="665">
        <f>Cifras_Originales!I6</f>
        <v>4244.192</v>
      </c>
      <c r="D30" s="668">
        <f>Cifras_en_Millones!J12</f>
        <v>9.5744490352934086E-2</v>
      </c>
      <c r="E30" s="665">
        <f>Cifras_Originales!I17</f>
        <v>-2.1589999999999998</v>
      </c>
      <c r="F30" s="667">
        <v>6.3</v>
      </c>
      <c r="G30" s="666">
        <f>Cifras_en_Millones!J61</f>
        <v>0.6064279680542688</v>
      </c>
      <c r="H30" s="665">
        <f>Cifras_en_Millones!J17</f>
        <v>264.87900000000002</v>
      </c>
      <c r="I30" s="665">
        <v>-256.7</v>
      </c>
      <c r="J30" s="98" t="s">
        <v>31</v>
      </c>
      <c r="K30" s="94">
        <v>30.346</v>
      </c>
      <c r="L30" s="256">
        <v>2044.192</v>
      </c>
      <c r="N30" s="114">
        <f t="shared" si="1"/>
        <v>-1.1060291602850936E-2</v>
      </c>
      <c r="O30" s="140">
        <f t="shared" si="2"/>
        <v>0.21945145440985847</v>
      </c>
      <c r="P30" s="19">
        <f t="shared" ref="P30:Q34" si="5">E30/E29-1</f>
        <v>-0.90635030797258609</v>
      </c>
      <c r="Q30" s="19">
        <f t="shared" si="5"/>
        <v>-3.1724137931034484</v>
      </c>
      <c r="R30" s="19">
        <f t="shared" si="3"/>
        <v>-6.3853173397043994E-2</v>
      </c>
      <c r="S30" s="19">
        <f t="shared" si="4"/>
        <v>-0.28475898578991365</v>
      </c>
      <c r="T30" s="19"/>
      <c r="BT30">
        <v>3283</v>
      </c>
    </row>
    <row r="31" spans="1:72" x14ac:dyDescent="0.2">
      <c r="B31" s="66">
        <f t="shared" si="0"/>
        <v>2017</v>
      </c>
      <c r="C31" s="665">
        <f>Cifras_Originales!H6</f>
        <v>3385.8760000000002</v>
      </c>
      <c r="D31" s="668">
        <f>Cifras_en_Millones!I12</f>
        <v>0.10316798370643225</v>
      </c>
      <c r="E31" s="665">
        <v>-19.370999999999999</v>
      </c>
      <c r="F31" s="667">
        <f>2898.836-3038.946</f>
        <v>-140.11000000000013</v>
      </c>
      <c r="G31" s="666">
        <f>Cifras_en_Millones!I61</f>
        <v>0.5161279269150878</v>
      </c>
      <c r="H31" s="665">
        <f>Cifras_en_Millones!I17</f>
        <v>264.74200000000002</v>
      </c>
      <c r="I31" s="665">
        <v>-217.6</v>
      </c>
      <c r="J31" s="118" t="s">
        <v>117</v>
      </c>
      <c r="K31" s="94">
        <f>Cifras_Originales!C13</f>
        <v>30.658000000000001</v>
      </c>
      <c r="L31" s="552">
        <f>Cifras_Originales!D13</f>
        <v>2100.3760000000002</v>
      </c>
      <c r="N31" s="114">
        <f t="shared" si="1"/>
        <v>-0.20223307522374101</v>
      </c>
      <c r="O31" s="140">
        <f t="shared" si="2"/>
        <v>7.7534418180446929E-2</v>
      </c>
      <c r="P31" s="19">
        <f>E32/E30-1</f>
        <v>4.1426586382584532</v>
      </c>
      <c r="Q31" s="19">
        <f>F37/F30-1</f>
        <v>-15.232698412698413</v>
      </c>
      <c r="R31" s="19">
        <f>H37/H30-1</f>
        <v>-0.73717055712230872</v>
      </c>
      <c r="S31" s="19">
        <f t="shared" si="4"/>
        <v>-0.15231788079470199</v>
      </c>
      <c r="T31" s="19"/>
    </row>
    <row r="32" spans="1:72" x14ac:dyDescent="0.2">
      <c r="B32" s="66">
        <f t="shared" si="0"/>
        <v>2018</v>
      </c>
      <c r="C32" s="665">
        <f>Cifras_Originales!G6</f>
        <v>3290.2130000000002</v>
      </c>
      <c r="D32" s="668">
        <f>Cifras_en_Millones!H12</f>
        <v>0.11843306193246456</v>
      </c>
      <c r="E32" s="665">
        <f>-11.103</f>
        <v>-11.103</v>
      </c>
      <c r="F32" s="667">
        <f>485.47-867.915</f>
        <v>-382.44499999999994</v>
      </c>
      <c r="G32" s="666">
        <f>Cifras_en_Millones!H61</f>
        <v>0.4022840412729316</v>
      </c>
      <c r="H32" s="665">
        <f>Cifras_en_Millones!H17</f>
        <v>239.99799999999999</v>
      </c>
      <c r="I32" s="665">
        <v>-168.2</v>
      </c>
      <c r="J32" s="118" t="s">
        <v>118</v>
      </c>
      <c r="K32" s="94">
        <v>583.49300000000005</v>
      </c>
      <c r="L32" s="256">
        <v>546.79499999999996</v>
      </c>
      <c r="M32" s="16"/>
      <c r="N32" s="114">
        <f t="shared" si="1"/>
        <v>-2.8253545020550108E-2</v>
      </c>
      <c r="O32" s="140">
        <f t="shared" si="2"/>
        <v>0.14796332813355706</v>
      </c>
      <c r="P32" s="19" t="e">
        <f>#REF!/E32-1</f>
        <v>#REF!</v>
      </c>
      <c r="Q32" s="19">
        <f>F36/F37-1</f>
        <v>-1.6975665246581759</v>
      </c>
      <c r="R32" s="19">
        <f>H36/H37-1</f>
        <v>-0.1506219655836134</v>
      </c>
      <c r="S32" s="19" t="e">
        <f>#REF!/I31-1</f>
        <v>#REF!</v>
      </c>
      <c r="T32" s="19"/>
    </row>
    <row r="33" spans="2:72" x14ac:dyDescent="0.2">
      <c r="B33" s="66">
        <f t="shared" si="0"/>
        <v>2019</v>
      </c>
      <c r="C33" s="665">
        <f>Cifras_Originales!F6</f>
        <v>1212.07</v>
      </c>
      <c r="D33" s="668">
        <f>Cifras_en_Millones!G12</f>
        <v>-0.51298522362569821</v>
      </c>
      <c r="E33" s="665">
        <v>-99.253</v>
      </c>
      <c r="F33" s="667">
        <f>1123.179-2507.79</f>
        <v>-1384.6109999999999</v>
      </c>
      <c r="G33" s="666">
        <f>Cifras_en_Millones!G61</f>
        <v>0.38406348583587063</v>
      </c>
      <c r="H33" s="665">
        <f>Cifras_en_Millones!G17</f>
        <v>193.35599999999999</v>
      </c>
      <c r="I33" s="665">
        <v>-71.7</v>
      </c>
      <c r="J33" s="103" t="s">
        <v>119</v>
      </c>
      <c r="K33" s="94">
        <f>Cifras_Originales!C17</f>
        <v>0</v>
      </c>
      <c r="L33" s="256">
        <f>Cifras_Originales!D17</f>
        <v>0</v>
      </c>
      <c r="N33" s="114">
        <f t="shared" si="1"/>
        <v>-0.63161351559914203</v>
      </c>
      <c r="O33" s="140">
        <f t="shared" si="2"/>
        <v>-5.3314359626894019</v>
      </c>
      <c r="P33" s="19" t="e">
        <f>E33/#REF!-1</f>
        <v>#REF!</v>
      </c>
      <c r="Q33" s="19">
        <f>F33/F36-1</f>
        <v>-23.13677495683315</v>
      </c>
      <c r="R33" s="19">
        <f>H35/H36-1</f>
        <v>0.71105323682608401</v>
      </c>
      <c r="S33" s="19" t="e">
        <f>#REF!/#REF!-1</f>
        <v>#REF!</v>
      </c>
      <c r="T33" s="19"/>
    </row>
    <row r="34" spans="2:72" x14ac:dyDescent="0.2">
      <c r="B34" s="66">
        <f t="shared" si="0"/>
        <v>2020</v>
      </c>
      <c r="C34" s="665">
        <f>Cifras_Originales!E6</f>
        <v>1024.9169999999999</v>
      </c>
      <c r="D34" s="668">
        <f>DCFF!D7</f>
        <v>9.4481797062591411E-2</v>
      </c>
      <c r="E34" s="665">
        <v>-264.02999999999997</v>
      </c>
      <c r="F34" s="667">
        <f>-74.624+14.538</f>
        <v>-60.085999999999999</v>
      </c>
      <c r="G34" s="666">
        <f>Cifras_en_Millones!F61</f>
        <v>0.25623854850584699</v>
      </c>
      <c r="H34" s="665">
        <f>Cifras_en_Millones!F17</f>
        <v>143.51599999999999</v>
      </c>
      <c r="I34" s="665">
        <v>-40.299999999999997</v>
      </c>
      <c r="J34" s="103" t="s">
        <v>120</v>
      </c>
      <c r="K34" s="94">
        <v>-282.2</v>
      </c>
      <c r="L34" s="256">
        <v>-380.5</v>
      </c>
      <c r="N34" s="114">
        <f t="shared" si="1"/>
        <v>-0.15440774872738372</v>
      </c>
      <c r="O34" s="140">
        <f t="shared" si="2"/>
        <v>-1.1841803481098521</v>
      </c>
      <c r="P34" s="19">
        <f t="shared" si="5"/>
        <v>1.6601714809627919</v>
      </c>
      <c r="Q34" s="19">
        <f t="shared" si="5"/>
        <v>-0.956604418136213</v>
      </c>
      <c r="R34" s="19">
        <f>H33/H35-1</f>
        <v>0.91104785625333573</v>
      </c>
      <c r="S34" s="19" t="e">
        <f>#REF!/#REF!-1</f>
        <v>#REF!</v>
      </c>
      <c r="T34" s="19"/>
      <c r="W34" s="59"/>
      <c r="BT34" s="7"/>
    </row>
    <row r="35" spans="2:72" x14ac:dyDescent="0.2">
      <c r="B35" s="66">
        <f t="shared" ref="B35:B37" si="6">B34+1</f>
        <v>2021</v>
      </c>
      <c r="C35" s="665">
        <f>Cifras_Originales!D6</f>
        <v>1086.701</v>
      </c>
      <c r="D35" s="666">
        <f>DCFF!E7</f>
        <v>0.1323758789216169</v>
      </c>
      <c r="E35" s="665">
        <v>-380.505</v>
      </c>
      <c r="F35" s="667">
        <f>-50.444+5.843</f>
        <v>-44.600999999999999</v>
      </c>
      <c r="G35" s="666">
        <f>Cifras_en_Millones!E61</f>
        <v>0.28656133081896329</v>
      </c>
      <c r="H35" s="665">
        <f>Cifras_en_Millones!E17</f>
        <v>101.178</v>
      </c>
      <c r="I35" s="665">
        <v>-45</v>
      </c>
      <c r="J35" s="103" t="s">
        <v>265</v>
      </c>
      <c r="K35" s="94">
        <v>146.946</v>
      </c>
      <c r="L35" s="256">
        <v>-171.131</v>
      </c>
      <c r="N35" s="114">
        <f t="shared" ref="N35:N37" si="7">C35/C34-1</f>
        <v>6.0281954538757843E-2</v>
      </c>
      <c r="O35" s="140">
        <f t="shared" ref="O35" si="8">D35/D34-1</f>
        <v>0.40107283135101435</v>
      </c>
      <c r="P35" s="19">
        <f t="shared" ref="P35" si="9">E35/E34-1</f>
        <v>0.44114305192591763</v>
      </c>
      <c r="Q35" s="19">
        <f t="shared" ref="Q35" si="10">F35/F34-1</f>
        <v>-0.25771394334786801</v>
      </c>
      <c r="R35" s="19">
        <f>H34/H33-1</f>
        <v>-0.25776288297234118</v>
      </c>
      <c r="S35" s="19" t="e">
        <f>#REF!/#REF!-1</f>
        <v>#REF!</v>
      </c>
      <c r="T35" s="19"/>
      <c r="W35" s="59"/>
      <c r="BT35" s="7"/>
    </row>
    <row r="36" spans="2:72" x14ac:dyDescent="0.2">
      <c r="B36" s="66">
        <f t="shared" si="6"/>
        <v>2022</v>
      </c>
      <c r="C36" s="665">
        <f>Cifras_Originales!C6</f>
        <v>1242.271</v>
      </c>
      <c r="D36" s="668">
        <f>DCFF!F7</f>
        <v>0.2180780200133465</v>
      </c>
      <c r="E36" s="665">
        <f>-282.151-253.188</f>
        <v>-535.33899999999994</v>
      </c>
      <c r="F36" s="667">
        <f>496.253-433.705</f>
        <v>62.548000000000002</v>
      </c>
      <c r="G36" s="666">
        <f>Cifras_en_Millones!D61</f>
        <v>0.2374606002776635</v>
      </c>
      <c r="H36" s="665">
        <f>Cifras_en_Millones!D17</f>
        <v>59.131999999999998</v>
      </c>
      <c r="I36" s="665">
        <v>-53.1</v>
      </c>
      <c r="J36" s="103" t="s">
        <v>266</v>
      </c>
      <c r="K36" s="94">
        <v>0</v>
      </c>
      <c r="L36" s="256">
        <v>0</v>
      </c>
      <c r="N36" s="114">
        <f t="shared" si="7"/>
        <v>0.14315805359523903</v>
      </c>
      <c r="O36" s="140">
        <f>D36/D35-1</f>
        <v>0.64741508641824397</v>
      </c>
      <c r="Q36" s="19"/>
      <c r="R36" s="19"/>
      <c r="S36" s="19"/>
      <c r="T36" s="19"/>
      <c r="W36" s="59"/>
      <c r="BT36" s="7"/>
    </row>
    <row r="37" spans="2:72" x14ac:dyDescent="0.2">
      <c r="B37" s="66">
        <f t="shared" si="6"/>
        <v>2023</v>
      </c>
      <c r="C37" s="665">
        <f>Cifras_Originales!B6</f>
        <v>1484.288</v>
      </c>
      <c r="D37" s="668">
        <f>DCFF!G7</f>
        <v>0.23036095420834773</v>
      </c>
      <c r="E37" s="665">
        <v>-112.47799999999999</v>
      </c>
      <c r="F37" s="667">
        <f>153.772-243.438</f>
        <v>-89.665999999999997</v>
      </c>
      <c r="G37" s="666">
        <f>Cifras_en_Millones!C61</f>
        <v>0.30320595344271506</v>
      </c>
      <c r="H37" s="665">
        <f>Cifras_en_Millones!C17</f>
        <v>69.617999999999995</v>
      </c>
      <c r="I37" s="665">
        <v>-56.5</v>
      </c>
      <c r="J37" s="634"/>
      <c r="K37" s="633"/>
      <c r="L37" s="635"/>
      <c r="N37" s="114">
        <f t="shared" si="7"/>
        <v>0.19481819989358207</v>
      </c>
      <c r="O37" s="140">
        <f>D37/D36-1</f>
        <v>5.6323577196131458E-2</v>
      </c>
      <c r="Q37" s="19"/>
      <c r="R37" s="19"/>
      <c r="S37" s="19"/>
      <c r="T37" s="19"/>
      <c r="W37" s="59"/>
      <c r="BT37" s="7"/>
    </row>
    <row r="38" spans="2:72" x14ac:dyDescent="0.2">
      <c r="B38" s="252" t="s">
        <v>408</v>
      </c>
      <c r="C38" s="253">
        <f>DCFF!H6</f>
        <v>1566.6000000000001</v>
      </c>
      <c r="D38" s="266">
        <f>DCFF!H7</f>
        <v>0.22500000000000001</v>
      </c>
      <c r="E38" s="254"/>
      <c r="F38" s="253"/>
      <c r="G38" s="255"/>
      <c r="H38" s="553"/>
      <c r="I38" s="253"/>
      <c r="J38" s="634"/>
      <c r="K38" s="633"/>
      <c r="L38" s="635"/>
      <c r="N38" s="114"/>
      <c r="Q38" s="19"/>
      <c r="R38" s="19"/>
      <c r="S38" s="19"/>
      <c r="T38" s="19"/>
      <c r="W38" s="59"/>
      <c r="BT38" s="7"/>
    </row>
    <row r="39" spans="2:72" x14ac:dyDescent="0.2">
      <c r="B39" s="119" t="s">
        <v>177</v>
      </c>
      <c r="C39" s="669">
        <f>(C37/C32)^(1/5)-1</f>
        <v>-0.14717714132317561</v>
      </c>
      <c r="D39" s="669">
        <f>(D37/D31)^(1/6)-1</f>
        <v>0.1432573118750986</v>
      </c>
      <c r="E39" s="670"/>
      <c r="F39" s="669"/>
      <c r="G39" s="670"/>
      <c r="H39" s="669"/>
      <c r="I39" s="670"/>
      <c r="J39" s="98" t="s">
        <v>122</v>
      </c>
      <c r="K39" s="94">
        <v>0</v>
      </c>
      <c r="L39" s="256">
        <v>0</v>
      </c>
      <c r="N39" s="115"/>
      <c r="Q39" s="19"/>
      <c r="R39" s="19"/>
      <c r="S39" s="19"/>
      <c r="T39" s="19"/>
      <c r="W39" s="57"/>
    </row>
    <row r="40" spans="2:72" x14ac:dyDescent="0.2">
      <c r="B40" s="70" t="s">
        <v>8</v>
      </c>
      <c r="C40" s="669">
        <f>AVERAGE(N27:N37)</f>
        <v>-3.927367145531882E-2</v>
      </c>
      <c r="D40" s="669">
        <f>AVERAGE(O32:O37)</f>
        <v>-0.87714024795005108</v>
      </c>
      <c r="E40" s="670"/>
      <c r="F40" s="669"/>
      <c r="G40" s="670"/>
      <c r="H40" s="669"/>
      <c r="I40" s="670"/>
      <c r="J40" s="63" t="s">
        <v>32</v>
      </c>
      <c r="K40" s="257">
        <f>K28+K29+K30+K33+K34+K35+K36+K39</f>
        <v>-66.844999999999999</v>
      </c>
      <c r="L40" s="258">
        <f>L28+L29+L30+L33+L34+L35+L36+L39</f>
        <v>1406.6779999999999</v>
      </c>
      <c r="N40" s="115"/>
      <c r="Q40" s="19"/>
      <c r="R40" s="19"/>
      <c r="S40" s="20"/>
      <c r="T40" s="20"/>
    </row>
    <row r="41" spans="2:72" x14ac:dyDescent="0.2">
      <c r="B41" s="70" t="s">
        <v>20</v>
      </c>
      <c r="C41" s="669">
        <f>STDEV(C26:C37)/AVERAGE(C26:C37)</f>
        <v>0.51273910320310889</v>
      </c>
      <c r="D41" s="669">
        <f>STDEV(D31:D37)/AVERAGE(D31:D37)</f>
        <v>4.6714487858561444</v>
      </c>
      <c r="E41" s="670"/>
      <c r="F41" s="669"/>
      <c r="G41" s="670"/>
      <c r="H41" s="669"/>
      <c r="I41" s="670"/>
      <c r="J41" s="259" t="s">
        <v>33</v>
      </c>
      <c r="K41" s="260">
        <f>SUM(H33:H37)/(C37-C32)</f>
        <v>-0.31385578027880445</v>
      </c>
      <c r="L41" s="261" t="e">
        <f>(SUM(H33:H37)-SUM(#REF!))/(C37-C32)</f>
        <v>#REF!</v>
      </c>
      <c r="M41" s="7"/>
      <c r="N41" s="130"/>
      <c r="Q41" s="19"/>
      <c r="R41" s="19"/>
      <c r="S41" s="20"/>
      <c r="T41" s="20"/>
    </row>
    <row r="42" spans="2:72" ht="13.5" thickBot="1" x14ac:dyDescent="0.25">
      <c r="B42" s="70" t="s">
        <v>27</v>
      </c>
      <c r="C42" s="669">
        <f>C37/C36-1</f>
        <v>0.19481819989358207</v>
      </c>
      <c r="D42" s="669">
        <f>D37/D36-1</f>
        <v>5.6323577196131458E-2</v>
      </c>
      <c r="E42" s="670"/>
      <c r="F42" s="669"/>
      <c r="G42" s="670"/>
      <c r="H42" s="669"/>
      <c r="I42" s="671"/>
      <c r="J42" s="637" t="s">
        <v>124</v>
      </c>
      <c r="K42" s="638">
        <f>K41/E14</f>
        <v>-1.3586830315099758</v>
      </c>
      <c r="L42" s="639" t="e">
        <f>L41/E14</f>
        <v>#REF!</v>
      </c>
      <c r="Q42" s="19"/>
      <c r="R42" s="19"/>
      <c r="S42" s="20"/>
      <c r="T42" s="20"/>
    </row>
    <row r="43" spans="2:72" ht="13.15" customHeight="1" x14ac:dyDescent="0.2">
      <c r="B43" s="685" t="s">
        <v>455</v>
      </c>
      <c r="C43" s="686"/>
      <c r="D43" s="686"/>
      <c r="E43" s="686"/>
      <c r="F43" s="686"/>
      <c r="G43" s="686"/>
      <c r="H43" s="686"/>
      <c r="I43" s="738" t="e" vm="3">
        <v>#VALUE!</v>
      </c>
      <c r="J43" s="739"/>
      <c r="K43" s="739"/>
      <c r="L43" s="740"/>
      <c r="M43" s="18"/>
      <c r="N43" s="113"/>
    </row>
    <row r="44" spans="2:72" ht="18.75" customHeight="1" x14ac:dyDescent="0.2">
      <c r="B44" s="747" t="s">
        <v>457</v>
      </c>
      <c r="C44" s="748"/>
      <c r="D44" s="748"/>
      <c r="E44" s="748"/>
      <c r="F44" s="748"/>
      <c r="G44" s="748"/>
      <c r="H44" s="748"/>
      <c r="I44" s="741"/>
      <c r="J44" s="742"/>
      <c r="K44" s="742"/>
      <c r="L44" s="743"/>
      <c r="M44" s="18"/>
      <c r="N44" s="113"/>
    </row>
    <row r="45" spans="2:72" x14ac:dyDescent="0.2">
      <c r="B45" s="685" t="s">
        <v>456</v>
      </c>
      <c r="C45" s="686"/>
      <c r="D45" s="686"/>
      <c r="E45" s="686"/>
      <c r="F45" s="686"/>
      <c r="G45" s="686"/>
      <c r="H45" s="686"/>
      <c r="I45" s="741"/>
      <c r="J45" s="742"/>
      <c r="K45" s="742"/>
      <c r="L45" s="743"/>
      <c r="M45" s="18"/>
      <c r="N45" s="113"/>
    </row>
    <row r="46" spans="2:72" ht="19.5" customHeight="1" x14ac:dyDescent="0.2">
      <c r="B46" s="747" t="s">
        <v>458</v>
      </c>
      <c r="C46" s="748"/>
      <c r="D46" s="748"/>
      <c r="E46" s="748"/>
      <c r="F46" s="748"/>
      <c r="G46" s="748"/>
      <c r="H46" s="748"/>
      <c r="I46" s="741"/>
      <c r="J46" s="742"/>
      <c r="K46" s="742"/>
      <c r="L46" s="743"/>
      <c r="M46" s="18"/>
      <c r="N46" s="113"/>
    </row>
    <row r="47" spans="2:72" x14ac:dyDescent="0.2">
      <c r="B47" s="685" t="s">
        <v>43</v>
      </c>
      <c r="C47" s="686"/>
      <c r="D47" s="686"/>
      <c r="E47" s="686"/>
      <c r="F47" s="686"/>
      <c r="G47" s="686"/>
      <c r="H47" s="686"/>
      <c r="I47" s="741"/>
      <c r="J47" s="742"/>
      <c r="K47" s="742"/>
      <c r="L47" s="743"/>
      <c r="M47" s="18"/>
      <c r="N47" s="113"/>
    </row>
    <row r="48" spans="2:72" ht="20.25" customHeight="1" x14ac:dyDescent="0.2">
      <c r="B48" s="752" t="s">
        <v>459</v>
      </c>
      <c r="C48" s="753"/>
      <c r="D48" s="753"/>
      <c r="E48" s="753"/>
      <c r="F48" s="753"/>
      <c r="G48" s="753"/>
      <c r="H48" s="754"/>
      <c r="I48" s="741"/>
      <c r="J48" s="742"/>
      <c r="K48" s="742"/>
      <c r="L48" s="743"/>
      <c r="M48" s="18"/>
      <c r="N48" s="113"/>
    </row>
    <row r="49" spans="2:18" x14ac:dyDescent="0.2">
      <c r="B49" s="735" t="s">
        <v>44</v>
      </c>
      <c r="C49" s="736"/>
      <c r="D49" s="736"/>
      <c r="E49" s="736"/>
      <c r="F49" s="736"/>
      <c r="G49" s="736"/>
      <c r="H49" s="737"/>
      <c r="I49" s="741"/>
      <c r="J49" s="742"/>
      <c r="K49" s="742"/>
      <c r="L49" s="743"/>
    </row>
    <row r="50" spans="2:18" ht="13.5" customHeight="1" x14ac:dyDescent="0.2">
      <c r="B50" s="752" t="s">
        <v>460</v>
      </c>
      <c r="C50" s="753"/>
      <c r="D50" s="753"/>
      <c r="E50" s="753"/>
      <c r="F50" s="753"/>
      <c r="G50" s="753"/>
      <c r="H50" s="754"/>
      <c r="I50" s="741"/>
      <c r="J50" s="742"/>
      <c r="K50" s="742"/>
      <c r="L50" s="743"/>
    </row>
    <row r="51" spans="2:18" x14ac:dyDescent="0.2">
      <c r="B51" s="749" t="s">
        <v>146</v>
      </c>
      <c r="C51" s="750"/>
      <c r="D51" s="750"/>
      <c r="E51" s="750"/>
      <c r="F51" s="750"/>
      <c r="G51" s="750"/>
      <c r="H51" s="751"/>
      <c r="I51" s="741"/>
      <c r="J51" s="742"/>
      <c r="K51" s="742"/>
      <c r="L51" s="743"/>
      <c r="M51" s="18"/>
      <c r="N51" s="113"/>
      <c r="O51" s="141"/>
      <c r="P51" s="113"/>
      <c r="Q51" s="18"/>
      <c r="R51" s="18"/>
    </row>
    <row r="52" spans="2:18" s="11" customFormat="1" ht="12.95" customHeight="1" thickBot="1" x14ac:dyDescent="0.25">
      <c r="B52" s="400" t="s">
        <v>10</v>
      </c>
      <c r="C52" s="401" t="s">
        <v>131</v>
      </c>
      <c r="D52" s="401" t="s">
        <v>130</v>
      </c>
      <c r="E52" s="401" t="s">
        <v>147</v>
      </c>
      <c r="F52" s="401" t="s">
        <v>148</v>
      </c>
      <c r="G52" s="401" t="s">
        <v>103</v>
      </c>
      <c r="H52" s="636" t="s">
        <v>149</v>
      </c>
      <c r="I52" s="744"/>
      <c r="J52" s="745"/>
      <c r="K52" s="745"/>
      <c r="L52" s="746"/>
      <c r="M52" s="18"/>
      <c r="N52" s="113"/>
      <c r="O52" s="141"/>
      <c r="P52" s="113"/>
      <c r="Q52" s="18"/>
      <c r="R52" s="18"/>
    </row>
    <row r="53" spans="2:18" x14ac:dyDescent="0.2">
      <c r="B53" s="22" t="s">
        <v>107</v>
      </c>
    </row>
    <row r="54" spans="2:18" x14ac:dyDescent="0.2">
      <c r="B54" s="56" t="s">
        <v>123</v>
      </c>
      <c r="C54" s="11"/>
      <c r="D54" s="11"/>
      <c r="E54" s="11"/>
      <c r="F54" s="11"/>
      <c r="G54" s="11"/>
      <c r="H54" s="11"/>
    </row>
    <row r="55" spans="2:18" x14ac:dyDescent="0.2">
      <c r="B55" s="97"/>
      <c r="C55" s="179"/>
      <c r="D55" s="179"/>
      <c r="E55" s="179"/>
      <c r="F55" s="179"/>
      <c r="G55" s="179"/>
      <c r="H55" s="179"/>
    </row>
    <row r="56" spans="2:18" x14ac:dyDescent="0.2">
      <c r="B56" s="445"/>
      <c r="C56" s="445"/>
      <c r="D56" s="445"/>
      <c r="E56" s="445"/>
      <c r="F56" s="445"/>
      <c r="G56" s="445"/>
      <c r="H56" s="445"/>
      <c r="I56" s="177"/>
      <c r="J56" s="177"/>
      <c r="K56" s="177"/>
      <c r="L56" s="177"/>
      <c r="M56" s="177"/>
    </row>
    <row r="57" spans="2:18" x14ac:dyDescent="0.2">
      <c r="B57" s="156"/>
      <c r="C57" s="131"/>
      <c r="D57" s="131"/>
      <c r="E57" s="131"/>
      <c r="F57" s="131"/>
      <c r="G57" s="131"/>
      <c r="H57" s="131"/>
      <c r="I57" s="177"/>
      <c r="J57" s="177"/>
      <c r="K57" s="177"/>
      <c r="L57" s="177"/>
      <c r="M57" s="177"/>
    </row>
    <row r="58" spans="2:18" x14ac:dyDescent="0.2">
      <c r="B58" s="176"/>
      <c r="C58" s="177"/>
      <c r="D58" s="177"/>
      <c r="E58" s="177"/>
      <c r="F58" s="177"/>
      <c r="G58" s="177"/>
      <c r="H58" s="177"/>
      <c r="I58" s="179"/>
      <c r="J58" s="179"/>
      <c r="K58" s="179"/>
      <c r="L58" s="179"/>
      <c r="M58" s="179"/>
    </row>
    <row r="59" spans="2:18" x14ac:dyDescent="0.2">
      <c r="B59" s="178"/>
      <c r="C59" s="177"/>
      <c r="D59" s="177"/>
      <c r="E59" s="177"/>
      <c r="F59" s="177"/>
      <c r="G59" s="177"/>
      <c r="H59" s="177"/>
      <c r="I59" s="445"/>
      <c r="J59" s="445"/>
      <c r="K59" s="445"/>
      <c r="L59" s="445"/>
      <c r="M59" s="177"/>
    </row>
    <row r="60" spans="2:18" x14ac:dyDescent="0.2">
      <c r="B60" s="178"/>
      <c r="C60" s="177"/>
      <c r="D60" s="177"/>
      <c r="E60" s="177"/>
      <c r="F60" s="177"/>
      <c r="G60" s="177"/>
      <c r="H60" s="177"/>
      <c r="I60" s="131"/>
      <c r="J60" s="131"/>
      <c r="K60" s="131"/>
      <c r="L60" s="131"/>
      <c r="M60" s="131"/>
    </row>
    <row r="61" spans="2:18" x14ac:dyDescent="0.2">
      <c r="B61" s="97"/>
    </row>
  </sheetData>
  <mergeCells count="39">
    <mergeCell ref="B43:H43"/>
    <mergeCell ref="L21:L22"/>
    <mergeCell ref="J25:L25"/>
    <mergeCell ref="H21:H22"/>
    <mergeCell ref="B49:H49"/>
    <mergeCell ref="I43:L52"/>
    <mergeCell ref="B47:H47"/>
    <mergeCell ref="B45:H45"/>
    <mergeCell ref="B44:H44"/>
    <mergeCell ref="B46:H46"/>
    <mergeCell ref="B51:H51"/>
    <mergeCell ref="B50:H50"/>
    <mergeCell ref="B48:H48"/>
    <mergeCell ref="F7:G7"/>
    <mergeCell ref="F15:H15"/>
    <mergeCell ref="I21:K23"/>
    <mergeCell ref="I20:K20"/>
    <mergeCell ref="F10:G11"/>
    <mergeCell ref="F8:G9"/>
    <mergeCell ref="H12:H13"/>
    <mergeCell ref="H10:H11"/>
    <mergeCell ref="H8:H9"/>
    <mergeCell ref="F16:H19"/>
    <mergeCell ref="E2:J2"/>
    <mergeCell ref="B23:G23"/>
    <mergeCell ref="D4:L5"/>
    <mergeCell ref="B5:C5"/>
    <mergeCell ref="L23:L24"/>
    <mergeCell ref="B3:C4"/>
    <mergeCell ref="D3:L3"/>
    <mergeCell ref="K6:L6"/>
    <mergeCell ref="B6:C6"/>
    <mergeCell ref="B24:G24"/>
    <mergeCell ref="B16:C16"/>
    <mergeCell ref="I6:J6"/>
    <mergeCell ref="D6:E6"/>
    <mergeCell ref="F6:H6"/>
    <mergeCell ref="F12:G13"/>
    <mergeCell ref="B21:G22"/>
  </mergeCells>
  <phoneticPr fontId="0" type="noConversion"/>
  <conditionalFormatting sqref="C26:C37 D26:E26 D35:E35">
    <cfRule type="dataBar" priority="6">
      <dataBar>
        <cfvo type="min"/>
        <cfvo type="max"/>
        <color rgb="FF63C384"/>
      </dataBar>
      <extLst>
        <ext xmlns:x14="http://schemas.microsoft.com/office/spreadsheetml/2009/9/main" uri="{B025F937-C7B1-47D3-B67F-A62EFF666E3E}">
          <x14:id>{C39E9216-0C74-41F7-8F8A-A6B4C795EF60}</x14:id>
        </ext>
      </extLst>
    </cfRule>
  </conditionalFormatting>
  <conditionalFormatting sqref="D26:D37">
    <cfRule type="dataBar" priority="5">
      <dataBar>
        <cfvo type="min"/>
        <cfvo type="max"/>
        <color rgb="FF638EC6"/>
      </dataBar>
      <extLst>
        <ext xmlns:x14="http://schemas.microsoft.com/office/spreadsheetml/2009/9/main" uri="{B025F937-C7B1-47D3-B67F-A62EFF666E3E}">
          <x14:id>{B4692E91-075F-4A04-B072-F2BFD8DE6603}</x14:id>
        </ext>
      </extLst>
    </cfRule>
  </conditionalFormatting>
  <conditionalFormatting sqref="D27:D34 D36:D37">
    <cfRule type="dataBar" priority="10">
      <dataBar>
        <cfvo type="min"/>
        <cfvo type="max"/>
        <color rgb="FF638EC6"/>
      </dataBar>
      <extLst>
        <ext xmlns:x14="http://schemas.microsoft.com/office/spreadsheetml/2009/9/main" uri="{B025F937-C7B1-47D3-B67F-A62EFF666E3E}">
          <x14:id>{96B8966F-CEBF-4F52-BC5D-AC5CDED56D97}</x14:id>
        </ext>
      </extLst>
    </cfRule>
    <cfRule type="dataBar" priority="12">
      <dataBar>
        <cfvo type="min"/>
        <cfvo type="max"/>
        <color rgb="FF63C384"/>
      </dataBar>
      <extLst>
        <ext xmlns:x14="http://schemas.microsoft.com/office/spreadsheetml/2009/9/main" uri="{B025F937-C7B1-47D3-B67F-A62EFF666E3E}">
          <x14:id>{6BAB7BAD-AFAC-440F-B1CA-C80214A5AE31}</x14:id>
        </ext>
      </extLst>
    </cfRule>
  </conditionalFormatting>
  <conditionalFormatting sqref="E26:E37">
    <cfRule type="dataBar" priority="4">
      <dataBar>
        <cfvo type="min"/>
        <cfvo type="max"/>
        <color rgb="FFFF555A"/>
      </dataBar>
      <extLst>
        <ext xmlns:x14="http://schemas.microsoft.com/office/spreadsheetml/2009/9/main" uri="{B025F937-C7B1-47D3-B67F-A62EFF666E3E}">
          <x14:id>{AD2D3D59-E3C8-4502-8DC1-9D2F8EF61BD2}</x14:id>
        </ext>
      </extLst>
    </cfRule>
  </conditionalFormatting>
  <conditionalFormatting sqref="E27:E34 E36:E37">
    <cfRule type="dataBar" priority="7">
      <dataBar>
        <cfvo type="min"/>
        <cfvo type="max"/>
        <color rgb="FF63C384"/>
      </dataBar>
      <extLst>
        <ext xmlns:x14="http://schemas.microsoft.com/office/spreadsheetml/2009/9/main" uri="{B025F937-C7B1-47D3-B67F-A62EFF666E3E}">
          <x14:id>{2A4C0017-4B2F-4B28-8602-57290E761426}</x14:id>
        </ext>
      </extLst>
    </cfRule>
  </conditionalFormatting>
  <conditionalFormatting sqref="E39:E42 G39:G42 I39:I42">
    <cfRule type="dataBar" priority="2">
      <dataBar>
        <cfvo type="min"/>
        <cfvo type="max"/>
        <color rgb="FF638EC6"/>
      </dataBar>
      <extLst>
        <ext xmlns:x14="http://schemas.microsoft.com/office/spreadsheetml/2009/9/main" uri="{B025F937-C7B1-47D3-B67F-A62EFF666E3E}">
          <x14:id>{0541766F-FC0A-4B4D-8370-6E3AB991EA49}</x14:id>
        </ext>
      </extLst>
    </cfRule>
    <cfRule type="dataBar" priority="3">
      <dataBar>
        <cfvo type="min"/>
        <cfvo type="max"/>
        <color rgb="FF63C384"/>
      </dataBar>
      <extLst>
        <ext xmlns:x14="http://schemas.microsoft.com/office/spreadsheetml/2009/9/main" uri="{B025F937-C7B1-47D3-B67F-A62EFF666E3E}">
          <x14:id>{945F8BCD-8D39-427E-AA96-87395B211AB5}</x14:id>
        </ext>
      </extLst>
    </cfRule>
  </conditionalFormatting>
  <conditionalFormatting sqref="F26:F37">
    <cfRule type="dataBar" priority="9">
      <dataBar>
        <cfvo type="min"/>
        <cfvo type="max"/>
        <color rgb="FF63C384"/>
      </dataBar>
      <extLst>
        <ext xmlns:x14="http://schemas.microsoft.com/office/spreadsheetml/2009/9/main" uri="{B025F937-C7B1-47D3-B67F-A62EFF666E3E}">
          <x14:id>{09D572AD-8496-460B-AA7D-64C6539777C3}</x14:id>
        </ext>
      </extLst>
    </cfRule>
  </conditionalFormatting>
  <conditionalFormatting sqref="G26:G37">
    <cfRule type="dataBar" priority="11">
      <dataBar>
        <cfvo type="min"/>
        <cfvo type="max"/>
        <color rgb="FF63C384"/>
      </dataBar>
      <extLst>
        <ext xmlns:x14="http://schemas.microsoft.com/office/spreadsheetml/2009/9/main" uri="{B025F937-C7B1-47D3-B67F-A62EFF666E3E}">
          <x14:id>{FA589D70-CF0D-49BB-AC94-D7B843862C74}</x14:id>
        </ext>
      </extLst>
    </cfRule>
  </conditionalFormatting>
  <conditionalFormatting sqref="H26">
    <cfRule type="dataBar" priority="1">
      <dataBar>
        <cfvo type="min"/>
        <cfvo type="max"/>
        <color rgb="FF63C384"/>
      </dataBar>
      <extLst>
        <ext xmlns:x14="http://schemas.microsoft.com/office/spreadsheetml/2009/9/main" uri="{B025F937-C7B1-47D3-B67F-A62EFF666E3E}">
          <x14:id>{4D9C1B4B-84AC-40CA-9003-6AE8A17AE230}</x14:id>
        </ext>
      </extLst>
    </cfRule>
  </conditionalFormatting>
  <conditionalFormatting sqref="H27:H37">
    <cfRule type="dataBar" priority="13">
      <dataBar>
        <cfvo type="min"/>
        <cfvo type="max"/>
        <color rgb="FF63C384"/>
      </dataBar>
      <extLst>
        <ext xmlns:x14="http://schemas.microsoft.com/office/spreadsheetml/2009/9/main" uri="{B025F937-C7B1-47D3-B67F-A62EFF666E3E}">
          <x14:id>{D441861C-078B-4D30-85F5-A51CD17E957B}</x14:id>
        </ext>
      </extLst>
    </cfRule>
  </conditionalFormatting>
  <conditionalFormatting sqref="I26:I37">
    <cfRule type="dataBar" priority="8">
      <dataBar>
        <cfvo type="min"/>
        <cfvo type="max"/>
        <color rgb="FF63C384"/>
      </dataBar>
      <extLst>
        <ext xmlns:x14="http://schemas.microsoft.com/office/spreadsheetml/2009/9/main" uri="{B025F937-C7B1-47D3-B67F-A62EFF666E3E}">
          <x14:id>{57C1D5EF-EFED-43D8-A0D0-612A1240131E}</x14:id>
        </ext>
      </extLst>
    </cfRule>
  </conditionalFormatting>
  <printOptions horizontalCentered="1" verticalCentered="1"/>
  <pageMargins left="0" right="0" top="0.19685039370078741" bottom="0.19685039370078741" header="0" footer="0"/>
  <pageSetup paperSize="134" scale="65" orientation="landscape" r:id="rId1"/>
  <headerFooter alignWithMargins="0"/>
  <ignoredErrors>
    <ignoredError sqref="P28:P30 N28" evalError="1"/>
  </ignoredErrors>
  <drawing r:id="rId2"/>
  <legacyDrawing r:id="rId3"/>
  <extLst>
    <ext xmlns:x14="http://schemas.microsoft.com/office/spreadsheetml/2009/9/main" uri="{78C0D931-6437-407d-A8EE-F0AAD7539E65}">
      <x14:conditionalFormattings>
        <x14:conditionalFormatting xmlns:xm="http://schemas.microsoft.com/office/excel/2006/main">
          <x14:cfRule type="dataBar" id="{C39E9216-0C74-41F7-8F8A-A6B4C795EF60}">
            <x14:dataBar minLength="0" maxLength="100" border="1" negativeBarBorderColorSameAsPositive="0">
              <x14:cfvo type="autoMin"/>
              <x14:cfvo type="autoMax"/>
              <x14:borderColor rgb="FF63C384"/>
              <x14:negativeFillColor rgb="FFFF0000"/>
              <x14:negativeBorderColor rgb="FFFF0000"/>
              <x14:axisColor rgb="FF000000"/>
            </x14:dataBar>
          </x14:cfRule>
          <xm:sqref>C26:C37 D26:E26 D35:E35</xm:sqref>
        </x14:conditionalFormatting>
        <x14:conditionalFormatting xmlns:xm="http://schemas.microsoft.com/office/excel/2006/main">
          <x14:cfRule type="dataBar" id="{B4692E91-075F-4A04-B072-F2BFD8DE6603}">
            <x14:dataBar minLength="0" maxLength="100" gradient="0">
              <x14:cfvo type="autoMin"/>
              <x14:cfvo type="autoMax"/>
              <x14:negativeFillColor rgb="FFFF0000"/>
              <x14:axisColor rgb="FF000000"/>
            </x14:dataBar>
          </x14:cfRule>
          <xm:sqref>D26:D37</xm:sqref>
        </x14:conditionalFormatting>
        <x14:conditionalFormatting xmlns:xm="http://schemas.microsoft.com/office/excel/2006/main">
          <x14:cfRule type="dataBar" id="{96B8966F-CEBF-4F52-BC5D-AC5CDED56D97}">
            <x14:dataBar minLength="0" maxLength="100" gradient="0">
              <x14:cfvo type="autoMin"/>
              <x14:cfvo type="autoMax"/>
              <x14:negativeFillColor rgb="FFFF0000"/>
              <x14:axisColor rgb="FF000000"/>
            </x14:dataBar>
          </x14:cfRule>
          <x14:cfRule type="dataBar" id="{6BAB7BAD-AFAC-440F-B1CA-C80214A5AE31}">
            <x14:dataBar minLength="0" maxLength="100" gradient="0">
              <x14:cfvo type="autoMin"/>
              <x14:cfvo type="autoMax"/>
              <x14:negativeFillColor rgb="FFFF0000"/>
              <x14:axisColor rgb="FF000000"/>
            </x14:dataBar>
          </x14:cfRule>
          <xm:sqref>D27:D34 D36:D37</xm:sqref>
        </x14:conditionalFormatting>
        <x14:conditionalFormatting xmlns:xm="http://schemas.microsoft.com/office/excel/2006/main">
          <x14:cfRule type="dataBar" id="{AD2D3D59-E3C8-4502-8DC1-9D2F8EF61BD2}">
            <x14:dataBar minLength="0" maxLength="100" border="1" negativeBarBorderColorSameAsPositive="0">
              <x14:cfvo type="autoMin"/>
              <x14:cfvo type="autoMax"/>
              <x14:borderColor rgb="FFFF555A"/>
              <x14:negativeFillColor rgb="FFFF0000"/>
              <x14:negativeBorderColor rgb="FFFF0000"/>
              <x14:axisColor rgb="FF000000"/>
            </x14:dataBar>
          </x14:cfRule>
          <xm:sqref>E26:E37</xm:sqref>
        </x14:conditionalFormatting>
        <x14:conditionalFormatting xmlns:xm="http://schemas.microsoft.com/office/excel/2006/main">
          <x14:cfRule type="dataBar" id="{2A4C0017-4B2F-4B28-8602-57290E761426}">
            <x14:dataBar minLength="0" maxLength="100" border="1" negativeBarBorderColorSameAsPositive="0">
              <x14:cfvo type="autoMin"/>
              <x14:cfvo type="autoMax"/>
              <x14:borderColor rgb="FF63C384"/>
              <x14:negativeFillColor rgb="FFFF0000"/>
              <x14:negativeBorderColor rgb="FFFF0000"/>
              <x14:axisColor rgb="FF000000"/>
            </x14:dataBar>
          </x14:cfRule>
          <xm:sqref>E27:E34 E36:E37</xm:sqref>
        </x14:conditionalFormatting>
        <x14:conditionalFormatting xmlns:xm="http://schemas.microsoft.com/office/excel/2006/main">
          <x14:cfRule type="dataBar" id="{0541766F-FC0A-4B4D-8370-6E3AB991EA49}">
            <x14:dataBar minLength="0" maxLength="100" gradient="0">
              <x14:cfvo type="autoMin"/>
              <x14:cfvo type="autoMax"/>
              <x14:negativeFillColor rgb="FFFF0000"/>
              <x14:axisColor rgb="FF000000"/>
            </x14:dataBar>
          </x14:cfRule>
          <x14:cfRule type="dataBar" id="{945F8BCD-8D39-427E-AA96-87395B211AB5}">
            <x14:dataBar minLength="0" maxLength="100" gradient="0">
              <x14:cfvo type="autoMin"/>
              <x14:cfvo type="autoMax"/>
              <x14:negativeFillColor rgb="FFFF0000"/>
              <x14:axisColor rgb="FF000000"/>
            </x14:dataBar>
          </x14:cfRule>
          <xm:sqref>E39:E42 G39:G42 I39:I42</xm:sqref>
        </x14:conditionalFormatting>
        <x14:conditionalFormatting xmlns:xm="http://schemas.microsoft.com/office/excel/2006/main">
          <x14:cfRule type="dataBar" id="{09D572AD-8496-460B-AA7D-64C6539777C3}">
            <x14:dataBar minLength="0" maxLength="100" gradient="0">
              <x14:cfvo type="autoMin"/>
              <x14:cfvo type="autoMax"/>
              <x14:negativeFillColor rgb="FFFF0000"/>
              <x14:axisColor rgb="FF000000"/>
            </x14:dataBar>
          </x14:cfRule>
          <xm:sqref>F26:F37</xm:sqref>
        </x14:conditionalFormatting>
        <x14:conditionalFormatting xmlns:xm="http://schemas.microsoft.com/office/excel/2006/main">
          <x14:cfRule type="dataBar" id="{FA589D70-CF0D-49BB-AC94-D7B843862C74}">
            <x14:dataBar minLength="0" maxLength="100" border="1" negativeBarBorderColorSameAsPositive="0">
              <x14:cfvo type="autoMin"/>
              <x14:cfvo type="autoMax"/>
              <x14:borderColor rgb="FF63C384"/>
              <x14:negativeFillColor rgb="FFFF0000"/>
              <x14:negativeBorderColor rgb="FFFF0000"/>
              <x14:axisColor rgb="FF000000"/>
            </x14:dataBar>
          </x14:cfRule>
          <xm:sqref>G26:G37</xm:sqref>
        </x14:conditionalFormatting>
        <x14:conditionalFormatting xmlns:xm="http://schemas.microsoft.com/office/excel/2006/main">
          <x14:cfRule type="dataBar" id="{4D9C1B4B-84AC-40CA-9003-6AE8A17AE230}">
            <x14:dataBar minLength="0" maxLength="100" border="1" negativeBarBorderColorSameAsPositive="0">
              <x14:cfvo type="autoMin"/>
              <x14:cfvo type="autoMax"/>
              <x14:borderColor rgb="FF63C384"/>
              <x14:negativeFillColor rgb="FFFF0000"/>
              <x14:negativeBorderColor rgb="FFFF0000"/>
              <x14:axisColor rgb="FF000000"/>
            </x14:dataBar>
          </x14:cfRule>
          <xm:sqref>H26</xm:sqref>
        </x14:conditionalFormatting>
        <x14:conditionalFormatting xmlns:xm="http://schemas.microsoft.com/office/excel/2006/main">
          <x14:cfRule type="dataBar" id="{D441861C-078B-4D30-85F5-A51CD17E957B}">
            <x14:dataBar minLength="0" maxLength="100" border="1" negativeBarBorderColorSameAsPositive="0">
              <x14:cfvo type="autoMin"/>
              <x14:cfvo type="autoMax"/>
              <x14:borderColor rgb="FF63C384"/>
              <x14:negativeFillColor rgb="FFFF0000"/>
              <x14:negativeBorderColor rgb="FFFF0000"/>
              <x14:axisColor rgb="FF000000"/>
            </x14:dataBar>
          </x14:cfRule>
          <xm:sqref>H27:H37</xm:sqref>
        </x14:conditionalFormatting>
        <x14:conditionalFormatting xmlns:xm="http://schemas.microsoft.com/office/excel/2006/main">
          <x14:cfRule type="dataBar" id="{57C1D5EF-EFED-43D8-A0D0-612A1240131E}">
            <x14:dataBar minLength="0" maxLength="100" border="1" negativeBarBorderColorSameAsPositive="0">
              <x14:cfvo type="autoMin"/>
              <x14:cfvo type="autoMax"/>
              <x14:borderColor rgb="FF63C384"/>
              <x14:negativeFillColor rgb="FFFF0000"/>
              <x14:negativeBorderColor rgb="FFFF0000"/>
              <x14:axisColor rgb="FF000000"/>
            </x14:dataBar>
          </x14:cfRule>
          <xm:sqref>I26:I37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Acuerdo!$A$1:$A$6</xm:f>
          </x14:formula1>
          <xm:sqref>H21:H22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14999847407452621"/>
  </sheetPr>
  <dimension ref="A1:N24"/>
  <sheetViews>
    <sheetView showGridLines="0" workbookViewId="0">
      <selection activeCell="A24" sqref="A24"/>
    </sheetView>
  </sheetViews>
  <sheetFormatPr defaultColWidth="11.28515625" defaultRowHeight="12.75" x14ac:dyDescent="0.2"/>
  <sheetData>
    <row r="1" spans="1:14" x14ac:dyDescent="0.2">
      <c r="A1" s="175" t="s">
        <v>184</v>
      </c>
      <c r="G1" s="175" t="s">
        <v>185</v>
      </c>
      <c r="N1" s="175" t="s">
        <v>186</v>
      </c>
    </row>
    <row r="2" spans="1:14" x14ac:dyDescent="0.2">
      <c r="A2" s="97" t="s">
        <v>187</v>
      </c>
      <c r="G2" s="97" t="s">
        <v>188</v>
      </c>
      <c r="N2" s="97" t="s">
        <v>189</v>
      </c>
    </row>
    <row r="23" spans="1:1" x14ac:dyDescent="0.2">
      <c r="A23" s="97" t="s">
        <v>190</v>
      </c>
    </row>
    <row r="24" spans="1:1" x14ac:dyDescent="0.2">
      <c r="A24" s="175" t="s">
        <v>191</v>
      </c>
    </row>
  </sheetData>
  <hyperlinks>
    <hyperlink ref="A1" r:id="rId1" xr:uid="{00000000-0004-0000-0100-000000000000}"/>
    <hyperlink ref="G1" r:id="rId2" xr:uid="{00000000-0004-0000-0100-000001000000}"/>
    <hyperlink ref="A24" r:id="rId3" xr:uid="{00000000-0004-0000-0100-000002000000}"/>
    <hyperlink ref="N1" r:id="rId4" xr:uid="{00000000-0004-0000-0100-000003000000}"/>
  </hyperlinks>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tabColor theme="9"/>
  </sheetPr>
  <dimension ref="B1:K37"/>
  <sheetViews>
    <sheetView showGridLines="0" zoomScale="83" zoomScaleNormal="106" workbookViewId="0">
      <selection activeCell="B28" sqref="B28"/>
    </sheetView>
  </sheetViews>
  <sheetFormatPr defaultColWidth="11.28515625" defaultRowHeight="12.75" x14ac:dyDescent="0.2"/>
  <cols>
    <col min="1" max="1" width="2" customWidth="1"/>
    <col min="2" max="2" width="29" bestFit="1" customWidth="1"/>
    <col min="3" max="3" width="15.28515625" style="4" customWidth="1"/>
    <col min="4" max="4" width="15.28515625" customWidth="1"/>
    <col min="5" max="5" width="15.42578125" hidden="1" customWidth="1"/>
    <col min="6" max="6" width="15.28515625" customWidth="1"/>
    <col min="7" max="7" width="15.42578125" hidden="1" customWidth="1"/>
    <col min="8" max="8" width="15.28515625" customWidth="1"/>
    <col min="9" max="9" width="15.28515625" hidden="1" customWidth="1"/>
    <col min="10" max="10" width="15.28515625" customWidth="1"/>
    <col min="11" max="11" width="1.28515625" customWidth="1"/>
  </cols>
  <sheetData>
    <row r="1" spans="2:11" ht="7.5" customHeight="1" thickBot="1" x14ac:dyDescent="0.25"/>
    <row r="2" spans="2:11" ht="20.25" x14ac:dyDescent="0.3">
      <c r="B2" s="756" t="s">
        <v>409</v>
      </c>
      <c r="C2" s="757"/>
      <c r="D2" s="757"/>
      <c r="E2" s="757"/>
      <c r="F2" s="757"/>
      <c r="G2" s="757"/>
      <c r="H2" s="758"/>
      <c r="I2" s="262"/>
      <c r="J2" s="262"/>
    </row>
    <row r="3" spans="2:11" x14ac:dyDescent="0.2">
      <c r="B3" s="146"/>
      <c r="C3" s="29">
        <v>2023</v>
      </c>
      <c r="D3" s="29">
        <f>C3-1</f>
        <v>2022</v>
      </c>
      <c r="E3" s="29" t="s">
        <v>116</v>
      </c>
      <c r="F3" s="29" t="s">
        <v>64</v>
      </c>
      <c r="G3" s="29" t="s">
        <v>63</v>
      </c>
      <c r="H3" s="30" t="s">
        <v>57</v>
      </c>
      <c r="I3" s="13"/>
      <c r="J3" s="13"/>
      <c r="K3" s="11"/>
    </row>
    <row r="4" spans="2:11" x14ac:dyDescent="0.2">
      <c r="B4" s="147" t="s">
        <v>448</v>
      </c>
      <c r="C4" s="2">
        <v>782</v>
      </c>
      <c r="D4" s="2">
        <v>613.9</v>
      </c>
      <c r="E4" t="s">
        <v>512</v>
      </c>
      <c r="F4" s="574">
        <v>0.52700000000000002</v>
      </c>
      <c r="G4" t="s">
        <v>512</v>
      </c>
      <c r="H4" s="501">
        <v>0.27</v>
      </c>
      <c r="I4" s="263"/>
      <c r="J4" s="402" t="str">
        <f>IF(C4="","",IF(F4=0,"NA",TEXT(F4,"0%"))&amp;"; "&amp;IF(G4=0,"NA",TEXT(G4,"0.0%"))&amp;"; "&amp;IF(H4=0,"NA",TEXT(H4,"0%")))</f>
        <v>53%; NA; 27%</v>
      </c>
    </row>
    <row r="5" spans="2:11" x14ac:dyDescent="0.2">
      <c r="B5" s="147" t="s">
        <v>449</v>
      </c>
      <c r="C5" s="2">
        <v>701.4</v>
      </c>
      <c r="D5" s="2">
        <v>624.20000000000005</v>
      </c>
      <c r="E5" t="s">
        <v>512</v>
      </c>
      <c r="F5" s="574">
        <v>0.47299999999999998</v>
      </c>
      <c r="G5" t="s">
        <v>512</v>
      </c>
      <c r="H5" s="501">
        <v>0.12</v>
      </c>
      <c r="I5" s="263"/>
      <c r="J5" s="402" t="str">
        <f>IF(C5="","",IF(F5=0,"NA",TEXT(F5,"0%"))&amp;"; "&amp;IF(G5=0,"NA",TEXT(G5,"0.0%"))&amp;"; "&amp;IF(H5=0,"NA",TEXT(H5,"0%")))</f>
        <v>47%; NA; 12%</v>
      </c>
    </row>
    <row r="6" spans="2:11" x14ac:dyDescent="0.2">
      <c r="B6" s="147" t="s">
        <v>513</v>
      </c>
      <c r="C6" s="2">
        <v>0.8</v>
      </c>
      <c r="D6" s="2">
        <v>0</v>
      </c>
      <c r="E6" s="502" t="s">
        <v>512</v>
      </c>
      <c r="F6" s="574">
        <v>1E-3</v>
      </c>
      <c r="G6" s="500" t="s">
        <v>512</v>
      </c>
      <c r="H6" s="31"/>
      <c r="I6" s="263"/>
      <c r="J6" s="402" t="str">
        <f>IF(C6="","",IF(F6=0,"NA",TEXT(F6,"0%"))&amp;"; "&amp;IF(G6=0,"NA",TEXT(G6,"0.0%"))&amp;"; "&amp;IF(H6=0,"NA",TEXT(H6,"0%")))</f>
        <v>0%; NA; NA</v>
      </c>
    </row>
    <row r="7" spans="2:11" x14ac:dyDescent="0.2">
      <c r="B7" s="147" t="s">
        <v>514</v>
      </c>
      <c r="C7" s="2">
        <v>0</v>
      </c>
      <c r="D7" s="2">
        <v>4.0999999999999996</v>
      </c>
      <c r="E7" s="502" t="s">
        <v>512</v>
      </c>
      <c r="F7" s="574">
        <v>0</v>
      </c>
      <c r="G7" s="500" t="s">
        <v>512</v>
      </c>
      <c r="H7" s="148"/>
      <c r="I7" s="264"/>
      <c r="J7" s="402" t="str">
        <f>IF(C7="","",IF(F7=0,"NA",TEXT(F7,"0%"))&amp;"; "&amp;IF(G7=0,"NA",TEXT(G7,"0.0%"))&amp;"; "&amp;IF(H7=0,"NA",TEXT(H7,"0%")))</f>
        <v>NA; NA; NA</v>
      </c>
    </row>
    <row r="8" spans="2:11" hidden="1" x14ac:dyDescent="0.2">
      <c r="B8" s="147"/>
      <c r="C8" s="1"/>
      <c r="D8" s="1"/>
      <c r="E8" s="7"/>
      <c r="F8" s="12"/>
      <c r="G8" s="12"/>
      <c r="H8" s="31"/>
      <c r="I8" s="263"/>
      <c r="J8" s="402" t="str">
        <f>IF(C8="","",IF(F8=0,"NA",TEXT(F8,"0%"))&amp;"; "&amp;IF(G8=0,"NA",TEXT(G8,"0.0%"))&amp;"; "&amp;IF(H8=0,"NA",TEXT(H8,"0%")))</f>
        <v/>
      </c>
    </row>
    <row r="9" spans="2:11" hidden="1" x14ac:dyDescent="0.2">
      <c r="B9" s="135"/>
      <c r="C9" s="1"/>
      <c r="D9" s="110"/>
      <c r="E9" s="128"/>
      <c r="F9" s="12"/>
      <c r="G9" s="12"/>
      <c r="H9" s="31"/>
      <c r="I9" s="263"/>
      <c r="J9" s="402" t="str">
        <f t="shared" ref="J9:J13" si="0">IF(C9="","",IF(F9=0,"NA",TEXT(F9,"0%"))&amp;"; "&amp;IF(G9=0,"NA",TEXT(G9,"0.0%"))&amp;"; "&amp;IF(H9=0,"NA",TEXT(H9,"0%")))</f>
        <v/>
      </c>
    </row>
    <row r="10" spans="2:11" hidden="1" x14ac:dyDescent="0.2">
      <c r="B10" s="135"/>
      <c r="C10" s="120"/>
      <c r="D10" s="110"/>
      <c r="E10" s="7"/>
      <c r="F10" s="12"/>
      <c r="G10" s="12"/>
      <c r="H10" s="31"/>
      <c r="I10" s="263"/>
      <c r="J10" s="402" t="str">
        <f t="shared" si="0"/>
        <v/>
      </c>
    </row>
    <row r="11" spans="2:11" hidden="1" x14ac:dyDescent="0.2">
      <c r="B11" s="135"/>
      <c r="C11" s="1"/>
      <c r="D11" s="110"/>
      <c r="E11" s="7"/>
      <c r="F11" s="12"/>
      <c r="G11" s="12"/>
      <c r="H11" s="31"/>
      <c r="I11" s="263"/>
      <c r="J11" s="402" t="str">
        <f t="shared" si="0"/>
        <v/>
      </c>
    </row>
    <row r="12" spans="2:11" hidden="1" x14ac:dyDescent="0.2">
      <c r="B12" s="135"/>
      <c r="C12" s="1"/>
      <c r="D12" s="110"/>
      <c r="E12" s="7"/>
      <c r="F12" s="12"/>
      <c r="G12" s="12"/>
      <c r="H12" s="31"/>
      <c r="I12" s="263"/>
      <c r="J12" s="402" t="str">
        <f t="shared" si="0"/>
        <v/>
      </c>
    </row>
    <row r="13" spans="2:11" hidden="1" x14ac:dyDescent="0.2">
      <c r="B13" s="134"/>
      <c r="C13" s="136"/>
      <c r="D13" s="136"/>
      <c r="E13" s="7"/>
      <c r="F13" s="12"/>
      <c r="G13" s="137"/>
      <c r="H13" s="138"/>
      <c r="I13" s="265"/>
      <c r="J13" s="402" t="str">
        <f t="shared" si="0"/>
        <v/>
      </c>
    </row>
    <row r="14" spans="2:11" ht="13.5" thickBot="1" x14ac:dyDescent="0.25">
      <c r="B14" s="654" t="s">
        <v>110</v>
      </c>
      <c r="C14" s="655">
        <f>SUM(C4:C12)</f>
        <v>1484.2</v>
      </c>
      <c r="D14" s="655">
        <f>SUM(D4:D12)</f>
        <v>1242.1999999999998</v>
      </c>
      <c r="E14" s="656">
        <f>SUM(E4:E13)</f>
        <v>0</v>
      </c>
      <c r="F14" s="657">
        <f>C14/SUM($C$4:$C$13)</f>
        <v>1</v>
      </c>
      <c r="G14" s="658">
        <f>E14/C14</f>
        <v>0</v>
      </c>
      <c r="H14" s="659">
        <f>C14/D14-1</f>
        <v>0.19481564965384024</v>
      </c>
      <c r="I14" s="265"/>
      <c r="J14" s="265"/>
    </row>
    <row r="15" spans="2:11" ht="20.100000000000001" customHeight="1" x14ac:dyDescent="0.3">
      <c r="B15" s="756" t="s">
        <v>410</v>
      </c>
      <c r="C15" s="757"/>
      <c r="D15" s="757"/>
      <c r="E15" s="757"/>
      <c r="F15" s="757"/>
      <c r="G15" s="757"/>
      <c r="H15" s="758"/>
      <c r="I15" s="660"/>
      <c r="J15" s="661"/>
    </row>
    <row r="16" spans="2:11" ht="12.95" customHeight="1" x14ac:dyDescent="0.2">
      <c r="B16" s="759" t="s">
        <v>544</v>
      </c>
      <c r="C16" s="760"/>
      <c r="D16" s="760"/>
      <c r="E16" s="760"/>
      <c r="F16" s="760"/>
      <c r="G16" s="760"/>
      <c r="H16" s="760"/>
      <c r="I16" s="760"/>
      <c r="J16" s="761"/>
      <c r="K16" s="11"/>
    </row>
    <row r="17" spans="2:11" x14ac:dyDescent="0.2">
      <c r="B17" s="759"/>
      <c r="C17" s="760"/>
      <c r="D17" s="760"/>
      <c r="E17" s="760"/>
      <c r="F17" s="760"/>
      <c r="G17" s="760"/>
      <c r="H17" s="760"/>
      <c r="I17" s="760"/>
      <c r="J17" s="761"/>
      <c r="K17" s="7"/>
    </row>
    <row r="18" spans="2:11" x14ac:dyDescent="0.2">
      <c r="B18" s="759"/>
      <c r="C18" s="760"/>
      <c r="D18" s="760"/>
      <c r="E18" s="760"/>
      <c r="F18" s="760"/>
      <c r="G18" s="760"/>
      <c r="H18" s="760"/>
      <c r="I18" s="760"/>
      <c r="J18" s="761"/>
      <c r="K18" s="7"/>
    </row>
    <row r="19" spans="2:11" x14ac:dyDescent="0.2">
      <c r="B19" s="759"/>
      <c r="C19" s="760"/>
      <c r="D19" s="760"/>
      <c r="E19" s="760"/>
      <c r="F19" s="760"/>
      <c r="G19" s="760"/>
      <c r="H19" s="760"/>
      <c r="I19" s="760"/>
      <c r="J19" s="761"/>
      <c r="K19" s="7"/>
    </row>
    <row r="20" spans="2:11" x14ac:dyDescent="0.2">
      <c r="B20" s="759"/>
      <c r="C20" s="760"/>
      <c r="D20" s="760"/>
      <c r="E20" s="760"/>
      <c r="F20" s="760"/>
      <c r="G20" s="760"/>
      <c r="H20" s="760"/>
      <c r="I20" s="760"/>
      <c r="J20" s="761"/>
      <c r="K20" s="7"/>
    </row>
    <row r="21" spans="2:11" x14ac:dyDescent="0.2">
      <c r="B21" s="759"/>
      <c r="C21" s="760"/>
      <c r="D21" s="760"/>
      <c r="E21" s="760"/>
      <c r="F21" s="760"/>
      <c r="G21" s="760"/>
      <c r="H21" s="760"/>
      <c r="I21" s="760"/>
      <c r="J21" s="761"/>
      <c r="K21" s="7"/>
    </row>
    <row r="22" spans="2:11" x14ac:dyDescent="0.2">
      <c r="B22" s="759"/>
      <c r="C22" s="760"/>
      <c r="D22" s="760"/>
      <c r="E22" s="760"/>
      <c r="F22" s="760"/>
      <c r="G22" s="760"/>
      <c r="H22" s="760"/>
      <c r="I22" s="760"/>
      <c r="J22" s="761"/>
    </row>
    <row r="23" spans="2:11" x14ac:dyDescent="0.2">
      <c r="B23" s="759"/>
      <c r="C23" s="760"/>
      <c r="D23" s="760"/>
      <c r="E23" s="760"/>
      <c r="F23" s="760"/>
      <c r="G23" s="760"/>
      <c r="H23" s="760"/>
      <c r="I23" s="760"/>
      <c r="J23" s="761"/>
    </row>
    <row r="24" spans="2:11" x14ac:dyDescent="0.2">
      <c r="B24" s="759"/>
      <c r="C24" s="760"/>
      <c r="D24" s="760"/>
      <c r="E24" s="760"/>
      <c r="F24" s="760"/>
      <c r="G24" s="760"/>
      <c r="H24" s="760"/>
      <c r="I24" s="760"/>
      <c r="J24" s="761"/>
    </row>
    <row r="25" spans="2:11" x14ac:dyDescent="0.2">
      <c r="B25" s="759"/>
      <c r="C25" s="760"/>
      <c r="D25" s="760"/>
      <c r="E25" s="760"/>
      <c r="F25" s="760"/>
      <c r="G25" s="760"/>
      <c r="H25" s="760"/>
      <c r="I25" s="760"/>
      <c r="J25" s="761"/>
    </row>
    <row r="26" spans="2:11" x14ac:dyDescent="0.2">
      <c r="B26" s="759"/>
      <c r="C26" s="760"/>
      <c r="D26" s="760"/>
      <c r="E26" s="760"/>
      <c r="F26" s="760"/>
      <c r="G26" s="760"/>
      <c r="H26" s="760"/>
      <c r="I26" s="760"/>
      <c r="J26" s="761"/>
    </row>
    <row r="27" spans="2:11" ht="13.5" thickBot="1" x14ac:dyDescent="0.25">
      <c r="B27" s="762"/>
      <c r="C27" s="763"/>
      <c r="D27" s="763"/>
      <c r="E27" s="763"/>
      <c r="F27" s="763"/>
      <c r="G27" s="763"/>
      <c r="H27" s="763"/>
      <c r="I27" s="763"/>
      <c r="J27" s="764"/>
    </row>
    <row r="34" spans="2:11" x14ac:dyDescent="0.2">
      <c r="C34" s="1"/>
    </row>
    <row r="35" spans="2:11" ht="15.75" x14ac:dyDescent="0.25">
      <c r="B35" s="755"/>
      <c r="C35" s="755"/>
      <c r="D35" s="755"/>
      <c r="E35" s="755"/>
      <c r="F35" s="755"/>
      <c r="G35" s="755"/>
      <c r="H35" s="755"/>
      <c r="I35" s="232"/>
      <c r="J35" s="232"/>
    </row>
    <row r="36" spans="2:11" ht="15.75" x14ac:dyDescent="0.25">
      <c r="B36" s="755"/>
      <c r="C36" s="755"/>
      <c r="D36" s="755"/>
      <c r="E36" s="755"/>
      <c r="F36" s="755"/>
      <c r="G36" s="755"/>
      <c r="H36" s="755"/>
      <c r="I36" s="232"/>
      <c r="J36" s="232"/>
    </row>
    <row r="37" spans="2:11" ht="15.75" x14ac:dyDescent="0.25">
      <c r="B37" s="755"/>
      <c r="C37" s="755"/>
      <c r="D37" s="755"/>
      <c r="E37" s="755"/>
      <c r="F37" s="755"/>
      <c r="G37" s="755"/>
      <c r="H37" s="755"/>
      <c r="I37" s="232"/>
      <c r="J37" s="232"/>
      <c r="K37" s="121"/>
    </row>
  </sheetData>
  <mergeCells count="4">
    <mergeCell ref="B35:H37"/>
    <mergeCell ref="B2:H2"/>
    <mergeCell ref="B15:H15"/>
    <mergeCell ref="B16:J27"/>
  </mergeCells>
  <phoneticPr fontId="0" type="noConversion"/>
  <pageMargins left="0.75" right="0.75" top="1" bottom="1" header="0" footer="0"/>
  <pageSetup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sheetPr>
  <dimension ref="A1:F169"/>
  <sheetViews>
    <sheetView showGridLines="0" zoomScale="74" zoomScaleNormal="87" workbookViewId="0">
      <selection activeCell="B10" sqref="B10"/>
    </sheetView>
  </sheetViews>
  <sheetFormatPr defaultColWidth="11.28515625" defaultRowHeight="12.75" x14ac:dyDescent="0.2"/>
  <cols>
    <col min="1" max="1" width="23.85546875" customWidth="1"/>
    <col min="2" max="4" width="22.7109375" customWidth="1"/>
    <col min="5" max="5" width="27" bestFit="1" customWidth="1"/>
  </cols>
  <sheetData>
    <row r="1" spans="1:5" ht="5.25" customHeight="1" thickBot="1" x14ac:dyDescent="0.25"/>
    <row r="2" spans="1:5" ht="12.75" customHeight="1" x14ac:dyDescent="0.2">
      <c r="A2" s="765" t="s">
        <v>360</v>
      </c>
      <c r="B2" s="183" t="s">
        <v>426</v>
      </c>
      <c r="C2" s="183" t="s">
        <v>428</v>
      </c>
      <c r="D2" s="183" t="s">
        <v>430</v>
      </c>
      <c r="E2" s="183" t="s">
        <v>432</v>
      </c>
    </row>
    <row r="3" spans="1:5" ht="15" x14ac:dyDescent="0.2">
      <c r="A3" s="766"/>
      <c r="B3" s="184" t="s">
        <v>427</v>
      </c>
      <c r="C3" s="184" t="s">
        <v>429</v>
      </c>
      <c r="D3" s="184" t="s">
        <v>431</v>
      </c>
      <c r="E3" s="184" t="s">
        <v>433</v>
      </c>
    </row>
    <row r="4" spans="1:5" ht="15.75" customHeight="1" x14ac:dyDescent="0.2">
      <c r="A4" s="388" t="s">
        <v>9</v>
      </c>
      <c r="B4" s="516">
        <f>Cifras_Originales!B6</f>
        <v>1484.288</v>
      </c>
      <c r="C4" s="516">
        <v>1130</v>
      </c>
      <c r="D4" s="516">
        <v>448</v>
      </c>
      <c r="E4" s="517">
        <v>238.184</v>
      </c>
    </row>
    <row r="5" spans="1:5" ht="15.75" customHeight="1" x14ac:dyDescent="0.2">
      <c r="A5" s="388" t="s">
        <v>545</v>
      </c>
      <c r="B5" s="527">
        <v>0.19400000000000001</v>
      </c>
      <c r="C5" s="528">
        <v>6.3E-2</v>
      </c>
      <c r="D5" s="528" t="s">
        <v>461</v>
      </c>
      <c r="E5" s="529">
        <f>710004/695208-1</f>
        <v>2.128283909276063E-2</v>
      </c>
    </row>
    <row r="6" spans="1:5" ht="15.75" customHeight="1" x14ac:dyDescent="0.2">
      <c r="A6" s="388" t="s">
        <v>546</v>
      </c>
      <c r="B6" s="527">
        <v>0.22500000000000001</v>
      </c>
      <c r="C6" s="530">
        <v>0.13300000000000001</v>
      </c>
      <c r="D6" s="528" t="s">
        <v>462</v>
      </c>
      <c r="E6" s="529">
        <f>710004/627704-1</f>
        <v>0.13111275378203735</v>
      </c>
    </row>
    <row r="7" spans="1:5" ht="15.75" hidden="1" customHeight="1" x14ac:dyDescent="0.2">
      <c r="A7" s="185" t="s">
        <v>17</v>
      </c>
      <c r="B7" s="389">
        <v>122278</v>
      </c>
      <c r="C7" s="389">
        <v>82110</v>
      </c>
      <c r="D7" s="389">
        <v>26772</v>
      </c>
      <c r="E7" s="390">
        <v>100504</v>
      </c>
    </row>
    <row r="8" spans="1:5" ht="15.75" hidden="1" customHeight="1" x14ac:dyDescent="0.2">
      <c r="A8" s="185" t="s">
        <v>133</v>
      </c>
      <c r="B8" s="389">
        <v>323888</v>
      </c>
      <c r="C8" s="389">
        <v>301311</v>
      </c>
      <c r="D8" s="389">
        <v>319616</v>
      </c>
      <c r="E8" s="390">
        <v>321195</v>
      </c>
    </row>
    <row r="9" spans="1:5" ht="15.75" customHeight="1" x14ac:dyDescent="0.2">
      <c r="A9" s="185" t="s">
        <v>132</v>
      </c>
      <c r="B9" s="503">
        <f>OP!C10/OP!E7</f>
        <v>0.60666238388185589</v>
      </c>
      <c r="C9" s="503">
        <f>213325/2125213</f>
        <v>0.10037817385833796</v>
      </c>
      <c r="D9" s="503">
        <f>847853/2741417</f>
        <v>0.30927545864054978</v>
      </c>
      <c r="E9" s="518">
        <f>131537/1237034</f>
        <v>0.10633256644522301</v>
      </c>
    </row>
    <row r="10" spans="1:5" ht="15.75" customHeight="1" x14ac:dyDescent="0.2">
      <c r="A10" s="185" t="s">
        <v>178</v>
      </c>
      <c r="B10" s="509">
        <f>OP!C10/OP!J11</f>
        <v>3.7227077700442748</v>
      </c>
      <c r="C10" s="509">
        <f>213325/217795</f>
        <v>0.97947611285842195</v>
      </c>
      <c r="D10" s="509">
        <f>847853/395099</f>
        <v>2.145925451595676</v>
      </c>
      <c r="E10" s="512">
        <f>131537/216698</f>
        <v>0.60700606373847477</v>
      </c>
    </row>
    <row r="11" spans="1:5" ht="15.75" customHeight="1" x14ac:dyDescent="0.2">
      <c r="A11" s="185" t="s">
        <v>171</v>
      </c>
      <c r="B11" s="514">
        <f>DCFF!G22/DCFF!G6</f>
        <v>-3.4964912469817179E-2</v>
      </c>
      <c r="C11" s="416">
        <f>36943/1065480</f>
        <v>3.4672635807335664E-2</v>
      </c>
      <c r="D11" s="416">
        <f>50375/1687694</f>
        <v>2.9848420389004166E-2</v>
      </c>
      <c r="E11" s="515">
        <f>4625/710004</f>
        <v>6.5140478081813624E-3</v>
      </c>
    </row>
    <row r="12" spans="1:5" ht="15.75" customHeight="1" x14ac:dyDescent="0.2">
      <c r="A12" s="185" t="s">
        <v>193</v>
      </c>
      <c r="B12" s="504">
        <f>107.6/2125.6</f>
        <v>5.0621001129092964E-2</v>
      </c>
      <c r="C12" s="510">
        <f>0.06/2.161</f>
        <v>2.7764923646459969E-2</v>
      </c>
      <c r="D12" s="511">
        <v>7.4800000000000005E-2</v>
      </c>
      <c r="E12" s="512">
        <v>9.9500000000000005E-2</v>
      </c>
    </row>
    <row r="13" spans="1:5" ht="15.75" customHeight="1" x14ac:dyDescent="0.2">
      <c r="A13" s="185" t="s">
        <v>194</v>
      </c>
      <c r="B13" s="504">
        <f t="shared" ref="B13:E13" si="0">(1+B29/(B30+B31))*B30/(B32+B33-B34)</f>
        <v>0.32580839946507639</v>
      </c>
      <c r="C13" s="504">
        <f t="shared" si="0"/>
        <v>0.13550156427775975</v>
      </c>
      <c r="D13" s="504">
        <f t="shared" si="0"/>
        <v>0.18961075886952977</v>
      </c>
      <c r="E13" s="573">
        <f t="shared" si="0"/>
        <v>0.50996077740410761</v>
      </c>
    </row>
    <row r="14" spans="1:5" ht="15.75" customHeight="1" x14ac:dyDescent="0.2">
      <c r="A14" s="388" t="s">
        <v>547</v>
      </c>
      <c r="B14" s="415">
        <v>0.2283</v>
      </c>
      <c r="C14" s="424">
        <v>0.1212</v>
      </c>
      <c r="D14" s="415">
        <v>0.1159</v>
      </c>
      <c r="E14" s="513">
        <v>0.21190000000000001</v>
      </c>
    </row>
    <row r="15" spans="1:5" ht="15.75" customHeight="1" x14ac:dyDescent="0.2">
      <c r="A15" s="388" t="s">
        <v>548</v>
      </c>
      <c r="B15" s="415">
        <v>0.21740000000000001</v>
      </c>
      <c r="C15" s="424">
        <v>8.7999999999999995E-2</v>
      </c>
      <c r="D15" s="415">
        <v>5.5500000000000001E-2</v>
      </c>
      <c r="E15" s="513">
        <v>0.1865</v>
      </c>
    </row>
    <row r="16" spans="1:5" ht="15.75" customHeight="1" x14ac:dyDescent="0.2">
      <c r="A16" s="185" t="s">
        <v>170</v>
      </c>
      <c r="B16" s="585">
        <f>OP!L7</f>
        <v>0.91</v>
      </c>
      <c r="C16" s="585">
        <f>1-3.03%</f>
        <v>0.96970000000000001</v>
      </c>
      <c r="D16" s="585">
        <f>1-3.39%</f>
        <v>0.96609999999999996</v>
      </c>
      <c r="E16" s="586">
        <f>1-9.95%</f>
        <v>0.90049999999999997</v>
      </c>
    </row>
    <row r="17" spans="1:6" ht="15.75" customHeight="1" x14ac:dyDescent="0.2">
      <c r="A17" s="187" t="s">
        <v>195</v>
      </c>
      <c r="B17" s="587">
        <f>OP!L9</f>
        <v>0.89</v>
      </c>
      <c r="C17" s="392">
        <v>0.57999999999999996</v>
      </c>
      <c r="D17" s="5">
        <v>0.97</v>
      </c>
      <c r="E17" s="391">
        <v>1.06</v>
      </c>
    </row>
    <row r="18" spans="1:6" ht="15.75" customHeight="1" x14ac:dyDescent="0.2">
      <c r="A18" s="185" t="s">
        <v>196</v>
      </c>
      <c r="B18" s="5">
        <v>17.39</v>
      </c>
      <c r="C18" s="5">
        <v>18.12</v>
      </c>
      <c r="D18" s="519">
        <v>18.98</v>
      </c>
      <c r="E18" s="520">
        <v>11.48</v>
      </c>
    </row>
    <row r="19" spans="1:6" ht="15.75" customHeight="1" x14ac:dyDescent="0.2">
      <c r="A19" s="388" t="s">
        <v>361</v>
      </c>
      <c r="B19" s="417">
        <v>1.97</v>
      </c>
      <c r="C19" s="418">
        <v>1.99</v>
      </c>
      <c r="D19" s="418">
        <v>2.39</v>
      </c>
      <c r="E19" s="521">
        <v>2.68</v>
      </c>
    </row>
    <row r="20" spans="1:6" ht="15.75" customHeight="1" x14ac:dyDescent="0.2">
      <c r="A20" s="185" t="s">
        <v>49</v>
      </c>
      <c r="B20" s="418">
        <f ca="1">OP!C12/OP!E7</f>
        <v>2.8155028193873246</v>
      </c>
      <c r="C20" s="572">
        <f>2410/2125</f>
        <v>1.1341176470588235</v>
      </c>
      <c r="D20" s="392">
        <f>4310/2741</f>
        <v>1.5724188252462605</v>
      </c>
      <c r="E20" s="573">
        <f>1280/1237</f>
        <v>1.0347615198059823</v>
      </c>
    </row>
    <row r="21" spans="1:6" ht="15.75" customHeight="1" x14ac:dyDescent="0.2">
      <c r="A21" s="185" t="s">
        <v>197</v>
      </c>
      <c r="B21" s="522">
        <f ca="1">OP!C12/OP!J11</f>
        <v>17.276980575667153</v>
      </c>
      <c r="C21" s="522">
        <v>10.9</v>
      </c>
      <c r="D21" s="392">
        <v>11.46</v>
      </c>
      <c r="E21" s="391">
        <v>6.23</v>
      </c>
    </row>
    <row r="22" spans="1:6" ht="15.75" customHeight="1" thickBot="1" x14ac:dyDescent="0.25">
      <c r="A22" s="186" t="s">
        <v>65</v>
      </c>
      <c r="B22" s="523" t="s">
        <v>484</v>
      </c>
      <c r="C22" s="524">
        <v>2.8400000000000002E-2</v>
      </c>
      <c r="D22" s="525" t="s">
        <v>484</v>
      </c>
      <c r="E22" s="526">
        <v>1.9199999999999998E-2</v>
      </c>
    </row>
    <row r="24" spans="1:6" x14ac:dyDescent="0.2">
      <c r="A24" s="48" t="s">
        <v>114</v>
      </c>
    </row>
    <row r="25" spans="1:6" x14ac:dyDescent="0.2">
      <c r="A25" s="48" t="s">
        <v>173</v>
      </c>
    </row>
    <row r="26" spans="1:6" ht="20.25" x14ac:dyDescent="0.25">
      <c r="A26" s="403"/>
      <c r="B26" s="404"/>
      <c r="C26" s="404"/>
      <c r="D26" s="404"/>
      <c r="E26" s="404"/>
      <c r="F26" s="405"/>
    </row>
    <row r="27" spans="1:6" ht="20.25" x14ac:dyDescent="0.2">
      <c r="A27" s="48"/>
      <c r="B27" s="406"/>
      <c r="C27" s="404"/>
      <c r="D27" s="404"/>
      <c r="E27" s="405"/>
      <c r="F27" s="405"/>
    </row>
    <row r="28" spans="1:6" ht="20.25" x14ac:dyDescent="0.25">
      <c r="A28" s="403"/>
      <c r="B28" s="404"/>
      <c r="C28" s="404"/>
      <c r="D28" s="404"/>
      <c r="E28" s="404"/>
      <c r="F28" s="405"/>
    </row>
    <row r="29" spans="1:6" ht="16.5" customHeight="1" x14ac:dyDescent="0.25">
      <c r="A29" s="576" t="s">
        <v>494</v>
      </c>
      <c r="B29" s="577">
        <v>108750</v>
      </c>
      <c r="C29" s="578">
        <v>52282</v>
      </c>
      <c r="D29" s="578">
        <v>48840</v>
      </c>
      <c r="E29" s="578">
        <v>53850</v>
      </c>
      <c r="F29" s="405"/>
    </row>
    <row r="30" spans="1:6" ht="20.25" x14ac:dyDescent="0.25">
      <c r="A30" s="576" t="s">
        <v>495</v>
      </c>
      <c r="B30" s="579">
        <v>361212</v>
      </c>
      <c r="C30" s="579">
        <v>172330</v>
      </c>
      <c r="D30" s="579">
        <v>329942</v>
      </c>
      <c r="E30" s="579">
        <v>212425</v>
      </c>
      <c r="F30" s="405"/>
    </row>
    <row r="31" spans="1:6" ht="15" customHeight="1" x14ac:dyDescent="0.25">
      <c r="A31" s="576" t="s">
        <v>496</v>
      </c>
      <c r="B31" s="580"/>
      <c r="C31" s="579"/>
      <c r="D31" s="579"/>
      <c r="E31" s="19"/>
      <c r="F31" s="405"/>
    </row>
    <row r="32" spans="1:6" ht="15.75" x14ac:dyDescent="0.25">
      <c r="A32" s="576" t="s">
        <v>497</v>
      </c>
      <c r="B32" s="580">
        <v>582703</v>
      </c>
      <c r="C32" s="580">
        <v>213325</v>
      </c>
      <c r="D32" s="581">
        <v>847853</v>
      </c>
      <c r="E32" s="578">
        <v>131537</v>
      </c>
      <c r="F32" s="405"/>
    </row>
    <row r="33" spans="1:6" ht="14.25" x14ac:dyDescent="0.2">
      <c r="A33" s="19" t="s">
        <v>498</v>
      </c>
      <c r="B33" s="19">
        <v>949138</v>
      </c>
      <c r="C33" s="19">
        <v>1652518</v>
      </c>
      <c r="D33" s="19">
        <v>1369135</v>
      </c>
      <c r="E33" s="578">
        <v>959536</v>
      </c>
      <c r="F33" s="405"/>
    </row>
    <row r="34" spans="1:6" ht="14.25" x14ac:dyDescent="0.2">
      <c r="A34" s="19" t="s">
        <v>499</v>
      </c>
      <c r="B34" s="19">
        <v>89392</v>
      </c>
      <c r="C34" s="19">
        <v>208209</v>
      </c>
      <c r="D34" s="19">
        <v>219306</v>
      </c>
      <c r="E34" s="578">
        <v>568925</v>
      </c>
      <c r="F34" s="405"/>
    </row>
    <row r="35" spans="1:6" x14ac:dyDescent="0.2">
      <c r="A35" s="405"/>
      <c r="B35" s="405"/>
      <c r="C35" s="405"/>
      <c r="D35" s="405"/>
      <c r="E35" s="405"/>
      <c r="F35" s="405"/>
    </row>
    <row r="36" spans="1:6" x14ac:dyDescent="0.2">
      <c r="A36" s="405"/>
      <c r="B36" s="405"/>
      <c r="C36" s="405"/>
      <c r="D36" s="405"/>
      <c r="E36" s="405"/>
      <c r="F36" s="405"/>
    </row>
    <row r="37" spans="1:6" x14ac:dyDescent="0.2">
      <c r="A37" s="405"/>
      <c r="B37" s="405"/>
      <c r="C37" s="405"/>
      <c r="D37" s="405"/>
      <c r="E37" s="405"/>
      <c r="F37" s="405"/>
    </row>
    <row r="38" spans="1:6" x14ac:dyDescent="0.2">
      <c r="A38" s="405"/>
      <c r="B38" s="405"/>
      <c r="C38" s="405"/>
      <c r="D38" s="405"/>
      <c r="E38" s="405"/>
      <c r="F38" s="405"/>
    </row>
    <row r="39" spans="1:6" x14ac:dyDescent="0.2">
      <c r="A39" s="405"/>
      <c r="B39" s="405"/>
      <c r="C39" s="405"/>
      <c r="D39" s="405"/>
      <c r="E39" s="405"/>
      <c r="F39" s="405"/>
    </row>
    <row r="40" spans="1:6" x14ac:dyDescent="0.2">
      <c r="A40" s="405"/>
      <c r="B40" s="405"/>
      <c r="C40" s="405"/>
      <c r="D40" s="405"/>
      <c r="E40" s="405"/>
      <c r="F40" s="405"/>
    </row>
    <row r="41" spans="1:6" x14ac:dyDescent="0.2">
      <c r="A41" s="405"/>
      <c r="B41" s="405"/>
      <c r="C41" s="405"/>
      <c r="D41" s="405"/>
      <c r="E41" s="405"/>
      <c r="F41" s="405"/>
    </row>
    <row r="42" spans="1:6" x14ac:dyDescent="0.2">
      <c r="A42" s="405"/>
      <c r="B42" s="405"/>
      <c r="C42" s="405"/>
      <c r="D42" s="405"/>
      <c r="E42" s="405"/>
      <c r="F42" s="405"/>
    </row>
    <row r="43" spans="1:6" x14ac:dyDescent="0.2">
      <c r="A43" s="405"/>
      <c r="B43" s="405"/>
      <c r="C43" s="405"/>
      <c r="D43" s="405"/>
      <c r="E43" s="405"/>
      <c r="F43" s="405"/>
    </row>
    <row r="44" spans="1:6" x14ac:dyDescent="0.2">
      <c r="A44" s="405"/>
      <c r="B44" s="405"/>
      <c r="C44" s="405"/>
      <c r="D44" s="405"/>
      <c r="E44" s="405"/>
      <c r="F44" s="405"/>
    </row>
    <row r="45" spans="1:6" x14ac:dyDescent="0.2">
      <c r="A45" s="405"/>
      <c r="B45" s="405"/>
      <c r="C45" s="405"/>
      <c r="D45" s="405"/>
      <c r="E45" s="405"/>
      <c r="F45" s="405"/>
    </row>
    <row r="46" spans="1:6" x14ac:dyDescent="0.2">
      <c r="A46" s="405"/>
      <c r="B46" s="405"/>
      <c r="C46" s="405"/>
      <c r="D46" s="405"/>
      <c r="E46" s="405"/>
      <c r="F46" s="405"/>
    </row>
    <row r="47" spans="1:6" x14ac:dyDescent="0.2">
      <c r="A47" s="405"/>
      <c r="B47" s="405"/>
      <c r="C47" s="405"/>
      <c r="D47" s="405"/>
      <c r="E47" s="405"/>
      <c r="F47" s="405"/>
    </row>
    <row r="48" spans="1:6" x14ac:dyDescent="0.2">
      <c r="A48" s="405"/>
      <c r="B48" s="405"/>
      <c r="C48" s="405"/>
      <c r="D48" s="405"/>
      <c r="E48" s="405"/>
      <c r="F48" s="405"/>
    </row>
    <row r="49" spans="1:6" x14ac:dyDescent="0.2">
      <c r="A49" s="405"/>
      <c r="B49" s="405"/>
      <c r="C49" s="405"/>
      <c r="D49" s="405"/>
      <c r="E49" s="405"/>
      <c r="F49" s="405"/>
    </row>
    <row r="50" spans="1:6" x14ac:dyDescent="0.2">
      <c r="A50" s="405"/>
      <c r="B50" s="405"/>
      <c r="C50" s="405"/>
      <c r="D50" s="405"/>
      <c r="E50" s="405"/>
      <c r="F50" s="405"/>
    </row>
    <row r="51" spans="1:6" x14ac:dyDescent="0.2">
      <c r="A51" s="405"/>
      <c r="B51" s="405"/>
      <c r="C51" s="405"/>
      <c r="D51" s="405"/>
      <c r="E51" s="405"/>
      <c r="F51" s="405"/>
    </row>
    <row r="52" spans="1:6" x14ac:dyDescent="0.2">
      <c r="A52" s="405"/>
      <c r="B52" s="405"/>
      <c r="C52" s="405"/>
      <c r="D52" s="405"/>
      <c r="E52" s="405"/>
      <c r="F52" s="405"/>
    </row>
    <row r="53" spans="1:6" x14ac:dyDescent="0.2">
      <c r="A53" s="405"/>
      <c r="B53" s="405"/>
      <c r="C53" s="405"/>
      <c r="D53" s="405"/>
      <c r="E53" s="405"/>
      <c r="F53" s="405"/>
    </row>
    <row r="54" spans="1:6" x14ac:dyDescent="0.2">
      <c r="A54" s="405"/>
      <c r="B54" s="405"/>
      <c r="C54" s="405"/>
      <c r="D54" s="405"/>
      <c r="E54" s="405"/>
      <c r="F54" s="405"/>
    </row>
    <row r="55" spans="1:6" x14ac:dyDescent="0.2">
      <c r="A55" s="405"/>
      <c r="B55" s="405"/>
      <c r="C55" s="405"/>
      <c r="D55" s="405"/>
      <c r="E55" s="405"/>
      <c r="F55" s="405"/>
    </row>
    <row r="56" spans="1:6" x14ac:dyDescent="0.2">
      <c r="A56" s="405"/>
      <c r="B56" s="405"/>
      <c r="C56" s="405"/>
      <c r="D56" s="405"/>
      <c r="E56" s="405"/>
      <c r="F56" s="405"/>
    </row>
    <row r="57" spans="1:6" x14ac:dyDescent="0.2">
      <c r="A57" s="405"/>
      <c r="B57" s="405"/>
      <c r="C57" s="405"/>
      <c r="D57" s="405"/>
      <c r="E57" s="405"/>
      <c r="F57" s="405"/>
    </row>
    <row r="58" spans="1:6" x14ac:dyDescent="0.2">
      <c r="A58" s="405"/>
      <c r="B58" s="405"/>
      <c r="C58" s="405"/>
      <c r="D58" s="405"/>
      <c r="E58" s="405"/>
      <c r="F58" s="405"/>
    </row>
    <row r="59" spans="1:6" x14ac:dyDescent="0.2">
      <c r="A59" s="405"/>
      <c r="B59" s="405"/>
      <c r="C59" s="405"/>
      <c r="D59" s="405"/>
      <c r="E59" s="405"/>
      <c r="F59" s="405"/>
    </row>
    <row r="60" spans="1:6" x14ac:dyDescent="0.2">
      <c r="A60" s="405"/>
      <c r="B60" s="405"/>
      <c r="C60" s="405"/>
      <c r="D60" s="405"/>
      <c r="E60" s="405"/>
      <c r="F60" s="405"/>
    </row>
    <row r="61" spans="1:6" x14ac:dyDescent="0.2">
      <c r="A61" s="405"/>
      <c r="B61" s="405"/>
      <c r="C61" s="405"/>
      <c r="D61" s="405"/>
      <c r="E61" s="405"/>
      <c r="F61" s="405"/>
    </row>
    <row r="62" spans="1:6" x14ac:dyDescent="0.2">
      <c r="A62" s="405"/>
      <c r="B62" s="405"/>
      <c r="C62" s="405"/>
      <c r="D62" s="405"/>
      <c r="E62" s="405"/>
      <c r="F62" s="405"/>
    </row>
    <row r="63" spans="1:6" x14ac:dyDescent="0.2">
      <c r="A63" s="405"/>
      <c r="B63" s="405"/>
      <c r="C63" s="405"/>
      <c r="D63" s="405"/>
      <c r="E63" s="405"/>
      <c r="F63" s="405"/>
    </row>
    <row r="64" spans="1:6" x14ac:dyDescent="0.2">
      <c r="A64" s="405"/>
      <c r="B64" s="405"/>
      <c r="C64" s="405"/>
      <c r="D64" s="405"/>
      <c r="E64" s="405"/>
      <c r="F64" s="405"/>
    </row>
    <row r="65" spans="1:6" x14ac:dyDescent="0.2">
      <c r="A65" s="405"/>
      <c r="B65" s="405"/>
      <c r="C65" s="405"/>
      <c r="D65" s="405"/>
      <c r="E65" s="405"/>
      <c r="F65" s="405"/>
    </row>
    <row r="66" spans="1:6" x14ac:dyDescent="0.2">
      <c r="A66" s="405"/>
      <c r="B66" s="405"/>
      <c r="C66" s="405"/>
      <c r="D66" s="405"/>
      <c r="E66" s="405"/>
      <c r="F66" s="405"/>
    </row>
    <row r="67" spans="1:6" x14ac:dyDescent="0.2">
      <c r="A67" s="405"/>
      <c r="B67" s="405"/>
      <c r="C67" s="405"/>
      <c r="D67" s="405"/>
      <c r="E67" s="405"/>
      <c r="F67" s="405"/>
    </row>
    <row r="68" spans="1:6" x14ac:dyDescent="0.2">
      <c r="A68" s="405"/>
      <c r="B68" s="405"/>
      <c r="C68" s="405"/>
      <c r="D68" s="405"/>
      <c r="E68" s="405"/>
      <c r="F68" s="405"/>
    </row>
    <row r="69" spans="1:6" x14ac:dyDescent="0.2">
      <c r="A69" s="405"/>
      <c r="B69" s="405"/>
      <c r="C69" s="405"/>
      <c r="D69" s="405"/>
      <c r="E69" s="405"/>
      <c r="F69" s="405"/>
    </row>
    <row r="70" spans="1:6" x14ac:dyDescent="0.2">
      <c r="A70" s="405"/>
      <c r="B70" s="405"/>
      <c r="C70" s="405"/>
      <c r="D70" s="405"/>
      <c r="E70" s="405"/>
      <c r="F70" s="405"/>
    </row>
    <row r="71" spans="1:6" x14ac:dyDescent="0.2">
      <c r="A71" s="405"/>
      <c r="B71" s="405"/>
      <c r="C71" s="405"/>
      <c r="D71" s="405"/>
      <c r="E71" s="405"/>
      <c r="F71" s="405"/>
    </row>
    <row r="72" spans="1:6" x14ac:dyDescent="0.2">
      <c r="A72" s="405"/>
      <c r="B72" s="405"/>
      <c r="C72" s="405"/>
      <c r="D72" s="405"/>
      <c r="E72" s="405"/>
      <c r="F72" s="405"/>
    </row>
    <row r="73" spans="1:6" x14ac:dyDescent="0.2">
      <c r="A73" s="405"/>
      <c r="B73" s="405"/>
      <c r="C73" s="405"/>
      <c r="D73" s="405"/>
      <c r="E73" s="405"/>
      <c r="F73" s="405"/>
    </row>
    <row r="74" spans="1:6" x14ac:dyDescent="0.2">
      <c r="A74" s="405"/>
      <c r="B74" s="405"/>
      <c r="C74" s="405"/>
      <c r="D74" s="405"/>
      <c r="E74" s="405"/>
      <c r="F74" s="405"/>
    </row>
    <row r="75" spans="1:6" x14ac:dyDescent="0.2">
      <c r="A75" s="405"/>
      <c r="B75" s="405"/>
      <c r="C75" s="405"/>
      <c r="D75" s="405"/>
      <c r="E75" s="405"/>
      <c r="F75" s="405"/>
    </row>
    <row r="76" spans="1:6" x14ac:dyDescent="0.2">
      <c r="A76" s="405"/>
      <c r="B76" s="405"/>
      <c r="C76" s="405"/>
      <c r="D76" s="405"/>
      <c r="E76" s="405"/>
      <c r="F76" s="405"/>
    </row>
    <row r="77" spans="1:6" x14ac:dyDescent="0.2">
      <c r="A77" s="405"/>
      <c r="B77" s="405"/>
      <c r="C77" s="405"/>
      <c r="D77" s="405"/>
      <c r="E77" s="405"/>
      <c r="F77" s="405"/>
    </row>
    <row r="78" spans="1:6" x14ac:dyDescent="0.2">
      <c r="A78" s="405"/>
      <c r="B78" s="405"/>
      <c r="C78" s="405"/>
      <c r="D78" s="405"/>
      <c r="E78" s="405"/>
      <c r="F78" s="405"/>
    </row>
    <row r="79" spans="1:6" x14ac:dyDescent="0.2">
      <c r="A79" s="405"/>
      <c r="B79" s="405"/>
      <c r="C79" s="405"/>
      <c r="D79" s="405"/>
      <c r="E79" s="405"/>
      <c r="F79" s="405"/>
    </row>
    <row r="80" spans="1:6" x14ac:dyDescent="0.2">
      <c r="A80" s="405"/>
      <c r="B80" s="405"/>
      <c r="C80" s="405"/>
      <c r="D80" s="405"/>
      <c r="E80" s="405"/>
      <c r="F80" s="405"/>
    </row>
    <row r="81" spans="1:6" x14ac:dyDescent="0.2">
      <c r="A81" s="405"/>
      <c r="B81" s="405"/>
      <c r="C81" s="405"/>
      <c r="D81" s="405"/>
      <c r="E81" s="405"/>
      <c r="F81" s="405"/>
    </row>
    <row r="82" spans="1:6" x14ac:dyDescent="0.2">
      <c r="A82" s="405"/>
      <c r="B82" s="405"/>
      <c r="C82" s="405"/>
      <c r="D82" s="405"/>
      <c r="E82" s="405"/>
      <c r="F82" s="405"/>
    </row>
    <row r="83" spans="1:6" x14ac:dyDescent="0.2">
      <c r="A83" s="405"/>
      <c r="B83" s="405"/>
      <c r="C83" s="405"/>
      <c r="D83" s="405"/>
      <c r="E83" s="405"/>
      <c r="F83" s="405"/>
    </row>
    <row r="84" spans="1:6" x14ac:dyDescent="0.2">
      <c r="A84" s="405"/>
      <c r="B84" s="405"/>
      <c r="C84" s="405"/>
      <c r="D84" s="405"/>
      <c r="E84" s="405"/>
      <c r="F84" s="405"/>
    </row>
    <row r="85" spans="1:6" x14ac:dyDescent="0.2">
      <c r="A85" s="405"/>
      <c r="B85" s="405"/>
      <c r="C85" s="405"/>
      <c r="D85" s="405"/>
      <c r="E85" s="405"/>
      <c r="F85" s="405"/>
    </row>
    <row r="86" spans="1:6" x14ac:dyDescent="0.2">
      <c r="A86" s="405"/>
      <c r="B86" s="405"/>
      <c r="C86" s="405"/>
      <c r="D86" s="405"/>
      <c r="E86" s="405"/>
      <c r="F86" s="405"/>
    </row>
    <row r="87" spans="1:6" x14ac:dyDescent="0.2">
      <c r="A87" s="405"/>
      <c r="B87" s="405"/>
      <c r="C87" s="405"/>
      <c r="D87" s="405"/>
      <c r="E87" s="405"/>
      <c r="F87" s="405"/>
    </row>
    <row r="88" spans="1:6" x14ac:dyDescent="0.2">
      <c r="A88" s="405"/>
      <c r="B88" s="405"/>
      <c r="C88" s="405"/>
      <c r="D88" s="405"/>
      <c r="E88" s="405"/>
      <c r="F88" s="405"/>
    </row>
    <row r="89" spans="1:6" x14ac:dyDescent="0.2">
      <c r="A89" s="405"/>
      <c r="B89" s="405"/>
      <c r="C89" s="405"/>
      <c r="D89" s="405"/>
      <c r="E89" s="405"/>
      <c r="F89" s="405"/>
    </row>
    <row r="90" spans="1:6" x14ac:dyDescent="0.2">
      <c r="A90" s="405"/>
      <c r="B90" s="405"/>
      <c r="C90" s="405"/>
      <c r="D90" s="405"/>
      <c r="E90" s="405"/>
      <c r="F90" s="405"/>
    </row>
    <row r="91" spans="1:6" x14ac:dyDescent="0.2">
      <c r="A91" s="405"/>
      <c r="B91" s="405"/>
      <c r="C91" s="405"/>
      <c r="D91" s="405"/>
      <c r="E91" s="405"/>
      <c r="F91" s="405"/>
    </row>
    <row r="92" spans="1:6" x14ac:dyDescent="0.2">
      <c r="A92" s="405"/>
      <c r="B92" s="405"/>
      <c r="C92" s="405"/>
      <c r="D92" s="405"/>
      <c r="E92" s="405"/>
      <c r="F92" s="405"/>
    </row>
    <row r="93" spans="1:6" x14ac:dyDescent="0.2">
      <c r="A93" s="405"/>
      <c r="B93" s="405"/>
      <c r="C93" s="405"/>
      <c r="D93" s="405"/>
      <c r="E93" s="405"/>
      <c r="F93" s="405"/>
    </row>
    <row r="94" spans="1:6" x14ac:dyDescent="0.2">
      <c r="A94" s="405"/>
      <c r="B94" s="405"/>
      <c r="C94" s="405"/>
      <c r="D94" s="405"/>
      <c r="E94" s="405"/>
      <c r="F94" s="405"/>
    </row>
    <row r="95" spans="1:6" x14ac:dyDescent="0.2">
      <c r="A95" s="405"/>
      <c r="B95" s="405"/>
      <c r="C95" s="405"/>
      <c r="D95" s="405"/>
      <c r="E95" s="405"/>
      <c r="F95" s="405"/>
    </row>
    <row r="96" spans="1:6" x14ac:dyDescent="0.2">
      <c r="A96" s="405"/>
      <c r="B96" s="405"/>
      <c r="C96" s="405"/>
      <c r="D96" s="405"/>
      <c r="E96" s="405"/>
      <c r="F96" s="405"/>
    </row>
    <row r="97" spans="1:6" x14ac:dyDescent="0.2">
      <c r="A97" s="405"/>
      <c r="B97" s="405"/>
      <c r="C97" s="405"/>
      <c r="D97" s="405"/>
      <c r="E97" s="405"/>
      <c r="F97" s="405"/>
    </row>
    <row r="98" spans="1:6" x14ac:dyDescent="0.2">
      <c r="A98" s="405"/>
      <c r="B98" s="405"/>
      <c r="C98" s="405"/>
      <c r="D98" s="405"/>
      <c r="E98" s="405"/>
      <c r="F98" s="405"/>
    </row>
    <row r="99" spans="1:6" x14ac:dyDescent="0.2">
      <c r="A99" s="405"/>
      <c r="B99" s="405"/>
      <c r="C99" s="405"/>
      <c r="D99" s="405"/>
      <c r="E99" s="405"/>
      <c r="F99" s="405"/>
    </row>
    <row r="100" spans="1:6" x14ac:dyDescent="0.2">
      <c r="A100" s="405"/>
      <c r="B100" s="405"/>
      <c r="C100" s="405"/>
      <c r="D100" s="405"/>
      <c r="E100" s="405"/>
      <c r="F100" s="405"/>
    </row>
    <row r="101" spans="1:6" x14ac:dyDescent="0.2">
      <c r="A101" s="405"/>
      <c r="B101" s="405"/>
      <c r="C101" s="405"/>
      <c r="D101" s="405"/>
      <c r="E101" s="405"/>
      <c r="F101" s="405"/>
    </row>
    <row r="102" spans="1:6" x14ac:dyDescent="0.2">
      <c r="A102" s="405"/>
      <c r="B102" s="405"/>
      <c r="C102" s="405"/>
      <c r="D102" s="405"/>
      <c r="E102" s="405"/>
      <c r="F102" s="405"/>
    </row>
    <row r="103" spans="1:6" x14ac:dyDescent="0.2">
      <c r="A103" s="405"/>
      <c r="B103" s="405"/>
      <c r="C103" s="405"/>
      <c r="D103" s="405"/>
      <c r="E103" s="405"/>
      <c r="F103" s="405"/>
    </row>
    <row r="104" spans="1:6" x14ac:dyDescent="0.2">
      <c r="A104" s="405"/>
      <c r="B104" s="405"/>
      <c r="C104" s="405"/>
      <c r="D104" s="405"/>
      <c r="E104" s="405"/>
      <c r="F104" s="405"/>
    </row>
    <row r="105" spans="1:6" x14ac:dyDescent="0.2">
      <c r="A105" s="405"/>
      <c r="B105" s="405"/>
      <c r="C105" s="405"/>
      <c r="D105" s="405"/>
      <c r="E105" s="405"/>
      <c r="F105" s="405"/>
    </row>
    <row r="106" spans="1:6" x14ac:dyDescent="0.2">
      <c r="A106" s="405"/>
      <c r="B106" s="405"/>
      <c r="C106" s="405"/>
      <c r="D106" s="405"/>
      <c r="E106" s="405"/>
      <c r="F106" s="405"/>
    </row>
    <row r="107" spans="1:6" x14ac:dyDescent="0.2">
      <c r="A107" s="405"/>
      <c r="B107" s="405"/>
      <c r="C107" s="405"/>
      <c r="D107" s="405"/>
      <c r="E107" s="405"/>
      <c r="F107" s="405"/>
    </row>
    <row r="108" spans="1:6" x14ac:dyDescent="0.2">
      <c r="A108" s="405"/>
      <c r="B108" s="405"/>
      <c r="C108" s="405"/>
      <c r="D108" s="405"/>
      <c r="E108" s="405"/>
      <c r="F108" s="405"/>
    </row>
    <row r="109" spans="1:6" x14ac:dyDescent="0.2">
      <c r="A109" s="405"/>
      <c r="B109" s="405"/>
      <c r="C109" s="405"/>
      <c r="D109" s="405"/>
      <c r="E109" s="405"/>
      <c r="F109" s="405"/>
    </row>
    <row r="110" spans="1:6" x14ac:dyDescent="0.2">
      <c r="A110" s="405"/>
      <c r="B110" s="405"/>
      <c r="C110" s="405"/>
      <c r="D110" s="405"/>
      <c r="E110" s="405"/>
      <c r="F110" s="405"/>
    </row>
    <row r="111" spans="1:6" x14ac:dyDescent="0.2">
      <c r="A111" s="405"/>
      <c r="B111" s="405"/>
      <c r="C111" s="405"/>
      <c r="D111" s="405"/>
      <c r="E111" s="405"/>
      <c r="F111" s="405"/>
    </row>
    <row r="112" spans="1:6" x14ac:dyDescent="0.2">
      <c r="A112" s="405"/>
      <c r="B112" s="405"/>
      <c r="C112" s="405"/>
      <c r="D112" s="405"/>
      <c r="E112" s="405"/>
      <c r="F112" s="405"/>
    </row>
    <row r="113" spans="1:6" x14ac:dyDescent="0.2">
      <c r="A113" s="405"/>
      <c r="B113" s="405"/>
      <c r="C113" s="405"/>
      <c r="D113" s="405"/>
      <c r="E113" s="405"/>
      <c r="F113" s="405"/>
    </row>
    <row r="114" spans="1:6" x14ac:dyDescent="0.2">
      <c r="A114" s="405"/>
      <c r="B114" s="405"/>
      <c r="C114" s="405"/>
      <c r="D114" s="405"/>
      <c r="E114" s="405"/>
      <c r="F114" s="405"/>
    </row>
    <row r="115" spans="1:6" x14ac:dyDescent="0.2">
      <c r="A115" s="405"/>
      <c r="B115" s="405"/>
      <c r="C115" s="405"/>
      <c r="D115" s="405"/>
      <c r="E115" s="405"/>
      <c r="F115" s="405"/>
    </row>
    <row r="116" spans="1:6" x14ac:dyDescent="0.2">
      <c r="A116" s="405"/>
      <c r="B116" s="405"/>
      <c r="C116" s="405"/>
      <c r="D116" s="405"/>
      <c r="E116" s="405"/>
      <c r="F116" s="405"/>
    </row>
    <row r="117" spans="1:6" x14ac:dyDescent="0.2">
      <c r="A117" s="405"/>
      <c r="B117" s="405"/>
      <c r="C117" s="405"/>
      <c r="D117" s="405"/>
      <c r="E117" s="405"/>
      <c r="F117" s="405"/>
    </row>
    <row r="118" spans="1:6" x14ac:dyDescent="0.2">
      <c r="A118" s="405"/>
      <c r="B118" s="405"/>
      <c r="C118" s="405"/>
      <c r="D118" s="405"/>
      <c r="E118" s="405"/>
      <c r="F118" s="405"/>
    </row>
    <row r="119" spans="1:6" x14ac:dyDescent="0.2">
      <c r="A119" s="405"/>
      <c r="B119" s="405"/>
      <c r="C119" s="405"/>
      <c r="D119" s="405"/>
      <c r="E119" s="405"/>
      <c r="F119" s="405"/>
    </row>
    <row r="120" spans="1:6" x14ac:dyDescent="0.2">
      <c r="A120" s="405"/>
      <c r="B120" s="405"/>
      <c r="C120" s="405"/>
      <c r="D120" s="405"/>
      <c r="E120" s="405"/>
      <c r="F120" s="405"/>
    </row>
    <row r="121" spans="1:6" x14ac:dyDescent="0.2">
      <c r="A121" s="405"/>
      <c r="B121" s="405"/>
      <c r="C121" s="405"/>
      <c r="D121" s="405"/>
      <c r="E121" s="405"/>
      <c r="F121" s="405"/>
    </row>
    <row r="122" spans="1:6" x14ac:dyDescent="0.2">
      <c r="A122" s="405"/>
      <c r="B122" s="405"/>
      <c r="C122" s="405"/>
      <c r="D122" s="405"/>
      <c r="E122" s="405"/>
      <c r="F122" s="405"/>
    </row>
    <row r="123" spans="1:6" x14ac:dyDescent="0.2">
      <c r="A123" s="405"/>
      <c r="B123" s="405"/>
      <c r="C123" s="405"/>
      <c r="D123" s="405"/>
      <c r="E123" s="405"/>
      <c r="F123" s="405"/>
    </row>
    <row r="124" spans="1:6" x14ac:dyDescent="0.2">
      <c r="A124" s="405"/>
      <c r="B124" s="405"/>
      <c r="C124" s="405"/>
      <c r="D124" s="405"/>
      <c r="E124" s="405"/>
      <c r="F124" s="405"/>
    </row>
    <row r="125" spans="1:6" x14ac:dyDescent="0.2">
      <c r="A125" s="405"/>
      <c r="B125" s="405"/>
      <c r="C125" s="405"/>
      <c r="D125" s="405"/>
      <c r="E125" s="405"/>
      <c r="F125" s="405"/>
    </row>
    <row r="126" spans="1:6" x14ac:dyDescent="0.2">
      <c r="A126" s="405"/>
      <c r="B126" s="405"/>
      <c r="C126" s="405"/>
      <c r="D126" s="405"/>
      <c r="E126" s="405"/>
      <c r="F126" s="405"/>
    </row>
    <row r="127" spans="1:6" x14ac:dyDescent="0.2">
      <c r="A127" s="405"/>
      <c r="B127" s="405"/>
      <c r="C127" s="405"/>
      <c r="D127" s="405"/>
      <c r="E127" s="405"/>
      <c r="F127" s="405"/>
    </row>
    <row r="128" spans="1:6" x14ac:dyDescent="0.2">
      <c r="A128" s="405"/>
      <c r="B128" s="405"/>
      <c r="C128" s="405"/>
      <c r="D128" s="405"/>
      <c r="E128" s="405"/>
      <c r="F128" s="405"/>
    </row>
    <row r="129" spans="1:6" x14ac:dyDescent="0.2">
      <c r="A129" s="405"/>
      <c r="B129" s="405"/>
      <c r="C129" s="405"/>
      <c r="D129" s="405"/>
      <c r="E129" s="405"/>
      <c r="F129" s="405"/>
    </row>
    <row r="130" spans="1:6" x14ac:dyDescent="0.2">
      <c r="A130" s="405"/>
      <c r="B130" s="405"/>
      <c r="C130" s="405"/>
      <c r="D130" s="405"/>
      <c r="E130" s="405"/>
      <c r="F130" s="405"/>
    </row>
    <row r="131" spans="1:6" x14ac:dyDescent="0.2">
      <c r="A131" s="405"/>
      <c r="B131" s="405"/>
      <c r="C131" s="405"/>
      <c r="D131" s="405"/>
      <c r="E131" s="405"/>
      <c r="F131" s="405"/>
    </row>
    <row r="132" spans="1:6" x14ac:dyDescent="0.2">
      <c r="A132" s="405"/>
      <c r="B132" s="405"/>
      <c r="C132" s="405"/>
      <c r="D132" s="405"/>
      <c r="E132" s="405"/>
      <c r="F132" s="405"/>
    </row>
    <row r="133" spans="1:6" x14ac:dyDescent="0.2">
      <c r="A133" s="405"/>
      <c r="B133" s="405"/>
      <c r="C133" s="405"/>
      <c r="D133" s="405"/>
      <c r="E133" s="405"/>
      <c r="F133" s="405"/>
    </row>
    <row r="134" spans="1:6" x14ac:dyDescent="0.2">
      <c r="A134" s="405"/>
      <c r="B134" s="405"/>
      <c r="C134" s="405"/>
      <c r="D134" s="405"/>
      <c r="E134" s="405"/>
      <c r="F134" s="405"/>
    </row>
    <row r="135" spans="1:6" x14ac:dyDescent="0.2">
      <c r="A135" s="405"/>
      <c r="B135" s="405"/>
      <c r="C135" s="405"/>
      <c r="D135" s="405"/>
      <c r="E135" s="405"/>
      <c r="F135" s="405"/>
    </row>
    <row r="136" spans="1:6" x14ac:dyDescent="0.2">
      <c r="A136" s="405"/>
      <c r="B136" s="405"/>
      <c r="C136" s="405"/>
      <c r="D136" s="405"/>
      <c r="E136" s="405"/>
      <c r="F136" s="405"/>
    </row>
    <row r="137" spans="1:6" x14ac:dyDescent="0.2">
      <c r="A137" s="405"/>
      <c r="B137" s="405"/>
      <c r="C137" s="405"/>
      <c r="D137" s="405"/>
      <c r="E137" s="405"/>
      <c r="F137" s="405"/>
    </row>
    <row r="138" spans="1:6" x14ac:dyDescent="0.2">
      <c r="A138" s="405"/>
      <c r="B138" s="405"/>
      <c r="C138" s="405"/>
      <c r="D138" s="405"/>
      <c r="E138" s="405"/>
      <c r="F138" s="405"/>
    </row>
    <row r="139" spans="1:6" x14ac:dyDescent="0.2">
      <c r="A139" s="405"/>
      <c r="B139" s="405"/>
      <c r="C139" s="405"/>
      <c r="D139" s="405"/>
      <c r="E139" s="405"/>
      <c r="F139" s="405"/>
    </row>
    <row r="140" spans="1:6" x14ac:dyDescent="0.2">
      <c r="A140" s="405"/>
      <c r="B140" s="405"/>
      <c r="C140" s="405"/>
      <c r="D140" s="405"/>
      <c r="E140" s="405"/>
      <c r="F140" s="405"/>
    </row>
    <row r="141" spans="1:6" x14ac:dyDescent="0.2">
      <c r="A141" s="405"/>
      <c r="B141" s="405"/>
      <c r="C141" s="405"/>
      <c r="D141" s="405"/>
      <c r="E141" s="405"/>
      <c r="F141" s="405"/>
    </row>
    <row r="142" spans="1:6" x14ac:dyDescent="0.2">
      <c r="A142" s="405"/>
      <c r="B142" s="405"/>
      <c r="C142" s="405"/>
      <c r="D142" s="405"/>
      <c r="E142" s="405"/>
      <c r="F142" s="405"/>
    </row>
    <row r="143" spans="1:6" x14ac:dyDescent="0.2">
      <c r="A143" s="405"/>
      <c r="B143" s="405"/>
      <c r="C143" s="405"/>
      <c r="D143" s="405"/>
      <c r="E143" s="405"/>
      <c r="F143" s="405"/>
    </row>
    <row r="144" spans="1:6" x14ac:dyDescent="0.2">
      <c r="A144" s="405"/>
      <c r="B144" s="405"/>
      <c r="C144" s="405"/>
      <c r="D144" s="405"/>
      <c r="E144" s="405"/>
      <c r="F144" s="405"/>
    </row>
    <row r="145" spans="1:6" x14ac:dyDescent="0.2">
      <c r="A145" s="405"/>
      <c r="B145" s="405"/>
      <c r="C145" s="405"/>
      <c r="D145" s="405"/>
      <c r="E145" s="405"/>
      <c r="F145" s="405"/>
    </row>
    <row r="146" spans="1:6" x14ac:dyDescent="0.2">
      <c r="A146" s="405"/>
      <c r="B146" s="405"/>
      <c r="C146" s="405"/>
      <c r="D146" s="405"/>
      <c r="E146" s="405"/>
      <c r="F146" s="405"/>
    </row>
    <row r="147" spans="1:6" x14ac:dyDescent="0.2">
      <c r="A147" s="405"/>
      <c r="B147" s="405"/>
      <c r="C147" s="405"/>
      <c r="D147" s="405"/>
      <c r="E147" s="405"/>
      <c r="F147" s="405"/>
    </row>
    <row r="148" spans="1:6" x14ac:dyDescent="0.2">
      <c r="A148" s="405"/>
      <c r="B148" s="405"/>
      <c r="C148" s="405"/>
      <c r="D148" s="405"/>
      <c r="E148" s="405"/>
      <c r="F148" s="405"/>
    </row>
    <row r="149" spans="1:6" x14ac:dyDescent="0.2">
      <c r="A149" s="405"/>
      <c r="B149" s="405"/>
      <c r="C149" s="405"/>
      <c r="D149" s="405"/>
      <c r="E149" s="405"/>
      <c r="F149" s="405"/>
    </row>
    <row r="150" spans="1:6" x14ac:dyDescent="0.2">
      <c r="A150" s="405"/>
      <c r="B150" s="405"/>
      <c r="C150" s="405"/>
      <c r="D150" s="405"/>
      <c r="E150" s="405"/>
      <c r="F150" s="405"/>
    </row>
    <row r="151" spans="1:6" x14ac:dyDescent="0.2">
      <c r="A151" s="405"/>
      <c r="B151" s="405"/>
      <c r="C151" s="405"/>
      <c r="D151" s="405"/>
      <c r="E151" s="405"/>
      <c r="F151" s="405"/>
    </row>
    <row r="152" spans="1:6" x14ac:dyDescent="0.2">
      <c r="A152" s="405"/>
      <c r="B152" s="405"/>
      <c r="C152" s="405"/>
      <c r="D152" s="405"/>
      <c r="E152" s="405"/>
      <c r="F152" s="405"/>
    </row>
    <row r="153" spans="1:6" x14ac:dyDescent="0.2">
      <c r="A153" s="405"/>
      <c r="B153" s="405"/>
      <c r="C153" s="405"/>
      <c r="D153" s="405"/>
      <c r="E153" s="405"/>
      <c r="F153" s="405"/>
    </row>
    <row r="154" spans="1:6" x14ac:dyDescent="0.2">
      <c r="A154" s="405"/>
      <c r="B154" s="405"/>
      <c r="C154" s="405"/>
      <c r="D154" s="405"/>
      <c r="E154" s="405"/>
      <c r="F154" s="405"/>
    </row>
    <row r="155" spans="1:6" x14ac:dyDescent="0.2">
      <c r="A155" s="405"/>
      <c r="B155" s="405"/>
      <c r="C155" s="405"/>
      <c r="D155" s="405"/>
      <c r="E155" s="405"/>
      <c r="F155" s="405"/>
    </row>
    <row r="156" spans="1:6" x14ac:dyDescent="0.2">
      <c r="A156" s="405"/>
      <c r="B156" s="405"/>
      <c r="C156" s="405"/>
      <c r="D156" s="405"/>
      <c r="E156" s="405"/>
      <c r="F156" s="405"/>
    </row>
    <row r="157" spans="1:6" x14ac:dyDescent="0.2">
      <c r="A157" s="405"/>
      <c r="B157" s="405"/>
      <c r="C157" s="405"/>
      <c r="D157" s="405"/>
      <c r="E157" s="405"/>
      <c r="F157" s="405"/>
    </row>
    <row r="158" spans="1:6" x14ac:dyDescent="0.2">
      <c r="A158" s="405"/>
      <c r="B158" s="405"/>
      <c r="C158" s="405"/>
      <c r="D158" s="405"/>
      <c r="E158" s="405"/>
      <c r="F158" s="405"/>
    </row>
    <row r="159" spans="1:6" x14ac:dyDescent="0.2">
      <c r="A159" s="405"/>
      <c r="B159" s="405"/>
      <c r="C159" s="405"/>
      <c r="D159" s="405"/>
      <c r="E159" s="405"/>
      <c r="F159" s="405"/>
    </row>
    <row r="160" spans="1:6" x14ac:dyDescent="0.2">
      <c r="A160" s="405"/>
      <c r="B160" s="405"/>
      <c r="C160" s="405"/>
      <c r="D160" s="405"/>
      <c r="E160" s="405"/>
      <c r="F160" s="405"/>
    </row>
    <row r="161" spans="1:6" x14ac:dyDescent="0.2">
      <c r="A161" s="405"/>
      <c r="B161" s="405"/>
      <c r="C161" s="405"/>
      <c r="D161" s="405"/>
      <c r="E161" s="405"/>
      <c r="F161" s="405"/>
    </row>
    <row r="162" spans="1:6" x14ac:dyDescent="0.2">
      <c r="A162" s="405"/>
      <c r="B162" s="405"/>
      <c r="C162" s="405"/>
      <c r="D162" s="405"/>
      <c r="E162" s="405"/>
      <c r="F162" s="405"/>
    </row>
    <row r="163" spans="1:6" x14ac:dyDescent="0.2">
      <c r="A163" s="405"/>
      <c r="B163" s="405"/>
      <c r="C163" s="405"/>
      <c r="D163" s="405"/>
      <c r="E163" s="405"/>
      <c r="F163" s="405"/>
    </row>
    <row r="164" spans="1:6" x14ac:dyDescent="0.2">
      <c r="A164" s="405"/>
      <c r="B164" s="405"/>
      <c r="C164" s="405"/>
      <c r="D164" s="405"/>
      <c r="E164" s="405"/>
      <c r="F164" s="405"/>
    </row>
    <row r="165" spans="1:6" x14ac:dyDescent="0.2">
      <c r="A165" s="405"/>
      <c r="B165" s="405"/>
      <c r="C165" s="405"/>
      <c r="D165" s="405"/>
      <c r="E165" s="405"/>
      <c r="F165" s="405"/>
    </row>
    <row r="166" spans="1:6" x14ac:dyDescent="0.2">
      <c r="A166" s="405"/>
      <c r="B166" s="405"/>
      <c r="C166" s="405"/>
      <c r="D166" s="405"/>
      <c r="E166" s="405"/>
      <c r="F166" s="405"/>
    </row>
    <row r="167" spans="1:6" x14ac:dyDescent="0.2">
      <c r="A167" s="405"/>
      <c r="B167" s="405"/>
      <c r="C167" s="405"/>
      <c r="D167" s="405"/>
      <c r="E167" s="405"/>
      <c r="F167" s="405"/>
    </row>
    <row r="168" spans="1:6" x14ac:dyDescent="0.2">
      <c r="A168" s="405"/>
      <c r="B168" s="405"/>
      <c r="C168" s="405"/>
      <c r="D168" s="405"/>
      <c r="E168" s="405"/>
      <c r="F168" s="405"/>
    </row>
    <row r="169" spans="1:6" x14ac:dyDescent="0.2">
      <c r="A169" s="405"/>
      <c r="B169" s="405"/>
      <c r="C169" s="405"/>
      <c r="D169" s="405"/>
      <c r="E169" s="405"/>
      <c r="F169" s="405"/>
    </row>
  </sheetData>
  <mergeCells count="1">
    <mergeCell ref="A2:A3"/>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6"/>
  <sheetViews>
    <sheetView workbookViewId="0">
      <selection activeCell="C6" sqref="C6"/>
    </sheetView>
  </sheetViews>
  <sheetFormatPr defaultColWidth="11.28515625" defaultRowHeight="12.75" x14ac:dyDescent="0.2"/>
  <cols>
    <col min="1" max="1" width="27" bestFit="1" customWidth="1"/>
  </cols>
  <sheetData>
    <row r="1" spans="1:1" x14ac:dyDescent="0.2">
      <c r="A1" t="s">
        <v>156</v>
      </c>
    </row>
    <row r="2" spans="1:1" x14ac:dyDescent="0.2">
      <c r="A2" t="s">
        <v>157</v>
      </c>
    </row>
    <row r="3" spans="1:1" x14ac:dyDescent="0.2">
      <c r="A3" t="s">
        <v>158</v>
      </c>
    </row>
    <row r="4" spans="1:1" x14ac:dyDescent="0.2">
      <c r="A4" t="s">
        <v>159</v>
      </c>
    </row>
    <row r="5" spans="1:1" x14ac:dyDescent="0.2">
      <c r="A5" t="s">
        <v>160</v>
      </c>
    </row>
    <row r="6" spans="1:1" x14ac:dyDescent="0.2">
      <c r="A6" s="11" t="s">
        <v>161</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4">
    <tabColor rgb="FF0070C0"/>
  </sheetPr>
  <dimension ref="A1:AD88"/>
  <sheetViews>
    <sheetView topLeftCell="P25" zoomScaleNormal="100" workbookViewId="0">
      <pane xSplit="15540" topLeftCell="Y1"/>
      <selection activeCell="AC36" sqref="AC36"/>
      <selection pane="topRight" activeCell="AB41" sqref="AB41"/>
    </sheetView>
  </sheetViews>
  <sheetFormatPr defaultColWidth="11.28515625" defaultRowHeight="12.75" x14ac:dyDescent="0.2"/>
  <cols>
    <col min="1" max="1" width="24.28515625" bestFit="1" customWidth="1"/>
    <col min="2" max="2" width="11.28515625" customWidth="1"/>
    <col min="3" max="3" width="20" bestFit="1" customWidth="1"/>
    <col min="4" max="9" width="11" style="4" customWidth="1"/>
    <col min="10" max="11" width="8.7109375" style="4" bestFit="1" customWidth="1"/>
    <col min="12" max="12" width="9.28515625" style="4" bestFit="1" customWidth="1"/>
    <col min="13" max="13" width="9" style="4" bestFit="1" customWidth="1"/>
    <col min="14" max="20" width="9.28515625" style="4" bestFit="1" customWidth="1"/>
    <col min="21" max="21" width="10" style="4" bestFit="1" customWidth="1"/>
    <col min="22" max="22" width="9.7109375" style="4" bestFit="1" customWidth="1"/>
    <col min="23" max="23" width="10" style="4" bestFit="1" customWidth="1"/>
    <col min="24" max="25" width="9.7109375" style="4" bestFit="1" customWidth="1"/>
    <col min="26" max="28" width="10" style="4" bestFit="1" customWidth="1"/>
    <col min="29" max="29" width="10.28515625" style="4" bestFit="1" customWidth="1"/>
  </cols>
  <sheetData>
    <row r="1" spans="1:30" ht="20.25" x14ac:dyDescent="0.3">
      <c r="A1" s="768" t="s">
        <v>111</v>
      </c>
      <c r="B1" s="768"/>
      <c r="C1" s="768"/>
      <c r="D1" s="768"/>
      <c r="E1" s="768"/>
      <c r="F1" s="768"/>
      <c r="G1" s="768"/>
      <c r="H1" s="768"/>
      <c r="I1" s="768"/>
      <c r="J1" s="768"/>
      <c r="K1" s="768"/>
      <c r="L1" s="768"/>
    </row>
    <row r="2" spans="1:30" x14ac:dyDescent="0.2">
      <c r="A2" s="60"/>
      <c r="B2" s="60"/>
      <c r="C2" s="60"/>
      <c r="D2" s="60"/>
      <c r="E2" s="60"/>
      <c r="F2" s="60"/>
      <c r="G2" s="60"/>
      <c r="H2" s="60"/>
      <c r="I2" s="60"/>
      <c r="J2" s="60"/>
      <c r="K2" s="60"/>
      <c r="L2" s="60"/>
    </row>
    <row r="3" spans="1:30" x14ac:dyDescent="0.2">
      <c r="A3" s="60" t="s">
        <v>9</v>
      </c>
      <c r="B3" s="60"/>
      <c r="C3" s="60"/>
      <c r="D3" s="60"/>
      <c r="E3" s="60" t="s">
        <v>1</v>
      </c>
      <c r="F3" s="60"/>
      <c r="G3" s="60"/>
      <c r="H3" s="60"/>
      <c r="I3" s="60"/>
      <c r="J3" s="60"/>
      <c r="K3" s="60"/>
      <c r="L3" s="60"/>
    </row>
    <row r="4" spans="1:30" x14ac:dyDescent="0.2">
      <c r="A4" s="60"/>
      <c r="B4" s="60"/>
      <c r="C4" s="60"/>
      <c r="D4" s="60"/>
      <c r="E4" s="60"/>
      <c r="F4" s="60"/>
      <c r="G4" s="60"/>
      <c r="H4" s="60"/>
      <c r="I4" s="60"/>
      <c r="J4" s="60"/>
      <c r="K4" s="60"/>
      <c r="L4" s="60"/>
    </row>
    <row r="5" spans="1:30" x14ac:dyDescent="0.2">
      <c r="A5" s="60"/>
      <c r="B5" s="60"/>
      <c r="C5" s="60"/>
      <c r="D5" s="60"/>
      <c r="E5" s="60"/>
      <c r="F5" s="60"/>
      <c r="G5" s="60"/>
      <c r="H5" s="60"/>
      <c r="I5" s="60"/>
      <c r="J5" s="60"/>
      <c r="K5" s="60"/>
      <c r="L5" s="60"/>
    </row>
    <row r="6" spans="1:30" x14ac:dyDescent="0.2">
      <c r="A6" s="60"/>
      <c r="B6" s="60"/>
      <c r="C6" s="60"/>
      <c r="D6" s="60"/>
      <c r="E6" s="60"/>
      <c r="F6" s="60"/>
      <c r="G6" s="60"/>
      <c r="H6" s="60"/>
      <c r="I6" s="60"/>
      <c r="J6" s="60"/>
      <c r="K6" s="60"/>
      <c r="L6" s="60"/>
    </row>
    <row r="7" spans="1:30" x14ac:dyDescent="0.2">
      <c r="A7" s="60"/>
      <c r="B7" s="60"/>
      <c r="C7" s="60"/>
      <c r="D7" s="60"/>
      <c r="E7" s="60"/>
      <c r="F7" s="60"/>
      <c r="G7" s="60"/>
      <c r="H7" s="60"/>
      <c r="I7" s="60"/>
      <c r="J7" s="60"/>
      <c r="K7" s="60"/>
      <c r="L7" s="60"/>
    </row>
    <row r="8" spans="1:30" x14ac:dyDescent="0.2">
      <c r="A8" s="60"/>
      <c r="B8" s="60"/>
      <c r="C8" s="60"/>
      <c r="D8" s="60"/>
      <c r="E8" s="60"/>
      <c r="F8" s="60"/>
      <c r="G8" s="60"/>
      <c r="H8" s="60"/>
      <c r="I8" s="60"/>
      <c r="J8" s="60"/>
      <c r="K8" s="60"/>
      <c r="L8" s="60"/>
    </row>
    <row r="9" spans="1:30" x14ac:dyDescent="0.2">
      <c r="A9" s="60"/>
      <c r="B9" s="60"/>
      <c r="C9" s="60"/>
      <c r="D9" s="60"/>
      <c r="E9" s="60"/>
      <c r="F9" s="60"/>
      <c r="G9" s="60"/>
      <c r="H9" s="60"/>
      <c r="I9" s="60"/>
      <c r="J9" s="60"/>
      <c r="K9" s="60"/>
      <c r="L9" s="60"/>
    </row>
    <row r="10" spans="1:30" x14ac:dyDescent="0.2">
      <c r="A10" s="60"/>
      <c r="B10" s="60"/>
      <c r="C10" s="60"/>
      <c r="D10" s="60"/>
      <c r="E10" s="60"/>
      <c r="F10" s="60"/>
      <c r="G10" s="60"/>
      <c r="H10" s="60"/>
      <c r="I10" s="60"/>
      <c r="J10" s="60"/>
      <c r="K10" s="60"/>
      <c r="L10" s="60"/>
    </row>
    <row r="11" spans="1:30" x14ac:dyDescent="0.2">
      <c r="A11" s="60"/>
      <c r="B11" s="60"/>
      <c r="C11" s="60"/>
      <c r="D11" s="60"/>
      <c r="E11" s="60"/>
      <c r="F11" s="60"/>
      <c r="G11" s="60"/>
      <c r="H11" s="60"/>
      <c r="I11" s="60"/>
      <c r="J11" s="60"/>
      <c r="K11" s="60"/>
      <c r="L11" s="60"/>
    </row>
    <row r="12" spans="1:30" x14ac:dyDescent="0.2">
      <c r="A12" s="60"/>
      <c r="B12" s="60"/>
      <c r="C12" s="60"/>
      <c r="D12" s="60"/>
      <c r="E12" s="60"/>
      <c r="F12" s="60"/>
      <c r="G12" s="60"/>
      <c r="H12" s="60"/>
      <c r="I12" s="60"/>
      <c r="J12" s="60"/>
      <c r="K12" s="60"/>
      <c r="L12" s="60"/>
      <c r="Z12" s="1"/>
    </row>
    <row r="13" spans="1:30" x14ac:dyDescent="0.2">
      <c r="A13" s="60"/>
      <c r="B13" s="60"/>
      <c r="C13" s="60"/>
      <c r="D13" s="60"/>
      <c r="E13" s="60"/>
      <c r="F13" s="60"/>
      <c r="G13" s="60"/>
      <c r="H13" s="60"/>
      <c r="I13" s="60"/>
      <c r="J13" s="60"/>
      <c r="K13" s="60"/>
      <c r="L13" s="60"/>
    </row>
    <row r="14" spans="1:30" x14ac:dyDescent="0.2">
      <c r="A14" s="60"/>
      <c r="B14" s="60"/>
      <c r="C14" s="60"/>
      <c r="D14" s="60"/>
      <c r="E14" s="60"/>
      <c r="F14" s="60"/>
      <c r="G14" s="60"/>
      <c r="H14" s="60"/>
      <c r="I14" s="60"/>
      <c r="J14" s="60"/>
      <c r="K14" s="60"/>
      <c r="L14" s="60"/>
    </row>
    <row r="15" spans="1:30" x14ac:dyDescent="0.2">
      <c r="A15" s="60"/>
      <c r="B15" s="60"/>
      <c r="C15" s="60"/>
      <c r="D15" s="60"/>
      <c r="E15" s="60"/>
      <c r="F15" s="60"/>
      <c r="G15" s="60"/>
      <c r="H15" s="60"/>
      <c r="I15" s="60"/>
      <c r="J15" s="60"/>
      <c r="K15" s="60"/>
      <c r="L15" s="60"/>
      <c r="AD15" s="97"/>
    </row>
    <row r="16" spans="1:30" x14ac:dyDescent="0.2">
      <c r="A16" s="60" t="s">
        <v>19</v>
      </c>
      <c r="B16" s="60"/>
      <c r="C16" s="60"/>
      <c r="D16" s="60"/>
      <c r="E16" s="60" t="s">
        <v>41</v>
      </c>
      <c r="F16" s="60"/>
      <c r="G16" s="60"/>
      <c r="H16" s="60"/>
      <c r="I16" s="60"/>
      <c r="J16" s="60"/>
      <c r="K16" s="60"/>
      <c r="L16" s="60"/>
      <c r="AD16" s="97"/>
    </row>
    <row r="17" spans="4:30" x14ac:dyDescent="0.2">
      <c r="AD17" s="97"/>
    </row>
    <row r="18" spans="4:30" x14ac:dyDescent="0.2">
      <c r="AD18" s="97"/>
    </row>
    <row r="19" spans="4:30" x14ac:dyDescent="0.2">
      <c r="AD19" s="97"/>
    </row>
    <row r="20" spans="4:30" x14ac:dyDescent="0.2">
      <c r="AD20" s="97"/>
    </row>
    <row r="21" spans="4:30" x14ac:dyDescent="0.2">
      <c r="AD21" s="97"/>
    </row>
    <row r="22" spans="4:30" x14ac:dyDescent="0.2">
      <c r="AD22" s="97"/>
    </row>
    <row r="23" spans="4:30" x14ac:dyDescent="0.2">
      <c r="AD23" s="97"/>
    </row>
    <row r="24" spans="4:30" x14ac:dyDescent="0.2">
      <c r="AD24" s="97"/>
    </row>
    <row r="25" spans="4:30" x14ac:dyDescent="0.2">
      <c r="AD25" s="97"/>
    </row>
    <row r="26" spans="4:30" x14ac:dyDescent="0.2">
      <c r="K26" s="180"/>
      <c r="AD26" s="97"/>
    </row>
    <row r="27" spans="4:30" x14ac:dyDescent="0.2">
      <c r="K27" s="180"/>
      <c r="AD27" s="97"/>
    </row>
    <row r="31" spans="4:30" x14ac:dyDescent="0.2">
      <c r="D31" s="233">
        <v>1E-3</v>
      </c>
      <c r="E31" s="234">
        <f>1/((1+$B$59+$D31)^(E35-2021))</f>
        <v>0.92250922509225108</v>
      </c>
      <c r="F31" s="234">
        <f t="shared" ref="F31:AC31" si="0">1/((1+$B$59+$D31)^(F35-2021))</f>
        <v>0.85102327038030556</v>
      </c>
      <c r="G31" s="234">
        <f t="shared" si="0"/>
        <v>0.78507681769400894</v>
      </c>
      <c r="H31" s="234">
        <f t="shared" si="0"/>
        <v>0.72424060672879054</v>
      </c>
      <c r="I31" s="234">
        <f t="shared" si="0"/>
        <v>0.66811864089371831</v>
      </c>
      <c r="J31" s="234">
        <f t="shared" si="0"/>
        <v>0.61634560968055208</v>
      </c>
      <c r="K31" s="234">
        <f t="shared" si="0"/>
        <v>0.56858451077541716</v>
      </c>
      <c r="L31" s="234">
        <f t="shared" si="0"/>
        <v>0.52452445643488677</v>
      </c>
      <c r="M31" s="234">
        <f t="shared" si="0"/>
        <v>0.48387864984768159</v>
      </c>
      <c r="N31" s="234">
        <f t="shared" si="0"/>
        <v>0.44638251830966935</v>
      </c>
      <c r="O31" s="234">
        <f t="shared" si="0"/>
        <v>0.41179199106058068</v>
      </c>
      <c r="P31" s="234">
        <f t="shared" si="0"/>
        <v>0.37988191057249149</v>
      </c>
      <c r="Q31" s="234">
        <f t="shared" si="0"/>
        <v>0.35044456694879283</v>
      </c>
      <c r="R31" s="234">
        <f t="shared" si="0"/>
        <v>0.32328834589372041</v>
      </c>
      <c r="S31" s="234">
        <f t="shared" si="0"/>
        <v>0.29823648145177167</v>
      </c>
      <c r="T31" s="234">
        <f t="shared" si="0"/>
        <v>0.27512590539831339</v>
      </c>
      <c r="U31" s="234">
        <f t="shared" si="0"/>
        <v>0.25380618579180203</v>
      </c>
      <c r="V31" s="234">
        <f t="shared" si="0"/>
        <v>0.2341385477784152</v>
      </c>
      <c r="W31" s="234">
        <f t="shared" si="0"/>
        <v>0.21599497027529083</v>
      </c>
      <c r="X31" s="234">
        <f t="shared" si="0"/>
        <v>0.19925735265248232</v>
      </c>
      <c r="Y31" s="234">
        <f t="shared" si="0"/>
        <v>0.18381674598937486</v>
      </c>
      <c r="Z31" s="234">
        <f t="shared" si="0"/>
        <v>0.16957264390163737</v>
      </c>
      <c r="AA31" s="234">
        <f t="shared" si="0"/>
        <v>0.1564323283225437</v>
      </c>
      <c r="AB31" s="234">
        <f t="shared" si="0"/>
        <v>0.14431026598020638</v>
      </c>
      <c r="AC31" s="234">
        <f t="shared" si="0"/>
        <v>0.13312755164225684</v>
      </c>
    </row>
    <row r="32" spans="4:30" x14ac:dyDescent="0.2">
      <c r="D32" s="235">
        <v>5.0000000000000001E-3</v>
      </c>
      <c r="E32" s="234">
        <f>1/((1+$B$59+$D32)^(E35-2021))</f>
        <v>0.91911764705882371</v>
      </c>
      <c r="F32" s="234">
        <f t="shared" ref="F32:AC32" si="1">1/((1+$B$59+$D32)^(F35-2021))</f>
        <v>0.84477724913494834</v>
      </c>
      <c r="G32" s="234">
        <f t="shared" si="1"/>
        <v>0.77644967751373939</v>
      </c>
      <c r="H32" s="234">
        <f t="shared" si="1"/>
        <v>0.71364860065601055</v>
      </c>
      <c r="I32" s="234">
        <f t="shared" si="1"/>
        <v>0.65592702266177449</v>
      </c>
      <c r="J32" s="234">
        <f t="shared" si="1"/>
        <v>0.60287410171118994</v>
      </c>
      <c r="K32" s="234">
        <f t="shared" si="1"/>
        <v>0.55411222583749076</v>
      </c>
      <c r="L32" s="234">
        <f t="shared" si="1"/>
        <v>0.509294325218282</v>
      </c>
      <c r="M32" s="234">
        <f t="shared" si="1"/>
        <v>0.46810140185503862</v>
      </c>
      <c r="N32" s="234">
        <f t="shared" si="1"/>
        <v>0.43024025905793994</v>
      </c>
      <c r="O32" s="234">
        <f t="shared" si="1"/>
        <v>0.39544141457531257</v>
      </c>
      <c r="P32" s="234">
        <f t="shared" si="1"/>
        <v>0.36345718251407405</v>
      </c>
      <c r="Q32" s="234">
        <f t="shared" si="1"/>
        <v>0.33405991039896515</v>
      </c>
      <c r="R32" s="234">
        <f t="shared" si="1"/>
        <v>0.30704035882257835</v>
      </c>
      <c r="S32" s="234">
        <f t="shared" si="1"/>
        <v>0.28220621215310515</v>
      </c>
      <c r="T32" s="234">
        <f t="shared" si="1"/>
        <v>0.25938070969954519</v>
      </c>
      <c r="U32" s="234">
        <f t="shared" si="1"/>
        <v>0.23840138759149374</v>
      </c>
      <c r="V32" s="234">
        <f t="shared" si="1"/>
        <v>0.21911892241865238</v>
      </c>
      <c r="W32" s="234">
        <f t="shared" si="1"/>
        <v>0.2013960683994967</v>
      </c>
      <c r="X32" s="234">
        <f t="shared" si="1"/>
        <v>0.18510668051424331</v>
      </c>
      <c r="Y32" s="234">
        <f t="shared" si="1"/>
        <v>0.17013481664912072</v>
      </c>
      <c r="Z32" s="234">
        <f t="shared" si="1"/>
        <v>0.15637391236132422</v>
      </c>
      <c r="AA32" s="234">
        <f t="shared" si="1"/>
        <v>0.143726022390923</v>
      </c>
      <c r="AB32" s="234">
        <f t="shared" si="1"/>
        <v>0.13210112352106895</v>
      </c>
      <c r="AC32" s="234">
        <f t="shared" si="1"/>
        <v>0.1214164738245119</v>
      </c>
    </row>
    <row r="33" spans="1:30" x14ac:dyDescent="0.2">
      <c r="D33" s="108" t="s">
        <v>260</v>
      </c>
      <c r="E33" s="234">
        <f>1/((1+$B$59)^(E35-2021))</f>
        <v>0.92336103416435833</v>
      </c>
      <c r="F33" s="234">
        <f t="shared" ref="F33:AC33" si="2">1/((1+$B$59)^(F35-2021))</f>
        <v>0.85259559941307328</v>
      </c>
      <c r="G33" s="234">
        <f t="shared" si="2"/>
        <v>0.78725355439803635</v>
      </c>
      <c r="H33" s="234">
        <f t="shared" si="2"/>
        <v>0.72691925613853769</v>
      </c>
      <c r="I33" s="234">
        <f t="shared" si="2"/>
        <v>0.67120891610206623</v>
      </c>
      <c r="J33" s="234">
        <f t="shared" si="2"/>
        <v>0.61976815891234194</v>
      </c>
      <c r="K33" s="234">
        <f t="shared" si="2"/>
        <v>0.57226976815544039</v>
      </c>
      <c r="L33" s="234">
        <f t="shared" si="2"/>
        <v>0.52841160494500505</v>
      </c>
      <c r="M33" s="234">
        <f t="shared" si="2"/>
        <v>0.48791468600646815</v>
      </c>
      <c r="N33" s="234">
        <f t="shared" si="2"/>
        <v>0.45052140905491062</v>
      </c>
      <c r="O33" s="234">
        <f t="shared" si="2"/>
        <v>0.4159939141781262</v>
      </c>
      <c r="P33" s="234">
        <f t="shared" si="2"/>
        <v>0.38411257080159389</v>
      </c>
      <c r="Q33" s="234">
        <f t="shared" si="2"/>
        <v>0.35467458061089008</v>
      </c>
      <c r="R33" s="234">
        <f t="shared" si="2"/>
        <v>0.32749268754468147</v>
      </c>
      <c r="S33" s="234">
        <f t="shared" si="2"/>
        <v>0.30239398665252215</v>
      </c>
      <c r="T33" s="234">
        <f t="shared" si="2"/>
        <v>0.27921882424055605</v>
      </c>
      <c r="U33" s="234">
        <f t="shared" si="2"/>
        <v>0.25781978230891606</v>
      </c>
      <c r="V33" s="234">
        <f t="shared" si="2"/>
        <v>0.23806074082079043</v>
      </c>
      <c r="W33" s="234">
        <f t="shared" si="2"/>
        <v>0.21981601183821831</v>
      </c>
      <c r="X33" s="234">
        <f t="shared" si="2"/>
        <v>0.2029695400168221</v>
      </c>
      <c r="Y33" s="234">
        <f t="shared" si="2"/>
        <v>0.18741416437379693</v>
      </c>
      <c r="Z33" s="234">
        <f t="shared" si="2"/>
        <v>0.1730509366332382</v>
      </c>
      <c r="AA33" s="234">
        <f t="shared" si="2"/>
        <v>0.15978849181277768</v>
      </c>
      <c r="AB33" s="234">
        <f t="shared" si="2"/>
        <v>0.14754246704780949</v>
      </c>
      <c r="AC33" s="234">
        <f t="shared" si="2"/>
        <v>0.13623496495642612</v>
      </c>
    </row>
    <row r="35" spans="1:30" x14ac:dyDescent="0.2">
      <c r="B35" s="35" t="s">
        <v>175</v>
      </c>
      <c r="C35" s="35" t="s">
        <v>192</v>
      </c>
      <c r="D35" s="13">
        <v>2021</v>
      </c>
      <c r="E35" s="13">
        <f>D35+1</f>
        <v>2022</v>
      </c>
      <c r="F35" s="13">
        <f t="shared" ref="F35:AC35" si="3">E35+1</f>
        <v>2023</v>
      </c>
      <c r="G35" s="13">
        <f t="shared" si="3"/>
        <v>2024</v>
      </c>
      <c r="H35" s="13">
        <f t="shared" si="3"/>
        <v>2025</v>
      </c>
      <c r="I35" s="13">
        <f t="shared" si="3"/>
        <v>2026</v>
      </c>
      <c r="J35" s="13">
        <f t="shared" si="3"/>
        <v>2027</v>
      </c>
      <c r="K35" s="13">
        <f t="shared" si="3"/>
        <v>2028</v>
      </c>
      <c r="L35" s="13">
        <f t="shared" si="3"/>
        <v>2029</v>
      </c>
      <c r="M35" s="13">
        <f t="shared" si="3"/>
        <v>2030</v>
      </c>
      <c r="N35" s="13">
        <f t="shared" si="3"/>
        <v>2031</v>
      </c>
      <c r="O35" s="13">
        <f t="shared" si="3"/>
        <v>2032</v>
      </c>
      <c r="P35" s="13">
        <f t="shared" si="3"/>
        <v>2033</v>
      </c>
      <c r="Q35" s="13">
        <f t="shared" si="3"/>
        <v>2034</v>
      </c>
      <c r="R35" s="13">
        <f t="shared" si="3"/>
        <v>2035</v>
      </c>
      <c r="S35" s="13">
        <f t="shared" si="3"/>
        <v>2036</v>
      </c>
      <c r="T35" s="13">
        <f t="shared" si="3"/>
        <v>2037</v>
      </c>
      <c r="U35" s="13">
        <f t="shared" si="3"/>
        <v>2038</v>
      </c>
      <c r="V35" s="13">
        <f t="shared" si="3"/>
        <v>2039</v>
      </c>
      <c r="W35" s="13">
        <f t="shared" si="3"/>
        <v>2040</v>
      </c>
      <c r="X35" s="13">
        <f t="shared" si="3"/>
        <v>2041</v>
      </c>
      <c r="Y35" s="13">
        <f t="shared" si="3"/>
        <v>2042</v>
      </c>
      <c r="Z35" s="13">
        <f t="shared" si="3"/>
        <v>2043</v>
      </c>
      <c r="AA35" s="13">
        <f t="shared" si="3"/>
        <v>2044</v>
      </c>
      <c r="AB35" s="13">
        <f t="shared" si="3"/>
        <v>2045</v>
      </c>
      <c r="AC35" s="13">
        <f t="shared" si="3"/>
        <v>2046</v>
      </c>
    </row>
    <row r="36" spans="1:30" s="19" customFormat="1" x14ac:dyDescent="0.2">
      <c r="A36" s="32" t="s">
        <v>10</v>
      </c>
      <c r="B36" s="49">
        <f>OP!N34</f>
        <v>-0.15440774872738372</v>
      </c>
      <c r="C36" s="49">
        <f>OP!N35</f>
        <v>6.0281954538757843E-2</v>
      </c>
      <c r="D36" s="182">
        <v>0.35</v>
      </c>
      <c r="E36" s="182">
        <v>3.4000000000000002E-2</v>
      </c>
      <c r="F36" s="182">
        <v>9.5000000000000001E-2</v>
      </c>
      <c r="G36" s="182">
        <v>9.5000000000000001E-2</v>
      </c>
      <c r="H36" s="182">
        <v>9.5000000000000001E-2</v>
      </c>
      <c r="I36" s="182">
        <v>9.5000000000000001E-2</v>
      </c>
      <c r="J36" s="182">
        <v>9.5000000000000001E-2</v>
      </c>
      <c r="K36" s="49">
        <v>0.08</v>
      </c>
      <c r="L36" s="49">
        <v>0.06</v>
      </c>
      <c r="M36" s="49">
        <v>0.05</v>
      </c>
      <c r="N36" s="49">
        <v>0.04</v>
      </c>
      <c r="O36" s="49">
        <v>3.5000000000000003E-2</v>
      </c>
      <c r="P36" s="49">
        <v>3.5000000000000003E-2</v>
      </c>
      <c r="Q36" s="49">
        <v>3.5000000000000003E-2</v>
      </c>
      <c r="R36" s="49">
        <v>3.5000000000000003E-2</v>
      </c>
      <c r="S36" s="49">
        <v>3.5000000000000003E-2</v>
      </c>
      <c r="T36" s="49">
        <v>3.5000000000000003E-2</v>
      </c>
      <c r="U36" s="49">
        <v>3.5000000000000003E-2</v>
      </c>
      <c r="V36" s="49">
        <v>3.5000000000000003E-2</v>
      </c>
      <c r="W36" s="49">
        <v>3.5000000000000003E-2</v>
      </c>
      <c r="X36" s="49">
        <v>3.5000000000000003E-2</v>
      </c>
      <c r="Y36" s="49">
        <v>3.5000000000000003E-2</v>
      </c>
      <c r="Z36" s="49">
        <v>3.5000000000000003E-2</v>
      </c>
      <c r="AA36" s="49">
        <v>3.5000000000000003E-2</v>
      </c>
      <c r="AB36" s="49">
        <v>3.5000000000000003E-2</v>
      </c>
      <c r="AC36" s="49">
        <v>3.5000000000000003E-2</v>
      </c>
    </row>
    <row r="37" spans="1:30" s="7" customFormat="1" x14ac:dyDescent="0.2">
      <c r="A37" s="14" t="s">
        <v>9</v>
      </c>
      <c r="B37" s="71">
        <f>OP!C34</f>
        <v>1024.9169999999999</v>
      </c>
      <c r="C37" s="71">
        <f>OP!C35</f>
        <v>1086.701</v>
      </c>
      <c r="D37" s="1">
        <f>OP!C34*(1+D36)</f>
        <v>1383.63795</v>
      </c>
      <c r="E37" s="1">
        <f t="shared" ref="E37:AC37" si="4">D37*(1+E36)</f>
        <v>1430.6816403</v>
      </c>
      <c r="F37" s="1">
        <f t="shared" si="4"/>
        <v>1566.5963961284999</v>
      </c>
      <c r="G37" s="1">
        <f t="shared" si="4"/>
        <v>1715.4230537607073</v>
      </c>
      <c r="H37" s="1">
        <f t="shared" si="4"/>
        <v>1878.3882438679743</v>
      </c>
      <c r="I37" s="1">
        <f t="shared" si="4"/>
        <v>2056.8351270354319</v>
      </c>
      <c r="J37" s="1">
        <f t="shared" si="4"/>
        <v>2252.234464103798</v>
      </c>
      <c r="K37" s="1">
        <f t="shared" si="4"/>
        <v>2432.4132212321019</v>
      </c>
      <c r="L37" s="1">
        <f t="shared" si="4"/>
        <v>2578.3580145060282</v>
      </c>
      <c r="M37" s="1">
        <f t="shared" si="4"/>
        <v>2707.2759152313297</v>
      </c>
      <c r="N37" s="1">
        <f t="shared" si="4"/>
        <v>2815.566951840583</v>
      </c>
      <c r="O37" s="1">
        <f t="shared" si="4"/>
        <v>2914.1117951550032</v>
      </c>
      <c r="P37" s="1">
        <f t="shared" si="4"/>
        <v>3016.1057079854281</v>
      </c>
      <c r="Q37" s="1">
        <f t="shared" si="4"/>
        <v>3121.6694077649177</v>
      </c>
      <c r="R37" s="1">
        <f t="shared" si="4"/>
        <v>3230.9278370366897</v>
      </c>
      <c r="S37" s="1">
        <f t="shared" si="4"/>
        <v>3344.0103113329737</v>
      </c>
      <c r="T37" s="1">
        <f t="shared" si="4"/>
        <v>3461.0506722296277</v>
      </c>
      <c r="U37" s="1">
        <f t="shared" si="4"/>
        <v>3582.1874457576646</v>
      </c>
      <c r="V37" s="1">
        <f t="shared" si="4"/>
        <v>3707.5640063591827</v>
      </c>
      <c r="W37" s="1">
        <f t="shared" si="4"/>
        <v>3837.3287465817539</v>
      </c>
      <c r="X37" s="1">
        <f t="shared" si="4"/>
        <v>3971.6352527121148</v>
      </c>
      <c r="Y37" s="1">
        <f t="shared" si="4"/>
        <v>4110.6424865570389</v>
      </c>
      <c r="Z37" s="1">
        <f t="shared" si="4"/>
        <v>4254.5149735865352</v>
      </c>
      <c r="AA37" s="1">
        <f t="shared" si="4"/>
        <v>4403.4229976620636</v>
      </c>
      <c r="AB37" s="1">
        <f t="shared" si="4"/>
        <v>4557.5428025802357</v>
      </c>
      <c r="AC37" s="1">
        <f t="shared" si="4"/>
        <v>4717.0568006705435</v>
      </c>
    </row>
    <row r="38" spans="1:30" s="19" customFormat="1" x14ac:dyDescent="0.2">
      <c r="A38" s="32" t="s">
        <v>1</v>
      </c>
      <c r="B38" s="86">
        <f>+OP!D34</f>
        <v>9.4481797062591411E-2</v>
      </c>
      <c r="C38" s="86">
        <f>+OP!D35</f>
        <v>0.1323758789216169</v>
      </c>
      <c r="D38" s="182">
        <f>108166.4/365513.2</f>
        <v>0.29593021537936248</v>
      </c>
      <c r="E38" s="182">
        <f>108162.8/377959.8</f>
        <v>0.28617540807249875</v>
      </c>
      <c r="F38" s="182">
        <v>0.27</v>
      </c>
      <c r="G38" s="182">
        <v>0.27500000000000002</v>
      </c>
      <c r="H38" s="182">
        <v>0.26</v>
      </c>
      <c r="I38" s="182">
        <v>0.255</v>
      </c>
      <c r="J38" s="182">
        <v>0.25</v>
      </c>
      <c r="K38" s="49">
        <v>0.25</v>
      </c>
      <c r="L38" s="49">
        <v>0.25</v>
      </c>
      <c r="M38" s="49">
        <v>0.25</v>
      </c>
      <c r="N38" s="49">
        <v>0.25</v>
      </c>
      <c r="O38" s="49">
        <v>0.25</v>
      </c>
      <c r="P38" s="49">
        <v>0.25</v>
      </c>
      <c r="Q38" s="49">
        <v>0.25</v>
      </c>
      <c r="R38" s="49">
        <v>0.25</v>
      </c>
      <c r="S38" s="49">
        <v>0.25</v>
      </c>
      <c r="T38" s="49">
        <v>0.25</v>
      </c>
      <c r="U38" s="49">
        <v>0.25</v>
      </c>
      <c r="V38" s="49">
        <v>0.25</v>
      </c>
      <c r="W38" s="49">
        <v>0.25</v>
      </c>
      <c r="X38" s="49">
        <v>0.25</v>
      </c>
      <c r="Y38" s="49">
        <v>0.25</v>
      </c>
      <c r="Z38" s="49">
        <v>0.25</v>
      </c>
      <c r="AA38" s="49">
        <v>0.25</v>
      </c>
      <c r="AB38" s="49">
        <v>0.25</v>
      </c>
      <c r="AC38" s="49">
        <v>0.25</v>
      </c>
    </row>
    <row r="39" spans="1:30" x14ac:dyDescent="0.2">
      <c r="A39" s="11" t="s">
        <v>3</v>
      </c>
      <c r="B39" s="71">
        <v>63930</v>
      </c>
      <c r="C39" s="71">
        <v>66288</v>
      </c>
      <c r="D39" s="1">
        <f t="shared" ref="D39:AC39" si="5">D37*D38</f>
        <v>409.46027655055957</v>
      </c>
      <c r="E39" s="1">
        <f t="shared" si="5"/>
        <v>409.42590223468437</v>
      </c>
      <c r="F39" s="1">
        <f t="shared" si="5"/>
        <v>422.98102695469498</v>
      </c>
      <c r="G39" s="1">
        <f t="shared" si="5"/>
        <v>471.74133978419451</v>
      </c>
      <c r="H39" s="1">
        <f t="shared" si="5"/>
        <v>488.38094340567335</v>
      </c>
      <c r="I39" s="1">
        <f t="shared" si="5"/>
        <v>524.4929573940351</v>
      </c>
      <c r="J39" s="1">
        <f t="shared" si="5"/>
        <v>563.0586160259495</v>
      </c>
      <c r="K39" s="1">
        <f t="shared" si="5"/>
        <v>608.10330530802548</v>
      </c>
      <c r="L39" s="1">
        <f t="shared" si="5"/>
        <v>644.58950362650705</v>
      </c>
      <c r="M39" s="1">
        <f t="shared" si="5"/>
        <v>676.81897880783242</v>
      </c>
      <c r="N39" s="1">
        <f t="shared" si="5"/>
        <v>703.89173796014575</v>
      </c>
      <c r="O39" s="1">
        <f t="shared" si="5"/>
        <v>728.52794878875079</v>
      </c>
      <c r="P39" s="1">
        <f t="shared" si="5"/>
        <v>754.02642699635703</v>
      </c>
      <c r="Q39" s="1">
        <f t="shared" si="5"/>
        <v>780.41735194122941</v>
      </c>
      <c r="R39" s="1">
        <f t="shared" si="5"/>
        <v>807.73195925917241</v>
      </c>
      <c r="S39" s="1">
        <f t="shared" si="5"/>
        <v>836.00257783324344</v>
      </c>
      <c r="T39" s="1">
        <f t="shared" si="5"/>
        <v>865.26266805740693</v>
      </c>
      <c r="U39" s="1">
        <f t="shared" si="5"/>
        <v>895.54686143941615</v>
      </c>
      <c r="V39" s="1">
        <f t="shared" si="5"/>
        <v>926.89100158979568</v>
      </c>
      <c r="W39" s="1">
        <f t="shared" si="5"/>
        <v>959.33218664543847</v>
      </c>
      <c r="X39" s="1">
        <f t="shared" si="5"/>
        <v>992.90881317802871</v>
      </c>
      <c r="Y39" s="1">
        <f t="shared" si="5"/>
        <v>1027.6606216392597</v>
      </c>
      <c r="Z39" s="1">
        <f t="shared" si="5"/>
        <v>1063.6287433966338</v>
      </c>
      <c r="AA39" s="1">
        <f t="shared" si="5"/>
        <v>1100.8557494155159</v>
      </c>
      <c r="AB39" s="1">
        <f t="shared" si="5"/>
        <v>1139.3857006450589</v>
      </c>
      <c r="AC39" s="1">
        <f t="shared" si="5"/>
        <v>1179.2642001676359</v>
      </c>
    </row>
    <row r="40" spans="1:30" x14ac:dyDescent="0.2">
      <c r="A40" s="11" t="s">
        <v>21</v>
      </c>
      <c r="B40" s="71">
        <f>OP!H33</f>
        <v>193.35599999999999</v>
      </c>
      <c r="C40" s="71">
        <f>OP!H34</f>
        <v>143.51599999999999</v>
      </c>
      <c r="D40" s="1">
        <v>11000</v>
      </c>
      <c r="E40" s="1">
        <f>D40*(1+E36*$H$59)</f>
        <v>11374</v>
      </c>
      <c r="F40" s="1">
        <f>E40*(1+F36*$H$59)</f>
        <v>12454.529999999999</v>
      </c>
      <c r="G40" s="1">
        <f>F40*(1+G36*$H$59)</f>
        <v>13637.710349999998</v>
      </c>
      <c r="H40" s="1">
        <f>G40*(1+H36*$H$59)</f>
        <v>14933.292833249998</v>
      </c>
      <c r="I40" s="1">
        <f t="shared" ref="I40:AC40" si="6">H40*(1+I36*$I$59)</f>
        <v>16351.955652408747</v>
      </c>
      <c r="J40" s="1">
        <f t="shared" si="6"/>
        <v>17905.391439387578</v>
      </c>
      <c r="K40" s="1">
        <f t="shared" si="6"/>
        <v>19337.822754538585</v>
      </c>
      <c r="L40" s="1">
        <f t="shared" si="6"/>
        <v>20498.092119810903</v>
      </c>
      <c r="M40" s="1">
        <f t="shared" si="6"/>
        <v>21522.996725801448</v>
      </c>
      <c r="N40" s="1">
        <f t="shared" si="6"/>
        <v>22383.916594833507</v>
      </c>
      <c r="O40" s="1">
        <f t="shared" si="6"/>
        <v>23167.353675652677</v>
      </c>
      <c r="P40" s="1">
        <f t="shared" si="6"/>
        <v>23978.211054300518</v>
      </c>
      <c r="Q40" s="1">
        <f t="shared" si="6"/>
        <v>24817.448441201035</v>
      </c>
      <c r="R40" s="1">
        <f t="shared" si="6"/>
        <v>25686.059136643071</v>
      </c>
      <c r="S40" s="1">
        <f t="shared" si="6"/>
        <v>26585.071206425575</v>
      </c>
      <c r="T40" s="1">
        <f t="shared" si="6"/>
        <v>27515.548698650469</v>
      </c>
      <c r="U40" s="1">
        <f t="shared" si="6"/>
        <v>28478.592903103232</v>
      </c>
      <c r="V40" s="1">
        <f t="shared" si="6"/>
        <v>29475.343654711844</v>
      </c>
      <c r="W40" s="1">
        <f t="shared" si="6"/>
        <v>30506.980682626756</v>
      </c>
      <c r="X40" s="1">
        <f t="shared" si="6"/>
        <v>31574.725006518689</v>
      </c>
      <c r="Y40" s="1">
        <f t="shared" si="6"/>
        <v>32679.840381746839</v>
      </c>
      <c r="Z40" s="1">
        <f t="shared" si="6"/>
        <v>33823.634795107973</v>
      </c>
      <c r="AA40" s="1">
        <f t="shared" si="6"/>
        <v>35007.462012936747</v>
      </c>
      <c r="AB40" s="1">
        <f t="shared" si="6"/>
        <v>36232.723183389528</v>
      </c>
      <c r="AC40" s="1">
        <f t="shared" si="6"/>
        <v>37500.868494808157</v>
      </c>
      <c r="AD40" s="1"/>
    </row>
    <row r="41" spans="1:30" s="7" customFormat="1" x14ac:dyDescent="0.2">
      <c r="A41" s="14" t="s">
        <v>22</v>
      </c>
      <c r="B41" s="71">
        <f>+B39+B40</f>
        <v>64123.356</v>
      </c>
      <c r="C41" s="71">
        <f>+C39+C40</f>
        <v>66431.516000000003</v>
      </c>
      <c r="D41" s="1">
        <f>D39+D40</f>
        <v>11409.460276550559</v>
      </c>
      <c r="E41" s="1">
        <f t="shared" ref="E41:AC41" si="7">E39+E40</f>
        <v>11783.425902234685</v>
      </c>
      <c r="F41" s="1">
        <f t="shared" si="7"/>
        <v>12877.511026954693</v>
      </c>
      <c r="G41" s="1">
        <f t="shared" si="7"/>
        <v>14109.451689784191</v>
      </c>
      <c r="H41" s="1">
        <f t="shared" si="7"/>
        <v>15421.673776655671</v>
      </c>
      <c r="I41" s="1">
        <f t="shared" si="7"/>
        <v>16876.448609802781</v>
      </c>
      <c r="J41" s="1">
        <f t="shared" si="7"/>
        <v>18468.450055413527</v>
      </c>
      <c r="K41" s="1">
        <f t="shared" si="7"/>
        <v>19945.92605984661</v>
      </c>
      <c r="L41" s="1">
        <f t="shared" si="7"/>
        <v>21142.681623437409</v>
      </c>
      <c r="M41" s="1">
        <f t="shared" si="7"/>
        <v>22199.815704609278</v>
      </c>
      <c r="N41" s="1">
        <f t="shared" si="7"/>
        <v>23087.808332793651</v>
      </c>
      <c r="O41" s="1">
        <f t="shared" si="7"/>
        <v>23895.881624441427</v>
      </c>
      <c r="P41" s="1">
        <f t="shared" si="7"/>
        <v>24732.237481296874</v>
      </c>
      <c r="Q41" s="1">
        <f t="shared" si="7"/>
        <v>25597.865793142264</v>
      </c>
      <c r="R41" s="1">
        <f t="shared" si="7"/>
        <v>26493.791095902245</v>
      </c>
      <c r="S41" s="1">
        <f t="shared" si="7"/>
        <v>27421.073784258817</v>
      </c>
      <c r="T41" s="1">
        <f t="shared" si="7"/>
        <v>28380.811366707876</v>
      </c>
      <c r="U41" s="1">
        <f t="shared" si="7"/>
        <v>29374.139764542648</v>
      </c>
      <c r="V41" s="1">
        <f t="shared" si="7"/>
        <v>30402.23465630164</v>
      </c>
      <c r="W41" s="1">
        <f t="shared" si="7"/>
        <v>31466.312869272195</v>
      </c>
      <c r="X41" s="1">
        <f t="shared" si="7"/>
        <v>32567.633819696719</v>
      </c>
      <c r="Y41" s="1">
        <f t="shared" si="7"/>
        <v>33707.501003386096</v>
      </c>
      <c r="Z41" s="1">
        <f t="shared" si="7"/>
        <v>34887.263538504609</v>
      </c>
      <c r="AA41" s="1">
        <f t="shared" si="7"/>
        <v>36108.317762352264</v>
      </c>
      <c r="AB41" s="1">
        <f t="shared" si="7"/>
        <v>37372.108884034584</v>
      </c>
      <c r="AC41" s="1">
        <f t="shared" si="7"/>
        <v>38680.132694975793</v>
      </c>
    </row>
    <row r="42" spans="1:30" s="19" customFormat="1" x14ac:dyDescent="0.2">
      <c r="A42" s="33" t="s">
        <v>176</v>
      </c>
      <c r="B42" s="34">
        <v>-1385</v>
      </c>
      <c r="C42" s="34">
        <v>-890</v>
      </c>
      <c r="D42" s="34">
        <f t="shared" ref="D42:AC42" si="8">(C48)*$H$60</f>
        <v>-1124.3600000000001</v>
      </c>
      <c r="E42" s="34">
        <f t="shared" si="8"/>
        <v>-1113.1164000000001</v>
      </c>
      <c r="F42" s="34">
        <f t="shared" si="8"/>
        <v>-1113.1164000000001</v>
      </c>
      <c r="G42" s="34">
        <f t="shared" si="8"/>
        <v>-1113.1164000000001</v>
      </c>
      <c r="H42" s="34">
        <f t="shared" si="8"/>
        <v>-1113.1164000000001</v>
      </c>
      <c r="I42" s="34">
        <f t="shared" si="8"/>
        <v>-1113.1164000000001</v>
      </c>
      <c r="J42" s="34">
        <f t="shared" si="8"/>
        <v>-1113.1164000000001</v>
      </c>
      <c r="K42" s="34">
        <f t="shared" si="8"/>
        <v>-1113.1164000000001</v>
      </c>
      <c r="L42" s="34">
        <f t="shared" si="8"/>
        <v>-1113.1164000000001</v>
      </c>
      <c r="M42" s="34">
        <f t="shared" si="8"/>
        <v>-1113.1164000000001</v>
      </c>
      <c r="N42" s="34">
        <f t="shared" si="8"/>
        <v>-1113.1164000000001</v>
      </c>
      <c r="O42" s="34">
        <f t="shared" si="8"/>
        <v>-1113.1164000000001</v>
      </c>
      <c r="P42" s="34">
        <f t="shared" si="8"/>
        <v>-1113.1164000000001</v>
      </c>
      <c r="Q42" s="34">
        <f t="shared" si="8"/>
        <v>-1113.1164000000001</v>
      </c>
      <c r="R42" s="34">
        <f t="shared" si="8"/>
        <v>-1113.1164000000001</v>
      </c>
      <c r="S42" s="34">
        <f t="shared" si="8"/>
        <v>-1113.1164000000001</v>
      </c>
      <c r="T42" s="34">
        <f t="shared" si="8"/>
        <v>-1113.1164000000001</v>
      </c>
      <c r="U42" s="34">
        <f t="shared" si="8"/>
        <v>-1113.1164000000001</v>
      </c>
      <c r="V42" s="34">
        <f t="shared" si="8"/>
        <v>-1113.1164000000001</v>
      </c>
      <c r="W42" s="34">
        <f t="shared" si="8"/>
        <v>-1113.1164000000001</v>
      </c>
      <c r="X42" s="34">
        <f t="shared" si="8"/>
        <v>-1113.1164000000001</v>
      </c>
      <c r="Y42" s="34">
        <f t="shared" si="8"/>
        <v>-1113.1164000000001</v>
      </c>
      <c r="Z42" s="34">
        <f t="shared" si="8"/>
        <v>-1113.1164000000001</v>
      </c>
      <c r="AA42" s="34">
        <f t="shared" si="8"/>
        <v>-1113.1164000000001</v>
      </c>
      <c r="AB42" s="34">
        <f t="shared" si="8"/>
        <v>-1113.1164000000001</v>
      </c>
      <c r="AC42" s="34">
        <f t="shared" si="8"/>
        <v>-1113.1164000000001</v>
      </c>
    </row>
    <row r="43" spans="1:30" x14ac:dyDescent="0.2">
      <c r="A43" s="14" t="s">
        <v>23</v>
      </c>
      <c r="B43" s="71">
        <f>-422-2817</f>
        <v>-3239</v>
      </c>
      <c r="C43" s="71">
        <f>87-3634</f>
        <v>-3547</v>
      </c>
      <c r="D43" s="1">
        <f>-C43*(1+D36)</f>
        <v>4788.4500000000007</v>
      </c>
      <c r="E43" s="1">
        <f>D43*(1+E36*0.5)</f>
        <v>4869.85365</v>
      </c>
      <c r="F43" s="1">
        <f t="shared" ref="F43:AC43" si="9">E43*(1+F36*0.5)</f>
        <v>5101.1716983750002</v>
      </c>
      <c r="G43" s="1">
        <f t="shared" si="9"/>
        <v>5343.4773540478136</v>
      </c>
      <c r="H43" s="1">
        <f t="shared" si="9"/>
        <v>5597.2925283650857</v>
      </c>
      <c r="I43" s="1">
        <f t="shared" si="9"/>
        <v>5863.1639234624281</v>
      </c>
      <c r="J43" s="1">
        <f t="shared" si="9"/>
        <v>6141.664209826894</v>
      </c>
      <c r="K43" s="1">
        <f t="shared" si="9"/>
        <v>6387.3307782199699</v>
      </c>
      <c r="L43" s="1">
        <f t="shared" si="9"/>
        <v>6578.9507015665695</v>
      </c>
      <c r="M43" s="1">
        <f t="shared" si="9"/>
        <v>6743.4244691057329</v>
      </c>
      <c r="N43" s="1">
        <f t="shared" si="9"/>
        <v>6878.2929584878475</v>
      </c>
      <c r="O43" s="1">
        <f t="shared" si="9"/>
        <v>6998.6630852613853</v>
      </c>
      <c r="P43" s="1">
        <f t="shared" si="9"/>
        <v>7121.1396892534603</v>
      </c>
      <c r="Q43" s="1">
        <f t="shared" si="9"/>
        <v>7245.7596338153962</v>
      </c>
      <c r="R43" s="1">
        <f t="shared" si="9"/>
        <v>7372.5604274071666</v>
      </c>
      <c r="S43" s="1">
        <f t="shared" si="9"/>
        <v>7501.5802348867928</v>
      </c>
      <c r="T43" s="1">
        <f t="shared" si="9"/>
        <v>7632.8578889973123</v>
      </c>
      <c r="U43" s="1">
        <f t="shared" si="9"/>
        <v>7766.4329020547657</v>
      </c>
      <c r="V43" s="1">
        <f t="shared" si="9"/>
        <v>7902.3454778407249</v>
      </c>
      <c r="W43" s="1">
        <f t="shared" si="9"/>
        <v>8040.6365237029386</v>
      </c>
      <c r="X43" s="1">
        <f t="shared" si="9"/>
        <v>8181.3476628677408</v>
      </c>
      <c r="Y43" s="1">
        <f t="shared" si="9"/>
        <v>8324.5212469679263</v>
      </c>
      <c r="Z43" s="1">
        <f t="shared" si="9"/>
        <v>8470.200368789865</v>
      </c>
      <c r="AA43" s="1">
        <f t="shared" si="9"/>
        <v>8618.4288752436878</v>
      </c>
      <c r="AB43" s="1">
        <f t="shared" si="9"/>
        <v>8769.2513805604522</v>
      </c>
      <c r="AC43" s="1">
        <f t="shared" si="9"/>
        <v>8922.7132797202612</v>
      </c>
    </row>
    <row r="44" spans="1:30" x14ac:dyDescent="0.2">
      <c r="A44" s="14" t="s">
        <v>18</v>
      </c>
      <c r="B44" s="71">
        <f>B39-B42-B43</f>
        <v>68554</v>
      </c>
      <c r="C44" s="71">
        <f>C39-C42-C43</f>
        <v>70725</v>
      </c>
      <c r="D44" s="1">
        <f>D39-D42-D43</f>
        <v>-3254.6297234494409</v>
      </c>
      <c r="E44" s="1">
        <f t="shared" ref="E44:AC44" si="10">E39-E42-E43</f>
        <v>-3347.3113477653155</v>
      </c>
      <c r="F44" s="1">
        <f t="shared" si="10"/>
        <v>-3565.0742714203052</v>
      </c>
      <c r="G44" s="1">
        <f t="shared" si="10"/>
        <v>-3758.619614263619</v>
      </c>
      <c r="H44" s="1">
        <f t="shared" si="10"/>
        <v>-3995.7951849594119</v>
      </c>
      <c r="I44" s="1">
        <f t="shared" si="10"/>
        <v>-4225.5545660683929</v>
      </c>
      <c r="J44" s="1">
        <f t="shared" si="10"/>
        <v>-4465.4891938009441</v>
      </c>
      <c r="K44" s="1">
        <f t="shared" si="10"/>
        <v>-4666.1110729119446</v>
      </c>
      <c r="L44" s="1">
        <f t="shared" si="10"/>
        <v>-4821.2447979400622</v>
      </c>
      <c r="M44" s="1">
        <f t="shared" si="10"/>
        <v>-4953.4890902979005</v>
      </c>
      <c r="N44" s="1">
        <f t="shared" si="10"/>
        <v>-5061.2848205277014</v>
      </c>
      <c r="O44" s="1">
        <f t="shared" si="10"/>
        <v>-5157.0187364726344</v>
      </c>
      <c r="P44" s="1">
        <f t="shared" si="10"/>
        <v>-5253.9968622571032</v>
      </c>
      <c r="Q44" s="1">
        <f t="shared" si="10"/>
        <v>-5352.2258818741666</v>
      </c>
      <c r="R44" s="1">
        <f t="shared" si="10"/>
        <v>-5451.7120681479937</v>
      </c>
      <c r="S44" s="1">
        <f t="shared" si="10"/>
        <v>-5552.4612570535492</v>
      </c>
      <c r="T44" s="1">
        <f t="shared" si="10"/>
        <v>-5654.4788209399048</v>
      </c>
      <c r="U44" s="1">
        <f t="shared" si="10"/>
        <v>-5757.76964061535</v>
      </c>
      <c r="V44" s="1">
        <f t="shared" si="10"/>
        <v>-5862.3380762509296</v>
      </c>
      <c r="W44" s="1">
        <f t="shared" si="10"/>
        <v>-5968.1879370574998</v>
      </c>
      <c r="X44" s="1">
        <f t="shared" si="10"/>
        <v>-6075.3224496897119</v>
      </c>
      <c r="Y44" s="1">
        <f t="shared" si="10"/>
        <v>-6183.7442253286663</v>
      </c>
      <c r="Z44" s="1">
        <f t="shared" si="10"/>
        <v>-6293.4552253932306</v>
      </c>
      <c r="AA44" s="1">
        <f t="shared" si="10"/>
        <v>-6404.4567258281713</v>
      </c>
      <c r="AB44" s="1">
        <f t="shared" si="10"/>
        <v>-6516.7492799153933</v>
      </c>
      <c r="AC44" s="1">
        <f t="shared" si="10"/>
        <v>-6630.3326795526255</v>
      </c>
    </row>
    <row r="45" spans="1:30" x14ac:dyDescent="0.2">
      <c r="A45" s="14" t="s">
        <v>11</v>
      </c>
      <c r="B45" s="71">
        <v>10481</v>
      </c>
      <c r="C45" s="71">
        <v>9680</v>
      </c>
      <c r="D45" s="1">
        <f>$H$61*D44</f>
        <v>-683.47224192438262</v>
      </c>
      <c r="E45" s="1">
        <f>$H$61*E44</f>
        <v>-702.93538303071625</v>
      </c>
      <c r="F45" s="1">
        <f>$H$61*F44</f>
        <v>-748.66559699826405</v>
      </c>
      <c r="G45" s="1">
        <f t="shared" ref="G45:AC45" si="11">$I$61*G44</f>
        <v>-864.48251128063237</v>
      </c>
      <c r="H45" s="1">
        <f t="shared" si="11"/>
        <v>-919.03289254066476</v>
      </c>
      <c r="I45" s="1">
        <f t="shared" si="11"/>
        <v>-971.87755019573035</v>
      </c>
      <c r="J45" s="1">
        <f t="shared" si="11"/>
        <v>-1027.0625145742172</v>
      </c>
      <c r="K45" s="1">
        <f t="shared" si="11"/>
        <v>-1073.2055467697473</v>
      </c>
      <c r="L45" s="1">
        <f t="shared" si="11"/>
        <v>-1108.8863035262143</v>
      </c>
      <c r="M45" s="1">
        <f t="shared" si="11"/>
        <v>-1139.3024907685171</v>
      </c>
      <c r="N45" s="1">
        <f t="shared" si="11"/>
        <v>-1164.0955087213713</v>
      </c>
      <c r="O45" s="1">
        <f t="shared" si="11"/>
        <v>-1186.114309388706</v>
      </c>
      <c r="P45" s="1">
        <f t="shared" si="11"/>
        <v>-1208.4192783191338</v>
      </c>
      <c r="Q45" s="1">
        <f t="shared" si="11"/>
        <v>-1231.0119528310584</v>
      </c>
      <c r="R45" s="1">
        <f t="shared" si="11"/>
        <v>-1253.8937756740386</v>
      </c>
      <c r="S45" s="1">
        <f t="shared" si="11"/>
        <v>-1277.0660891223163</v>
      </c>
      <c r="T45" s="1">
        <f t="shared" si="11"/>
        <v>-1300.5301288161781</v>
      </c>
      <c r="U45" s="1">
        <f t="shared" si="11"/>
        <v>-1324.2870173415306</v>
      </c>
      <c r="V45" s="1">
        <f t="shared" si="11"/>
        <v>-1348.337757537714</v>
      </c>
      <c r="W45" s="1">
        <f t="shared" si="11"/>
        <v>-1372.683225523225</v>
      </c>
      <c r="X45" s="1">
        <f t="shared" si="11"/>
        <v>-1397.3241634286337</v>
      </c>
      <c r="Y45" s="1">
        <f t="shared" si="11"/>
        <v>-1422.2611718255932</v>
      </c>
      <c r="Z45" s="1">
        <f t="shared" si="11"/>
        <v>-1447.4947018404432</v>
      </c>
      <c r="AA45" s="1">
        <f t="shared" si="11"/>
        <v>-1473.0250469404796</v>
      </c>
      <c r="AB45" s="1">
        <f t="shared" si="11"/>
        <v>-1498.8523343805405</v>
      </c>
      <c r="AC45" s="1">
        <f t="shared" si="11"/>
        <v>-1524.9765162971039</v>
      </c>
    </row>
    <row r="46" spans="1:30" x14ac:dyDescent="0.2">
      <c r="A46" s="14" t="s">
        <v>41</v>
      </c>
      <c r="B46" s="71">
        <f t="shared" ref="B46:AC46" si="12">B44-B45</f>
        <v>58073</v>
      </c>
      <c r="C46" s="71">
        <f t="shared" si="12"/>
        <v>61045</v>
      </c>
      <c r="D46" s="21">
        <f>D44-D45</f>
        <v>-2571.1574815250583</v>
      </c>
      <c r="E46" s="21">
        <f t="shared" si="12"/>
        <v>-2644.3759647345992</v>
      </c>
      <c r="F46" s="21">
        <f t="shared" si="12"/>
        <v>-2816.4086744220413</v>
      </c>
      <c r="G46" s="21">
        <f t="shared" si="12"/>
        <v>-2894.1371029829866</v>
      </c>
      <c r="H46" s="21">
        <f t="shared" si="12"/>
        <v>-3076.7622924187472</v>
      </c>
      <c r="I46" s="21">
        <f t="shared" si="12"/>
        <v>-3253.6770158726627</v>
      </c>
      <c r="J46" s="21">
        <f t="shared" si="12"/>
        <v>-3438.4266792267272</v>
      </c>
      <c r="K46" s="21">
        <f t="shared" si="12"/>
        <v>-3592.9055261421972</v>
      </c>
      <c r="L46" s="21">
        <f t="shared" si="12"/>
        <v>-3712.3584944138479</v>
      </c>
      <c r="M46" s="21">
        <f t="shared" si="12"/>
        <v>-3814.1865995293833</v>
      </c>
      <c r="N46" s="21">
        <f t="shared" si="12"/>
        <v>-3897.1893118063299</v>
      </c>
      <c r="O46" s="21">
        <f t="shared" si="12"/>
        <v>-3970.9044270839286</v>
      </c>
      <c r="P46" s="21">
        <f t="shared" si="12"/>
        <v>-4045.5775839379694</v>
      </c>
      <c r="Q46" s="21">
        <f t="shared" si="12"/>
        <v>-4121.2139290431078</v>
      </c>
      <c r="R46" s="21">
        <f t="shared" si="12"/>
        <v>-4197.8182924739549</v>
      </c>
      <c r="S46" s="21">
        <f t="shared" si="12"/>
        <v>-4275.3951679312331</v>
      </c>
      <c r="T46" s="21">
        <f t="shared" si="12"/>
        <v>-4353.9486921237267</v>
      </c>
      <c r="U46" s="21">
        <f t="shared" si="12"/>
        <v>-4433.4826232738196</v>
      </c>
      <c r="V46" s="21">
        <f t="shared" si="12"/>
        <v>-4514.0003187132152</v>
      </c>
      <c r="W46" s="21">
        <f t="shared" si="12"/>
        <v>-4595.504711534275</v>
      </c>
      <c r="X46" s="21">
        <f t="shared" si="12"/>
        <v>-4677.9982862610777</v>
      </c>
      <c r="Y46" s="21">
        <f t="shared" si="12"/>
        <v>-4761.4830535030733</v>
      </c>
      <c r="Z46" s="21">
        <f t="shared" si="12"/>
        <v>-4845.960523552787</v>
      </c>
      <c r="AA46" s="21">
        <f t="shared" si="12"/>
        <v>-4931.4316788876913</v>
      </c>
      <c r="AB46" s="21">
        <f t="shared" si="12"/>
        <v>-5017.8969455348524</v>
      </c>
      <c r="AC46" s="21">
        <f t="shared" si="12"/>
        <v>-5105.3561632555211</v>
      </c>
    </row>
    <row r="47" spans="1:30" x14ac:dyDescent="0.2">
      <c r="A47" s="128" t="s">
        <v>180</v>
      </c>
      <c r="B47" s="71" t="e">
        <f>OP!#REF!</f>
        <v>#REF!</v>
      </c>
      <c r="C47" s="71" t="e">
        <f>OP!#REF!</f>
        <v>#REF!</v>
      </c>
      <c r="D47" s="1">
        <v>10000</v>
      </c>
      <c r="E47" s="1">
        <f t="shared" ref="E47:AC47" si="13">D47*(1+E36*$H$62)</f>
        <v>10408</v>
      </c>
      <c r="F47" s="1">
        <f t="shared" si="13"/>
        <v>11594.511999999999</v>
      </c>
      <c r="G47" s="1">
        <f t="shared" si="13"/>
        <v>12916.286367999997</v>
      </c>
      <c r="H47" s="1">
        <f t="shared" si="13"/>
        <v>14388.743013951995</v>
      </c>
      <c r="I47" s="1">
        <f t="shared" si="13"/>
        <v>16029.059717542521</v>
      </c>
      <c r="J47" s="1">
        <f t="shared" si="13"/>
        <v>17856.372525342365</v>
      </c>
      <c r="K47" s="1">
        <f t="shared" si="13"/>
        <v>19570.584287775233</v>
      </c>
      <c r="L47" s="1">
        <f t="shared" si="13"/>
        <v>20979.66635649505</v>
      </c>
      <c r="M47" s="1">
        <f t="shared" si="13"/>
        <v>22238.446337884754</v>
      </c>
      <c r="N47" s="1">
        <f t="shared" si="13"/>
        <v>23305.891762103223</v>
      </c>
      <c r="O47" s="1">
        <f t="shared" si="13"/>
        <v>24284.73921611156</v>
      </c>
      <c r="P47" s="1">
        <f t="shared" si="13"/>
        <v>25304.698263188246</v>
      </c>
      <c r="Q47" s="1">
        <f t="shared" si="13"/>
        <v>26367.495590242153</v>
      </c>
      <c r="R47" s="1">
        <f t="shared" si="13"/>
        <v>27474.930405032326</v>
      </c>
      <c r="S47" s="1">
        <f t="shared" si="13"/>
        <v>28628.877482043685</v>
      </c>
      <c r="T47" s="1">
        <f t="shared" si="13"/>
        <v>29831.290336289519</v>
      </c>
      <c r="U47" s="1">
        <f t="shared" si="13"/>
        <v>31084.204530413681</v>
      </c>
      <c r="V47" s="1">
        <f t="shared" si="13"/>
        <v>32389.741120691058</v>
      </c>
      <c r="W47" s="1">
        <f t="shared" si="13"/>
        <v>33750.110247760087</v>
      </c>
      <c r="X47" s="1">
        <f t="shared" si="13"/>
        <v>35167.614878166009</v>
      </c>
      <c r="Y47" s="1">
        <f t="shared" si="13"/>
        <v>36644.654703048982</v>
      </c>
      <c r="Z47" s="1">
        <f t="shared" si="13"/>
        <v>38183.73020057704</v>
      </c>
      <c r="AA47" s="1">
        <f t="shared" si="13"/>
        <v>39787.44686900128</v>
      </c>
      <c r="AB47" s="1">
        <f t="shared" si="13"/>
        <v>41458.519637499332</v>
      </c>
      <c r="AC47" s="1">
        <f t="shared" si="13"/>
        <v>43199.777462274309</v>
      </c>
    </row>
    <row r="48" spans="1:30" s="19" customFormat="1" x14ac:dyDescent="0.2">
      <c r="A48" s="33" t="s">
        <v>258</v>
      </c>
      <c r="B48" s="34">
        <v>108047</v>
      </c>
      <c r="C48" s="34">
        <v>112436</v>
      </c>
      <c r="D48" s="34">
        <f>C48*0.99</f>
        <v>111311.64</v>
      </c>
      <c r="E48" s="34">
        <f>D48</f>
        <v>111311.64</v>
      </c>
      <c r="F48" s="34">
        <f t="shared" ref="F48:AC48" si="14">E48</f>
        <v>111311.64</v>
      </c>
      <c r="G48" s="34">
        <f t="shared" si="14"/>
        <v>111311.64</v>
      </c>
      <c r="H48" s="34">
        <f t="shared" si="14"/>
        <v>111311.64</v>
      </c>
      <c r="I48" s="34">
        <f t="shared" si="14"/>
        <v>111311.64</v>
      </c>
      <c r="J48" s="34">
        <f t="shared" si="14"/>
        <v>111311.64</v>
      </c>
      <c r="K48" s="34">
        <f t="shared" si="14"/>
        <v>111311.64</v>
      </c>
      <c r="L48" s="34">
        <f t="shared" si="14"/>
        <v>111311.64</v>
      </c>
      <c r="M48" s="34">
        <f t="shared" si="14"/>
        <v>111311.64</v>
      </c>
      <c r="N48" s="34">
        <f t="shared" si="14"/>
        <v>111311.64</v>
      </c>
      <c r="O48" s="34">
        <f t="shared" si="14"/>
        <v>111311.64</v>
      </c>
      <c r="P48" s="34">
        <f t="shared" si="14"/>
        <v>111311.64</v>
      </c>
      <c r="Q48" s="34">
        <f t="shared" si="14"/>
        <v>111311.64</v>
      </c>
      <c r="R48" s="34">
        <f t="shared" si="14"/>
        <v>111311.64</v>
      </c>
      <c r="S48" s="34">
        <f t="shared" si="14"/>
        <v>111311.64</v>
      </c>
      <c r="T48" s="34">
        <f t="shared" si="14"/>
        <v>111311.64</v>
      </c>
      <c r="U48" s="34">
        <f t="shared" si="14"/>
        <v>111311.64</v>
      </c>
      <c r="V48" s="34">
        <f t="shared" si="14"/>
        <v>111311.64</v>
      </c>
      <c r="W48" s="34">
        <f t="shared" si="14"/>
        <v>111311.64</v>
      </c>
      <c r="X48" s="34">
        <f t="shared" si="14"/>
        <v>111311.64</v>
      </c>
      <c r="Y48" s="34">
        <f t="shared" si="14"/>
        <v>111311.64</v>
      </c>
      <c r="Z48" s="34">
        <f t="shared" si="14"/>
        <v>111311.64</v>
      </c>
      <c r="AA48" s="34">
        <f t="shared" si="14"/>
        <v>111311.64</v>
      </c>
      <c r="AB48" s="34">
        <f t="shared" si="14"/>
        <v>111311.64</v>
      </c>
      <c r="AC48" s="34">
        <f t="shared" si="14"/>
        <v>111311.64</v>
      </c>
    </row>
    <row r="49" spans="1:29" s="19" customFormat="1" x14ac:dyDescent="0.2">
      <c r="A49" s="14" t="s">
        <v>178</v>
      </c>
      <c r="B49" s="132">
        <f>B48/B41</f>
        <v>1.6849866685081174</v>
      </c>
      <c r="C49" s="132">
        <f t="shared" ref="C49:E49" si="15">C48/C41</f>
        <v>1.6925099225494116</v>
      </c>
      <c r="D49" s="133">
        <f t="shared" si="15"/>
        <v>9.7560828735058305</v>
      </c>
      <c r="E49" s="133">
        <f t="shared" si="15"/>
        <v>9.4464581797803078</v>
      </c>
      <c r="F49" s="2"/>
      <c r="G49" s="2"/>
      <c r="H49" s="2"/>
      <c r="I49" s="2"/>
      <c r="J49" s="2"/>
      <c r="K49" s="2"/>
      <c r="L49" s="2"/>
      <c r="M49" s="2"/>
      <c r="N49" s="2"/>
      <c r="O49" s="2"/>
      <c r="P49" s="2"/>
      <c r="Q49" s="2"/>
      <c r="R49" s="2"/>
      <c r="S49" s="2"/>
      <c r="T49" s="2"/>
      <c r="U49" s="2"/>
      <c r="V49" s="2"/>
      <c r="W49" s="2"/>
      <c r="X49" s="2"/>
      <c r="Y49" s="2"/>
      <c r="Z49" s="2"/>
      <c r="AA49" s="2"/>
      <c r="AB49" s="2"/>
      <c r="AC49" s="2"/>
    </row>
    <row r="50" spans="1:29" x14ac:dyDescent="0.2">
      <c r="A50" s="14" t="s">
        <v>12</v>
      </c>
      <c r="B50" s="72">
        <f>OP!F34</f>
        <v>-60.085999999999999</v>
      </c>
      <c r="C50" s="72">
        <f>OP!F35</f>
        <v>-44.600999999999999</v>
      </c>
      <c r="D50" s="1">
        <f t="shared" ref="D50:AC50" si="16">D41-D42-D43-D45-D47+D48-C48</f>
        <v>-2695.5174815250648</v>
      </c>
      <c r="E50" s="1">
        <f t="shared" si="16"/>
        <v>-1678.3759647346014</v>
      </c>
      <c r="F50" s="1">
        <f t="shared" si="16"/>
        <v>-1956.390674422044</v>
      </c>
      <c r="G50" s="1">
        <f t="shared" si="16"/>
        <v>-2172.7131209829822</v>
      </c>
      <c r="H50" s="1">
        <f t="shared" si="16"/>
        <v>-2532.2124731207441</v>
      </c>
      <c r="I50" s="1">
        <f t="shared" si="16"/>
        <v>-2930.7810810064402</v>
      </c>
      <c r="J50" s="1">
        <f t="shared" si="16"/>
        <v>-3389.4077651815169</v>
      </c>
      <c r="K50" s="1">
        <f t="shared" si="16"/>
        <v>-3825.667059378844</v>
      </c>
      <c r="L50" s="1">
        <f t="shared" si="16"/>
        <v>-4193.9327310980007</v>
      </c>
      <c r="M50" s="1">
        <f t="shared" si="16"/>
        <v>-4529.6362116126838</v>
      </c>
      <c r="N50" s="1">
        <f t="shared" si="16"/>
        <v>-4819.1644790760474</v>
      </c>
      <c r="O50" s="1">
        <f t="shared" si="16"/>
        <v>-5088.2899675428198</v>
      </c>
      <c r="P50" s="1">
        <f t="shared" si="16"/>
        <v>-5372.0647928256949</v>
      </c>
      <c r="Q50" s="1">
        <f t="shared" si="16"/>
        <v>-5671.2610780842224</v>
      </c>
      <c r="R50" s="1">
        <f t="shared" si="16"/>
        <v>-5986.689560863204</v>
      </c>
      <c r="S50" s="1">
        <f t="shared" si="16"/>
        <v>-6319.2014435493475</v>
      </c>
      <c r="T50" s="1">
        <f t="shared" si="16"/>
        <v>-6669.6903297627723</v>
      </c>
      <c r="U50" s="1">
        <f t="shared" si="16"/>
        <v>-7039.0942505842686</v>
      </c>
      <c r="V50" s="1">
        <f t="shared" si="16"/>
        <v>-7428.3977846924245</v>
      </c>
      <c r="W50" s="1">
        <f t="shared" si="16"/>
        <v>-7838.6342766676098</v>
      </c>
      <c r="X50" s="1">
        <f t="shared" si="16"/>
        <v>-8270.8881579083973</v>
      </c>
      <c r="Y50" s="1">
        <f t="shared" si="16"/>
        <v>-8726.2973748052173</v>
      </c>
      <c r="Z50" s="1">
        <f t="shared" si="16"/>
        <v>-9206.0559290218516</v>
      </c>
      <c r="AA50" s="1">
        <f t="shared" si="16"/>
        <v>-9711.4165349522227</v>
      </c>
      <c r="AB50" s="1">
        <f t="shared" si="16"/>
        <v>-10243.693399644661</v>
      </c>
      <c r="AC50" s="1">
        <f t="shared" si="16"/>
        <v>-10804.265130721673</v>
      </c>
    </row>
    <row r="51" spans="1:29" x14ac:dyDescent="0.2">
      <c r="A51" s="14" t="s">
        <v>13</v>
      </c>
      <c r="B51" s="72">
        <v>0</v>
      </c>
      <c r="C51" s="72">
        <v>0</v>
      </c>
      <c r="D51" s="1">
        <f t="shared" ref="D51:AC51" si="17">C51*(1+$B$59)+D50</f>
        <v>-2695.5174815250648</v>
      </c>
      <c r="E51" s="1">
        <f t="shared" si="17"/>
        <v>-4597.6213972262467</v>
      </c>
      <c r="F51" s="1">
        <f t="shared" si="17"/>
        <v>-6935.6146476180693</v>
      </c>
      <c r="G51" s="1">
        <f t="shared" si="17"/>
        <v>-9683.9837843533514</v>
      </c>
      <c r="H51" s="1">
        <f t="shared" si="17"/>
        <v>-13019.966911575424</v>
      </c>
      <c r="I51" s="1">
        <f t="shared" si="17"/>
        <v>-17031.405246242626</v>
      </c>
      <c r="J51" s="1">
        <f t="shared" si="17"/>
        <v>-21834.419646862279</v>
      </c>
      <c r="K51" s="1">
        <f t="shared" si="17"/>
        <v>-27472.343536930694</v>
      </c>
      <c r="L51" s="1">
        <f t="shared" si="17"/>
        <v>-33946.480781593942</v>
      </c>
      <c r="M51" s="1">
        <f t="shared" si="17"/>
        <v>-41293.67489807892</v>
      </c>
      <c r="N51" s="1">
        <f t="shared" si="17"/>
        <v>-49540.214393695518</v>
      </c>
      <c r="O51" s="1">
        <f t="shared" si="17"/>
        <v>-58740.342155915067</v>
      </c>
      <c r="P51" s="1">
        <f t="shared" si="17"/>
        <v>-68987.855347681703</v>
      </c>
      <c r="Q51" s="1">
        <f t="shared" si="17"/>
        <v>-80385.108419623502</v>
      </c>
      <c r="R51" s="1">
        <f t="shared" si="17"/>
        <v>-93043.761979315459</v>
      </c>
      <c r="S51" s="1">
        <f t="shared" si="17"/>
        <v>-107085.59566714798</v>
      </c>
      <c r="T51" s="1">
        <f t="shared" si="17"/>
        <v>-122643.39043728403</v>
      </c>
      <c r="U51" s="1">
        <f t="shared" si="17"/>
        <v>-139861.88609416288</v>
      </c>
      <c r="V51" s="1">
        <f t="shared" si="17"/>
        <v>-158898.82042467082</v>
      </c>
      <c r="W51" s="1">
        <f t="shared" si="17"/>
        <v>-179926.05679658611</v>
      </c>
      <c r="X51" s="1">
        <f t="shared" si="17"/>
        <v>-203130.80766861115</v>
      </c>
      <c r="Y51" s="1">
        <f t="shared" si="17"/>
        <v>-228716.96207991109</v>
      </c>
      <c r="Z51" s="1">
        <f t="shared" si="17"/>
        <v>-256906.52586156555</v>
      </c>
      <c r="AA51" s="1">
        <f t="shared" si="17"/>
        <v>-287941.18404302769</v>
      </c>
      <c r="AB51" s="1">
        <f t="shared" si="17"/>
        <v>-322083.99571824365</v>
      </c>
      <c r="AC51" s="1">
        <f t="shared" si="17"/>
        <v>-359621.2324935795</v>
      </c>
    </row>
    <row r="52" spans="1:29" x14ac:dyDescent="0.2">
      <c r="A52" s="14"/>
      <c r="B52" s="57"/>
      <c r="C52" s="57"/>
      <c r="K52" s="1"/>
      <c r="L52" s="1"/>
      <c r="M52" s="1"/>
      <c r="N52" s="1"/>
      <c r="O52" s="1"/>
      <c r="P52" s="1"/>
      <c r="Q52" s="1"/>
      <c r="R52" s="1"/>
      <c r="S52" s="1"/>
      <c r="T52" s="1"/>
      <c r="U52" s="1"/>
      <c r="V52" s="1"/>
      <c r="W52" s="1"/>
      <c r="X52" s="1"/>
      <c r="Y52" s="1"/>
      <c r="Z52" s="1"/>
      <c r="AA52" s="1"/>
      <c r="AB52" s="1">
        <f>AB51-AB48</f>
        <v>-433395.63571824366</v>
      </c>
      <c r="AC52" s="1">
        <f>AC50/(B59-AC36)</f>
        <v>-225088.85689003486</v>
      </c>
    </row>
    <row r="53" spans="1:29" x14ac:dyDescent="0.2">
      <c r="A53" s="73" t="s">
        <v>134</v>
      </c>
      <c r="B53" s="74"/>
      <c r="C53" s="81">
        <f ca="1">1000000*C46/OP!$C$8</f>
        <v>414248885.91513073</v>
      </c>
      <c r="D53" s="81">
        <f ca="1">1000000*D46/OP!$C$8</f>
        <v>-17447770.042331208</v>
      </c>
      <c r="E53" s="81">
        <f ca="1">1000000*E46/OP!$C$8</f>
        <v>-17944627.689934585</v>
      </c>
      <c r="F53" s="81">
        <f ca="1">1000000*F46/OP!$C$8</f>
        <v>-19112034.657400947</v>
      </c>
      <c r="G53" s="1"/>
      <c r="H53"/>
      <c r="I53"/>
      <c r="J53"/>
      <c r="K53" s="1"/>
      <c r="L53" s="1"/>
      <c r="M53" s="1"/>
      <c r="N53" s="1"/>
      <c r="O53" s="1"/>
      <c r="P53" s="1"/>
      <c r="Q53" s="1"/>
      <c r="R53" s="1"/>
      <c r="S53" s="1"/>
      <c r="T53" s="1"/>
      <c r="U53" s="1"/>
      <c r="V53" s="1"/>
      <c r="W53" s="1"/>
      <c r="X53" s="1"/>
      <c r="Y53" s="1"/>
      <c r="Z53" s="1"/>
      <c r="AA53" s="1"/>
      <c r="AB53" s="1"/>
      <c r="AC53" s="1"/>
    </row>
    <row r="54" spans="1:29" x14ac:dyDescent="0.2">
      <c r="A54" s="14" t="s">
        <v>153</v>
      </c>
      <c r="B54" s="1"/>
      <c r="C54" s="90">
        <v>3.3</v>
      </c>
      <c r="D54" s="90">
        <v>5.6</v>
      </c>
      <c r="E54" s="90">
        <v>5.6</v>
      </c>
      <c r="F54" s="76"/>
      <c r="G54" s="1"/>
      <c r="H54"/>
      <c r="I54"/>
      <c r="J54"/>
      <c r="K54" s="1"/>
      <c r="L54" s="1"/>
      <c r="M54" s="1"/>
      <c r="N54" s="1"/>
      <c r="O54" s="1"/>
      <c r="P54" s="1"/>
      <c r="Q54" s="1"/>
      <c r="R54" s="1"/>
      <c r="S54" s="1"/>
      <c r="T54" s="1"/>
      <c r="U54" s="1"/>
      <c r="V54" s="1"/>
      <c r="W54" s="1"/>
      <c r="X54" s="1"/>
      <c r="Y54" s="1"/>
      <c r="Z54" s="1"/>
      <c r="AA54" s="1"/>
      <c r="AB54" s="1"/>
      <c r="AC54" s="1"/>
    </row>
    <row r="55" spans="1:29" x14ac:dyDescent="0.2">
      <c r="A55" s="75" t="s">
        <v>135</v>
      </c>
      <c r="B55" s="21"/>
      <c r="C55" s="21"/>
      <c r="D55" s="58">
        <f>$B$61/D46</f>
        <v>34.890360633075268</v>
      </c>
      <c r="E55" s="58">
        <f>$B$61/E46</f>
        <v>33.92430311392669</v>
      </c>
      <c r="F55" s="76">
        <f>$B$61/F46</f>
        <v>31.852128772912568</v>
      </c>
      <c r="G55" s="1"/>
      <c r="H55"/>
      <c r="I55"/>
      <c r="J55"/>
      <c r="K55" s="1"/>
      <c r="L55" s="1"/>
      <c r="M55" s="1"/>
      <c r="N55" s="1"/>
      <c r="O55" s="1"/>
      <c r="P55" s="1"/>
      <c r="Q55" s="1"/>
      <c r="R55" s="1"/>
      <c r="S55" s="1"/>
      <c r="T55" s="1"/>
      <c r="U55" s="1"/>
      <c r="V55" s="1"/>
      <c r="W55" s="1"/>
      <c r="X55" s="1"/>
      <c r="Y55" s="1"/>
      <c r="Z55" s="1"/>
      <c r="AA55" s="1"/>
      <c r="AB55" s="1"/>
      <c r="AC55" s="1"/>
    </row>
    <row r="56" spans="1:29" x14ac:dyDescent="0.2">
      <c r="A56" s="77" t="s">
        <v>136</v>
      </c>
      <c r="B56" s="78"/>
      <c r="C56" s="78"/>
      <c r="D56" s="79">
        <f>($B$61+D48-D51)/D41</f>
        <v>2.1296840619732134</v>
      </c>
      <c r="E56" s="79">
        <f>($B$61+E48-E51)/E41</f>
        <v>2.2235171536504112</v>
      </c>
      <c r="F56" s="80">
        <f>($B$61+F48-F51)/F41</f>
        <v>2.2161614005255572</v>
      </c>
      <c r="G56" s="1"/>
      <c r="H56"/>
      <c r="I56"/>
      <c r="J56"/>
      <c r="K56" s="1"/>
      <c r="L56" s="6"/>
      <c r="M56" s="1"/>
      <c r="N56" s="1"/>
      <c r="O56" s="1"/>
      <c r="P56" s="1"/>
      <c r="Q56" s="1"/>
      <c r="R56" s="1"/>
      <c r="S56" s="1"/>
      <c r="T56" s="1"/>
      <c r="U56" s="1"/>
      <c r="V56" s="1"/>
      <c r="W56" s="1"/>
      <c r="X56" s="1"/>
      <c r="Y56" s="1"/>
      <c r="Z56" s="1"/>
      <c r="AA56" s="1"/>
      <c r="AB56"/>
      <c r="AC56"/>
    </row>
    <row r="57" spans="1:29" x14ac:dyDescent="0.2">
      <c r="A57" s="14"/>
      <c r="B57" s="1"/>
      <c r="C57" s="1"/>
      <c r="D57" s="58"/>
      <c r="E57" s="58"/>
      <c r="F57" s="58"/>
      <c r="G57" s="1"/>
      <c r="H57" s="1"/>
      <c r="I57" s="1"/>
      <c r="J57" s="1"/>
      <c r="K57" s="1"/>
      <c r="L57" s="1"/>
      <c r="M57" s="1"/>
      <c r="N57" s="1"/>
      <c r="O57" s="1"/>
      <c r="P57" s="1"/>
      <c r="Q57" s="1"/>
      <c r="R57" s="1"/>
      <c r="S57" s="1"/>
      <c r="T57" s="1"/>
      <c r="U57" s="1"/>
      <c r="V57" s="1"/>
      <c r="W57" s="1"/>
      <c r="X57" s="1"/>
      <c r="Y57" s="1"/>
      <c r="Z57" s="1"/>
      <c r="AA57" s="1"/>
      <c r="AB57"/>
      <c r="AC57"/>
    </row>
    <row r="58" spans="1:29" x14ac:dyDescent="0.2">
      <c r="A58" s="7"/>
      <c r="B58" s="21"/>
      <c r="C58" s="37" t="s">
        <v>54</v>
      </c>
      <c r="D58" s="37" t="s">
        <v>152</v>
      </c>
      <c r="E58" s="37" t="s">
        <v>112</v>
      </c>
      <c r="F58"/>
      <c r="G58"/>
      <c r="H58" s="37" t="s">
        <v>144</v>
      </c>
      <c r="I58" s="37" t="s">
        <v>145</v>
      </c>
      <c r="J58" s="1"/>
      <c r="K58" s="1"/>
      <c r="L58" s="1"/>
      <c r="M58" s="1"/>
      <c r="N58" s="1"/>
      <c r="O58" s="1"/>
      <c r="P58" s="1"/>
      <c r="Q58" s="1"/>
      <c r="R58" s="1"/>
      <c r="S58" s="1"/>
      <c r="T58" s="1"/>
      <c r="U58" s="1"/>
      <c r="V58" s="1"/>
      <c r="W58" s="1"/>
      <c r="X58" s="1"/>
      <c r="Y58" s="1"/>
      <c r="Z58" s="1"/>
      <c r="AA58" s="1"/>
      <c r="AB58" s="1"/>
      <c r="AC58" s="1"/>
    </row>
    <row r="59" spans="1:29" x14ac:dyDescent="0.2">
      <c r="A59" s="39" t="s">
        <v>106</v>
      </c>
      <c r="B59" s="35">
        <f>SUM(C59:E59)</f>
        <v>8.3000000000000004E-2</v>
      </c>
      <c r="C59" s="36">
        <v>3.0700000000000002E-2</v>
      </c>
      <c r="D59" s="36">
        <v>5.2299999999999999E-2</v>
      </c>
      <c r="E59" s="35">
        <v>0</v>
      </c>
      <c r="F59"/>
      <c r="G59" s="11" t="s">
        <v>143</v>
      </c>
      <c r="H59" s="5">
        <v>1</v>
      </c>
      <c r="I59" s="5">
        <v>1</v>
      </c>
      <c r="J59" s="1"/>
    </row>
    <row r="60" spans="1:29" x14ac:dyDescent="0.2">
      <c r="A60" s="39"/>
      <c r="C60" s="36"/>
      <c r="D60" s="36"/>
      <c r="E60" s="108"/>
      <c r="F60"/>
      <c r="G60" t="s">
        <v>163</v>
      </c>
      <c r="H60" s="769">
        <v>-0.01</v>
      </c>
      <c r="I60" s="769"/>
    </row>
    <row r="61" spans="1:29" x14ac:dyDescent="0.2">
      <c r="A61" s="38" t="s">
        <v>15</v>
      </c>
      <c r="B61" s="4">
        <f>C62+C63</f>
        <v>-89708.61177483885</v>
      </c>
      <c r="C61" s="243" t="s">
        <v>260</v>
      </c>
      <c r="D61" s="236">
        <f>D31</f>
        <v>1E-3</v>
      </c>
      <c r="E61" s="237">
        <f>D32</f>
        <v>5.0000000000000001E-3</v>
      </c>
      <c r="F61"/>
      <c r="G61" t="s">
        <v>164</v>
      </c>
      <c r="H61" s="3">
        <v>0.21</v>
      </c>
      <c r="I61" s="3">
        <v>0.23</v>
      </c>
      <c r="AA61" s="3"/>
      <c r="AB61" s="3"/>
      <c r="AC61" s="3"/>
    </row>
    <row r="62" spans="1:29" x14ac:dyDescent="0.2">
      <c r="A62" s="38" t="s">
        <v>68</v>
      </c>
      <c r="B62" s="3">
        <f>C62/B61</f>
        <v>0.65817136255031528</v>
      </c>
      <c r="C62" s="234">
        <f>AB52/(1+B59)^25</f>
        <v>-59043.639244342943</v>
      </c>
      <c r="D62" s="238">
        <f>SUMPRODUCT(E50:AB50,E31:AB31)</f>
        <v>-44326.248645946391</v>
      </c>
      <c r="E62" s="239">
        <f>SUMPRODUCT(E50:AB50,E32:AB32)</f>
        <v>-42404.098029640627</v>
      </c>
      <c r="F62"/>
      <c r="G62" s="92" t="s">
        <v>165</v>
      </c>
      <c r="H62" s="770">
        <v>1.2</v>
      </c>
      <c r="I62" s="770"/>
    </row>
    <row r="63" spans="1:29" x14ac:dyDescent="0.2">
      <c r="A63" s="38" t="s">
        <v>53</v>
      </c>
      <c r="B63" s="3">
        <f>1-B62</f>
        <v>0.34182863744968472</v>
      </c>
      <c r="C63" s="234">
        <f>AC52/(1+B59)^25</f>
        <v>-30664.972530495914</v>
      </c>
      <c r="D63" s="240">
        <f>(AC50/($B$59+D31-$AC$36))*AC31</f>
        <v>-29353.987023403763</v>
      </c>
      <c r="E63" s="241">
        <f>(AC50/($B$59+D32-$AC$36))*AC32</f>
        <v>-24751.241027119897</v>
      </c>
      <c r="F63"/>
      <c r="G63" t="s">
        <v>166</v>
      </c>
      <c r="H63" s="767">
        <f>SUM(40:40)</f>
        <v>628766.44379785389</v>
      </c>
      <c r="I63" s="767"/>
    </row>
    <row r="64" spans="1:29" x14ac:dyDescent="0.2">
      <c r="A64" s="39" t="s">
        <v>14</v>
      </c>
      <c r="B64" s="40">
        <f ca="1">1000000*B61/OP!C8</f>
        <v>-608758989.01990283</v>
      </c>
      <c r="C64" s="4"/>
      <c r="D64" s="40">
        <f ca="1">1000000*SUM(D62:D63)/OP!C8</f>
        <v>-499991081.00569373</v>
      </c>
      <c r="E64" s="242">
        <f ca="1">1000000*SUM(E62:E63)/OP!C8</f>
        <v>-455713398.10821378</v>
      </c>
      <c r="F64"/>
      <c r="G64" t="s">
        <v>167</v>
      </c>
      <c r="H64" s="767" t="e">
        <f>SUM(47:47)</f>
        <v>#REF!</v>
      </c>
      <c r="I64" s="767"/>
    </row>
    <row r="65" spans="1:29" x14ac:dyDescent="0.2">
      <c r="B65" s="41">
        <f ca="1">B64/OP!C7-1</f>
        <v>-20197711.319173947</v>
      </c>
      <c r="C65" s="2"/>
      <c r="D65" s="10">
        <f ca="1">D64/B64-1</f>
        <v>-0.17867154321503254</v>
      </c>
      <c r="E65" s="107">
        <f ca="1">E64/B64-1</f>
        <v>-0.25140588257775254</v>
      </c>
      <c r="F65"/>
      <c r="G65" s="97" t="s">
        <v>168</v>
      </c>
      <c r="H65" s="767" t="e">
        <f>SUM(47:47)+(OP!E12*OP!E7)</f>
        <v>#REF!</v>
      </c>
      <c r="I65" s="767"/>
    </row>
    <row r="66" spans="1:29" x14ac:dyDescent="0.2">
      <c r="B66" s="4"/>
      <c r="C66" s="4"/>
      <c r="G66" s="2"/>
      <c r="I66" s="6"/>
    </row>
    <row r="67" spans="1:29" x14ac:dyDescent="0.2">
      <c r="A67" t="s">
        <v>261</v>
      </c>
      <c r="B67" s="244">
        <f>B62*D68+B63*D69</f>
        <v>21.007164044448437</v>
      </c>
      <c r="C67" s="97"/>
      <c r="E67" s="245">
        <v>1</v>
      </c>
      <c r="F67" s="245">
        <v>2</v>
      </c>
      <c r="G67" s="245">
        <v>3</v>
      </c>
      <c r="H67" s="4">
        <v>4</v>
      </c>
      <c r="I67" s="245">
        <v>5</v>
      </c>
      <c r="J67" s="245">
        <v>6</v>
      </c>
      <c r="K67" s="245">
        <v>7</v>
      </c>
      <c r="L67" s="4">
        <v>8</v>
      </c>
      <c r="M67" s="245">
        <v>9</v>
      </c>
      <c r="N67" s="245">
        <v>10</v>
      </c>
      <c r="O67" s="245">
        <v>11</v>
      </c>
      <c r="P67" s="4">
        <v>12</v>
      </c>
      <c r="Q67" s="245">
        <v>13</v>
      </c>
      <c r="R67" s="245">
        <v>14</v>
      </c>
      <c r="S67" s="245">
        <v>15</v>
      </c>
      <c r="T67" s="4">
        <v>16</v>
      </c>
      <c r="U67" s="245">
        <v>17</v>
      </c>
      <c r="V67" s="245">
        <v>18</v>
      </c>
      <c r="W67" s="245">
        <v>19</v>
      </c>
      <c r="X67" s="4">
        <v>20</v>
      </c>
      <c r="Y67" s="245">
        <v>21</v>
      </c>
      <c r="Z67" s="245">
        <v>22</v>
      </c>
      <c r="AA67" s="245">
        <v>23</v>
      </c>
      <c r="AB67" s="4">
        <v>24</v>
      </c>
      <c r="AC67" s="245">
        <v>25</v>
      </c>
    </row>
    <row r="68" spans="1:29" x14ac:dyDescent="0.2">
      <c r="A68" s="233">
        <v>1E-3</v>
      </c>
      <c r="B68" s="246">
        <f>-$B$67*A68</f>
        <v>-2.1007164044448436E-2</v>
      </c>
      <c r="C68" s="97"/>
      <c r="D68" s="234">
        <f>SUM(E68:AB68)/SUMPRODUCT(E50:AB50,E33:AB33)</f>
        <v>12.156715723823471</v>
      </c>
      <c r="E68" s="247">
        <f>E67*E50*E33</f>
        <v>-1549.7469665139442</v>
      </c>
      <c r="F68" s="247">
        <f t="shared" ref="F68:AC68" si="18">F67*F50*F33</f>
        <v>-3336.0201594900186</v>
      </c>
      <c r="G68" s="247">
        <f t="shared" si="18"/>
        <v>-5131.4283815433109</v>
      </c>
      <c r="H68" s="247">
        <f t="shared" si="18"/>
        <v>-7362.8560293826331</v>
      </c>
      <c r="I68" s="247">
        <f t="shared" si="18"/>
        <v>-9835.8319635738735</v>
      </c>
      <c r="J68" s="247">
        <f t="shared" si="18"/>
        <v>-12603.882062578465</v>
      </c>
      <c r="K68" s="247">
        <f t="shared" si="18"/>
        <v>-15325.195207774455</v>
      </c>
      <c r="L68" s="247">
        <f t="shared" si="18"/>
        <v>-17728.981803767063</v>
      </c>
      <c r="M68" s="247">
        <f t="shared" si="18"/>
        <v>-19890.684269212776</v>
      </c>
      <c r="N68" s="247">
        <f t="shared" si="18"/>
        <v>-21711.367715807151</v>
      </c>
      <c r="O68" s="247">
        <f t="shared" si="18"/>
        <v>-23283.674260785712</v>
      </c>
      <c r="P68" s="247">
        <f t="shared" si="18"/>
        <v>-24761.731417020113</v>
      </c>
      <c r="Q68" s="247">
        <f t="shared" si="18"/>
        <v>-26148.877877257015</v>
      </c>
      <c r="R68" s="247">
        <f t="shared" si="18"/>
        <v>-27448.358752958913</v>
      </c>
      <c r="S68" s="247">
        <f t="shared" si="18"/>
        <v>-28663.327754628903</v>
      </c>
      <c r="T68" s="247">
        <f t="shared" si="18"/>
        <v>-29796.849470799487</v>
      </c>
      <c r="U68" s="247">
        <f t="shared" si="18"/>
        <v>-30851.901704738837</v>
      </c>
      <c r="V68" s="247">
        <f t="shared" si="18"/>
        <v>-31831.377835237148</v>
      </c>
      <c r="W68" s="247">
        <f t="shared" si="18"/>
        <v>-32738.089174153192</v>
      </c>
      <c r="X68" s="247">
        <f t="shared" si="18"/>
        <v>-33574.767298824969</v>
      </c>
      <c r="Y68" s="247">
        <f t="shared" si="18"/>
        <v>-34344.066342103928</v>
      </c>
      <c r="Z68" s="247">
        <f t="shared" si="18"/>
        <v>-35048.565226734558</v>
      </c>
      <c r="AA68" s="247">
        <f t="shared" si="18"/>
        <v>-35690.769834170802</v>
      </c>
      <c r="AB68" s="247">
        <f t="shared" si="18"/>
        <v>-36273.115100758463</v>
      </c>
      <c r="AC68" s="247">
        <f t="shared" si="18"/>
        <v>-36797.967036595095</v>
      </c>
    </row>
    <row r="69" spans="1:29" ht="15" x14ac:dyDescent="0.25">
      <c r="A69" s="233">
        <v>5.0000000000000001E-3</v>
      </c>
      <c r="B69" s="246">
        <f>-$B$67*A69</f>
        <v>-0.10503582022224218</v>
      </c>
      <c r="C69" s="97"/>
      <c r="D69" s="248">
        <f>(1+B59)/B59+AC67</f>
        <v>38.048192771084338</v>
      </c>
      <c r="E69" s="3"/>
      <c r="F69" s="41"/>
      <c r="H69" s="6"/>
    </row>
    <row r="70" spans="1:29" x14ac:dyDescent="0.2">
      <c r="D70" s="122"/>
      <c r="E70" s="10"/>
      <c r="F70" s="9"/>
      <c r="H70" s="6"/>
    </row>
    <row r="71" spans="1:29" x14ac:dyDescent="0.2">
      <c r="C71" s="97"/>
      <c r="D71" s="123"/>
      <c r="E71" s="123"/>
      <c r="F71" s="123"/>
    </row>
    <row r="72" spans="1:29" x14ac:dyDescent="0.2">
      <c r="C72" s="97"/>
      <c r="D72" s="41"/>
      <c r="E72" s="3"/>
      <c r="F72" s="3"/>
    </row>
    <row r="73" spans="1:29" x14ac:dyDescent="0.2">
      <c r="C73" s="97"/>
      <c r="D73" s="3"/>
      <c r="E73" s="41"/>
      <c r="F73" s="3"/>
    </row>
    <row r="74" spans="1:29" x14ac:dyDescent="0.2">
      <c r="C74" s="97"/>
      <c r="D74" s="3"/>
      <c r="E74" s="3"/>
      <c r="F74" s="3"/>
      <c r="J74" s="9"/>
    </row>
    <row r="75" spans="1:29" x14ac:dyDescent="0.2">
      <c r="C75" s="97"/>
      <c r="D75" s="3"/>
      <c r="E75" s="3"/>
      <c r="F75" s="3"/>
    </row>
    <row r="76" spans="1:29" x14ac:dyDescent="0.2">
      <c r="C76" s="97"/>
      <c r="D76" s="3"/>
      <c r="E76" s="3"/>
      <c r="F76" s="3"/>
    </row>
    <row r="77" spans="1:29" x14ac:dyDescent="0.2">
      <c r="C77" s="97"/>
      <c r="D77" s="3"/>
      <c r="E77" s="3"/>
      <c r="F77" s="3"/>
    </row>
    <row r="78" spans="1:29" x14ac:dyDescent="0.2">
      <c r="C78" s="97"/>
      <c r="D78" s="3"/>
      <c r="E78" s="3"/>
      <c r="F78" s="41"/>
    </row>
    <row r="79" spans="1:29" x14ac:dyDescent="0.2">
      <c r="F79" s="8"/>
    </row>
    <row r="81" spans="4:9" x14ac:dyDescent="0.2">
      <c r="G81" s="10"/>
    </row>
    <row r="82" spans="4:9" x14ac:dyDescent="0.2">
      <c r="D82" s="3"/>
      <c r="E82" s="3"/>
      <c r="F82" s="3"/>
      <c r="G82" s="9"/>
    </row>
    <row r="83" spans="4:9" x14ac:dyDescent="0.2">
      <c r="D83" s="3"/>
      <c r="E83" s="3"/>
      <c r="F83" s="3"/>
      <c r="G83" s="9"/>
    </row>
    <row r="84" spans="4:9" x14ac:dyDescent="0.2">
      <c r="D84" s="3"/>
      <c r="E84" s="3"/>
      <c r="F84" s="3"/>
      <c r="H84" s="9"/>
    </row>
    <row r="85" spans="4:9" x14ac:dyDescent="0.2">
      <c r="I85" s="10"/>
    </row>
    <row r="86" spans="4:9" x14ac:dyDescent="0.2">
      <c r="D86" s="3"/>
      <c r="E86" s="3"/>
      <c r="F86" s="3"/>
    </row>
    <row r="87" spans="4:9" x14ac:dyDescent="0.2">
      <c r="D87" s="3"/>
      <c r="E87" s="3"/>
      <c r="F87" s="3"/>
    </row>
    <row r="88" spans="4:9" x14ac:dyDescent="0.2">
      <c r="D88" s="3"/>
      <c r="E88" s="3"/>
      <c r="F88" s="3"/>
    </row>
  </sheetData>
  <mergeCells count="6">
    <mergeCell ref="H65:I65"/>
    <mergeCell ref="H64:I64"/>
    <mergeCell ref="A1:L1"/>
    <mergeCell ref="H60:I60"/>
    <mergeCell ref="H62:I62"/>
    <mergeCell ref="H63:I63"/>
  </mergeCells>
  <phoneticPr fontId="0" type="noConversion"/>
  <hyperlinks>
    <hyperlink ref="A61" r:id="rId1" xr:uid="{00000000-0004-0000-0600-000000000000}"/>
  </hyperlinks>
  <pageMargins left="0.75" right="0.75" top="1" bottom="1" header="0" footer="0"/>
  <pageSetup orientation="portrait" r:id="rId2"/>
  <headerFooter alignWithMargins="0"/>
  <drawing r:id="rId3"/>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sheetPr>
  <dimension ref="A1:AX232"/>
  <sheetViews>
    <sheetView zoomScale="55" zoomScaleNormal="55" workbookViewId="0">
      <selection activeCell="H38" sqref="H38"/>
    </sheetView>
  </sheetViews>
  <sheetFormatPr defaultColWidth="11.28515625" defaultRowHeight="15" x14ac:dyDescent="0.25"/>
  <cols>
    <col min="1" max="1" width="14.28515625" style="267" customWidth="1"/>
    <col min="2" max="2" width="6.28515625" style="267" customWidth="1"/>
    <col min="3" max="3" width="35.28515625" style="267" customWidth="1"/>
    <col min="4" max="4" width="17.7109375" style="267" customWidth="1"/>
    <col min="5" max="5" width="12.28515625" style="267" customWidth="1"/>
    <col min="6" max="6" width="19.28515625" style="268" customWidth="1"/>
    <col min="7" max="7" width="14" style="268" customWidth="1"/>
    <col min="8" max="8" width="9.28515625" style="268" customWidth="1"/>
    <col min="9" max="9" width="13" style="268" customWidth="1"/>
    <col min="10" max="11" width="9.28515625" style="268" customWidth="1"/>
    <col min="12" max="12" width="9.28515625" style="268" bestFit="1" customWidth="1"/>
    <col min="13" max="13" width="9" style="268" bestFit="1" customWidth="1"/>
    <col min="14" max="20" width="10.28515625" style="268" customWidth="1"/>
    <col min="21" max="25" width="10.28515625" style="268" bestFit="1" customWidth="1"/>
    <col min="26" max="26" width="12.28515625" style="268" customWidth="1"/>
    <col min="27" max="28" width="10.28515625" style="268" bestFit="1" customWidth="1"/>
    <col min="29" max="29" width="10.7109375" style="268" bestFit="1" customWidth="1"/>
    <col min="30" max="30" width="11.7109375" style="267" bestFit="1" customWidth="1"/>
    <col min="31" max="31" width="12.7109375" style="267" bestFit="1" customWidth="1"/>
    <col min="32" max="32" width="11.7109375" style="267" bestFit="1" customWidth="1"/>
    <col min="33" max="33" width="10.28515625" style="267" bestFit="1" customWidth="1"/>
    <col min="34" max="41" width="11.7109375" style="267" bestFit="1" customWidth="1"/>
    <col min="42" max="16384" width="11.28515625" style="267"/>
  </cols>
  <sheetData>
    <row r="1" spans="1:33" ht="20.25" x14ac:dyDescent="0.3">
      <c r="C1" s="777" t="s">
        <v>267</v>
      </c>
      <c r="D1" s="777"/>
      <c r="E1" s="777"/>
      <c r="F1" s="777"/>
      <c r="G1" s="777"/>
      <c r="H1" s="777"/>
      <c r="I1" s="777"/>
      <c r="J1" s="777"/>
      <c r="K1" s="777"/>
      <c r="L1" s="777"/>
    </row>
    <row r="2" spans="1:33" x14ac:dyDescent="0.25">
      <c r="C2" s="269"/>
      <c r="D2" s="269"/>
      <c r="E2" s="269"/>
      <c r="F2" s="269"/>
      <c r="G2" s="269"/>
      <c r="H2" s="269" t="s">
        <v>259</v>
      </c>
      <c r="I2" s="269"/>
      <c r="J2" s="269"/>
      <c r="K2" s="269"/>
      <c r="L2" s="269"/>
    </row>
    <row r="3" spans="1:33" x14ac:dyDescent="0.25">
      <c r="D3" s="360">
        <f>D19/D6</f>
        <v>1.2974709171571943E-2</v>
      </c>
      <c r="E3" s="360">
        <f>E19/E6</f>
        <v>9.3604404523415369E-3</v>
      </c>
      <c r="F3" s="360">
        <f>F19/F6</f>
        <v>7.0644810995346427E-3</v>
      </c>
      <c r="G3" s="268">
        <v>0</v>
      </c>
      <c r="H3" s="268">
        <v>0.25</v>
      </c>
      <c r="I3" s="268">
        <f>H3+1</f>
        <v>1.25</v>
      </c>
      <c r="J3" s="268">
        <f t="shared" ref="J3:AF3" si="0">I3+1</f>
        <v>2.25</v>
      </c>
      <c r="K3" s="268">
        <f t="shared" si="0"/>
        <v>3.25</v>
      </c>
      <c r="L3" s="268">
        <f t="shared" si="0"/>
        <v>4.25</v>
      </c>
      <c r="M3" s="268">
        <f>L3+1</f>
        <v>5.25</v>
      </c>
      <c r="N3" s="268">
        <f t="shared" si="0"/>
        <v>6.25</v>
      </c>
      <c r="O3" s="268">
        <f t="shared" si="0"/>
        <v>7.25</v>
      </c>
      <c r="P3" s="268">
        <f t="shared" si="0"/>
        <v>8.25</v>
      </c>
      <c r="Q3" s="268">
        <f t="shared" si="0"/>
        <v>9.25</v>
      </c>
      <c r="R3" s="268">
        <f t="shared" si="0"/>
        <v>10.25</v>
      </c>
      <c r="S3" s="268">
        <f t="shared" si="0"/>
        <v>11.25</v>
      </c>
      <c r="T3" s="268">
        <f t="shared" si="0"/>
        <v>12.25</v>
      </c>
      <c r="U3" s="268">
        <f t="shared" si="0"/>
        <v>13.25</v>
      </c>
      <c r="V3" s="268">
        <f t="shared" si="0"/>
        <v>14.25</v>
      </c>
      <c r="W3" s="268">
        <f t="shared" si="0"/>
        <v>15.25</v>
      </c>
      <c r="X3" s="268">
        <f t="shared" si="0"/>
        <v>16.25</v>
      </c>
      <c r="Y3" s="268">
        <f t="shared" si="0"/>
        <v>17.25</v>
      </c>
      <c r="Z3" s="268">
        <f t="shared" si="0"/>
        <v>18.25</v>
      </c>
      <c r="AA3" s="268">
        <f t="shared" si="0"/>
        <v>19.25</v>
      </c>
      <c r="AB3" s="268">
        <f t="shared" si="0"/>
        <v>20.25</v>
      </c>
      <c r="AC3" s="268">
        <f t="shared" si="0"/>
        <v>21.25</v>
      </c>
      <c r="AD3" s="268">
        <f t="shared" si="0"/>
        <v>22.25</v>
      </c>
      <c r="AE3" s="268">
        <f t="shared" si="0"/>
        <v>23.25</v>
      </c>
      <c r="AF3" s="268">
        <f t="shared" si="0"/>
        <v>24.25</v>
      </c>
    </row>
    <row r="4" spans="1:33" x14ac:dyDescent="0.25">
      <c r="A4" s="270" t="s">
        <v>268</v>
      </c>
      <c r="B4" s="270" t="s">
        <v>269</v>
      </c>
      <c r="C4" s="271" t="s">
        <v>270</v>
      </c>
      <c r="D4" s="272" t="s">
        <v>192</v>
      </c>
      <c r="E4" s="272" t="s">
        <v>271</v>
      </c>
      <c r="F4" s="272" t="s">
        <v>356</v>
      </c>
      <c r="G4" s="273" t="s">
        <v>411</v>
      </c>
      <c r="H4" s="273">
        <v>2024</v>
      </c>
      <c r="I4" s="273">
        <f t="shared" ref="I4:AF4" si="1">+H4+1</f>
        <v>2025</v>
      </c>
      <c r="J4" s="273">
        <f t="shared" si="1"/>
        <v>2026</v>
      </c>
      <c r="K4" s="273">
        <f t="shared" si="1"/>
        <v>2027</v>
      </c>
      <c r="L4" s="273">
        <f t="shared" si="1"/>
        <v>2028</v>
      </c>
      <c r="M4" s="273">
        <f t="shared" si="1"/>
        <v>2029</v>
      </c>
      <c r="N4" s="273">
        <f t="shared" si="1"/>
        <v>2030</v>
      </c>
      <c r="O4" s="273">
        <f t="shared" si="1"/>
        <v>2031</v>
      </c>
      <c r="P4" s="273">
        <f t="shared" si="1"/>
        <v>2032</v>
      </c>
      <c r="Q4" s="273">
        <f t="shared" si="1"/>
        <v>2033</v>
      </c>
      <c r="R4" s="273">
        <f t="shared" si="1"/>
        <v>2034</v>
      </c>
      <c r="S4" s="273">
        <f t="shared" si="1"/>
        <v>2035</v>
      </c>
      <c r="T4" s="273">
        <f t="shared" si="1"/>
        <v>2036</v>
      </c>
      <c r="U4" s="273">
        <f t="shared" si="1"/>
        <v>2037</v>
      </c>
      <c r="V4" s="273">
        <f t="shared" si="1"/>
        <v>2038</v>
      </c>
      <c r="W4" s="273">
        <f t="shared" si="1"/>
        <v>2039</v>
      </c>
      <c r="X4" s="273">
        <f t="shared" si="1"/>
        <v>2040</v>
      </c>
      <c r="Y4" s="273">
        <f t="shared" si="1"/>
        <v>2041</v>
      </c>
      <c r="Z4" s="273">
        <f t="shared" si="1"/>
        <v>2042</v>
      </c>
      <c r="AA4" s="273">
        <f t="shared" si="1"/>
        <v>2043</v>
      </c>
      <c r="AB4" s="273">
        <f t="shared" si="1"/>
        <v>2044</v>
      </c>
      <c r="AC4" s="273">
        <f t="shared" si="1"/>
        <v>2045</v>
      </c>
      <c r="AD4" s="273">
        <f t="shared" si="1"/>
        <v>2046</v>
      </c>
      <c r="AE4" s="273">
        <f t="shared" si="1"/>
        <v>2047</v>
      </c>
      <c r="AF4" s="273">
        <f t="shared" si="1"/>
        <v>2048</v>
      </c>
      <c r="AG4" s="267" t="s">
        <v>272</v>
      </c>
    </row>
    <row r="5" spans="1:33" s="278" customFormat="1" ht="12.75" x14ac:dyDescent="0.2">
      <c r="A5" s="778" t="s">
        <v>273</v>
      </c>
      <c r="B5" s="274">
        <v>1</v>
      </c>
      <c r="C5" s="275" t="s">
        <v>274</v>
      </c>
      <c r="D5" s="276">
        <f>Cifras_en_Millones!F6</f>
        <v>-0.15440774872738372</v>
      </c>
      <c r="E5" s="276">
        <f>Cifras_en_Millones!E6</f>
        <v>6.0281954538757843E-2</v>
      </c>
      <c r="F5" s="276">
        <f>Cifras_en_Millones!D6</f>
        <v>0.14315805359523903</v>
      </c>
      <c r="G5" s="276">
        <f>Cifras_en_Millones!C6</f>
        <v>0.19481819989358207</v>
      </c>
      <c r="H5" s="277">
        <f>H6/G6-1</f>
        <v>5.5455545015522745E-2</v>
      </c>
      <c r="I5" s="277">
        <f>I6/H6-1</f>
        <v>5.6896127920336825E-2</v>
      </c>
      <c r="J5" s="277">
        <f t="shared" ref="J5:AE5" si="2">J6/I6-1</f>
        <v>5.5742409422489869E-2</v>
      </c>
      <c r="K5" s="277">
        <f t="shared" si="2"/>
        <v>5.447912644777464E-2</v>
      </c>
      <c r="L5" s="277">
        <f t="shared" si="2"/>
        <v>5.5439617870984392E-2</v>
      </c>
      <c r="M5" s="277">
        <f t="shared" si="2"/>
        <v>5.3592005019106992E-2</v>
      </c>
      <c r="N5" s="277">
        <f t="shared" si="2"/>
        <v>5.1794420351643389E-2</v>
      </c>
      <c r="O5" s="277">
        <f t="shared" si="2"/>
        <v>5.0048724577807624E-2</v>
      </c>
      <c r="P5" s="277">
        <f t="shared" si="2"/>
        <v>4.8356231587406207E-2</v>
      </c>
      <c r="Q5" s="277">
        <f t="shared" si="2"/>
        <v>4.6717776606991945E-2</v>
      </c>
      <c r="R5" s="277">
        <f t="shared" si="2"/>
        <v>4.5133779131039109E-2</v>
      </c>
      <c r="S5" s="277">
        <f t="shared" si="2"/>
        <v>4.3604300418724318E-2</v>
      </c>
      <c r="T5" s="277">
        <f t="shared" si="2"/>
        <v>4.0639508872968966E-2</v>
      </c>
      <c r="U5" s="277">
        <f t="shared" si="2"/>
        <v>3.7918284134351277E-2</v>
      </c>
      <c r="V5" s="277">
        <f t="shared" si="2"/>
        <v>3.5424547384154348E-2</v>
      </c>
      <c r="W5" s="277">
        <f t="shared" si="2"/>
        <v>3.3142153834118337E-2</v>
      </c>
      <c r="X5" s="277">
        <f t="shared" si="2"/>
        <v>3.456588053821652E-2</v>
      </c>
      <c r="Y5" s="277">
        <f t="shared" si="2"/>
        <v>3.2643681019031812E-2</v>
      </c>
      <c r="Z5" s="277">
        <f t="shared" si="2"/>
        <v>3.0889995407327397E-2</v>
      </c>
      <c r="AA5" s="277">
        <f t="shared" si="2"/>
        <v>2.9290572741751619E-2</v>
      </c>
      <c r="AB5" s="277">
        <f t="shared" si="2"/>
        <v>2.7832103022428001E-2</v>
      </c>
      <c r="AC5" s="277">
        <f t="shared" si="2"/>
        <v>2.6502228266004568E-2</v>
      </c>
      <c r="AD5" s="277">
        <f t="shared" si="2"/>
        <v>2.5289529572897651E-2</v>
      </c>
      <c r="AE5" s="277">
        <f t="shared" si="2"/>
        <v>2.4183497496538697E-2</v>
      </c>
      <c r="AF5" s="277">
        <v>0.02</v>
      </c>
    </row>
    <row r="6" spans="1:33" s="282" customFormat="1" x14ac:dyDescent="0.25">
      <c r="A6" s="778"/>
      <c r="B6" s="274">
        <v>2</v>
      </c>
      <c r="C6" s="279" t="s">
        <v>275</v>
      </c>
      <c r="D6" s="280">
        <f>Cifras_en_Millones!F5</f>
        <v>1024.9169999999999</v>
      </c>
      <c r="E6" s="280">
        <f>Cifras_en_Millones!E5</f>
        <v>1086.701</v>
      </c>
      <c r="F6" s="280">
        <f>Cifras_en_Millones!D5</f>
        <v>1242.271</v>
      </c>
      <c r="G6" s="280">
        <f>Cifras_en_Millones!C5</f>
        <v>1484.288</v>
      </c>
      <c r="H6" s="281">
        <f>I82</f>
        <v>1566.6000000000001</v>
      </c>
      <c r="I6" s="281">
        <f t="shared" ref="I6:AF6" si="3">J82</f>
        <v>1655.7334739999997</v>
      </c>
      <c r="J6" s="281">
        <f t="shared" si="3"/>
        <v>1748.0280472022291</v>
      </c>
      <c r="K6" s="281">
        <f t="shared" si="3"/>
        <v>1843.2590882200161</v>
      </c>
      <c r="L6" s="281">
        <f t="shared" si="3"/>
        <v>1945.4486677081529</v>
      </c>
      <c r="M6" s="281">
        <f t="shared" si="3"/>
        <v>2049.7091624723835</v>
      </c>
      <c r="N6" s="281">
        <f t="shared" si="3"/>
        <v>2155.8726604320932</v>
      </c>
      <c r="O6" s="281">
        <f t="shared" si="3"/>
        <v>2263.7713374388845</v>
      </c>
      <c r="P6" s="281">
        <f t="shared" si="3"/>
        <v>2373.2387884930117</v>
      </c>
      <c r="Q6" s="281">
        <f t="shared" si="3"/>
        <v>2484.1112280488765</v>
      </c>
      <c r="R6" s="281">
        <f t="shared" si="3"/>
        <v>2596.2285555525687</v>
      </c>
      <c r="S6" s="281">
        <f t="shared" si="3"/>
        <v>2709.4352854445533</v>
      </c>
      <c r="T6" s="281">
        <f t="shared" si="3"/>
        <v>2819.5454047681123</v>
      </c>
      <c r="U6" s="281">
        <f t="shared" si="3"/>
        <v>2926.4577285558139</v>
      </c>
      <c r="V6" s="281">
        <f t="shared" si="3"/>
        <v>3030.1261690287638</v>
      </c>
      <c r="W6" s="281">
        <f t="shared" si="3"/>
        <v>3130.551076659503</v>
      </c>
      <c r="X6" s="281">
        <f t="shared" si="3"/>
        <v>3238.7613311941004</v>
      </c>
      <c r="Y6" s="281">
        <f t="shared" si="3"/>
        <v>3344.4864229863756</v>
      </c>
      <c r="Z6" s="281">
        <f t="shared" si="3"/>
        <v>3447.7975932322938</v>
      </c>
      <c r="AA6" s="281">
        <f t="shared" si="3"/>
        <v>3548.7855594357006</v>
      </c>
      <c r="AB6" s="281">
        <f t="shared" si="3"/>
        <v>3647.55572473042</v>
      </c>
      <c r="AC6" s="281">
        <f t="shared" si="3"/>
        <v>3744.2240791601976</v>
      </c>
      <c r="AD6" s="281">
        <f>AE82</f>
        <v>3838.9137447376747</v>
      </c>
      <c r="AE6" s="281">
        <f t="shared" si="3"/>
        <v>3931.7521056729665</v>
      </c>
      <c r="AF6" s="281">
        <f t="shared" si="3"/>
        <v>4029.1541032609157</v>
      </c>
    </row>
    <row r="7" spans="1:33" s="278" customFormat="1" ht="12.75" x14ac:dyDescent="0.2">
      <c r="A7" s="778"/>
      <c r="B7" s="274">
        <v>3</v>
      </c>
      <c r="C7" s="556" t="s">
        <v>276</v>
      </c>
      <c r="D7" s="558">
        <f>Cifras_en_Millones!F11/Cifras_en_Millones!F5</f>
        <v>9.4481797062591411E-2</v>
      </c>
      <c r="E7" s="558">
        <f>Cifras_en_Millones!E11/Cifras_en_Millones!E5</f>
        <v>0.1323758789216169</v>
      </c>
      <c r="F7" s="558">
        <f>Cifras_en_Millones!D11/Cifras_en_Millones!D5</f>
        <v>0.2180780200133465</v>
      </c>
      <c r="G7" s="558">
        <f>Cifras_en_Millones!C11/Cifras_en_Millones!C5</f>
        <v>0.23036095420834773</v>
      </c>
      <c r="H7" s="557">
        <v>0.22500000000000001</v>
      </c>
      <c r="I7" s="557">
        <f>H7*0.995</f>
        <v>0.22387499999999999</v>
      </c>
      <c r="J7" s="557">
        <f>I7*0.995</f>
        <v>0.22275562499999998</v>
      </c>
      <c r="K7" s="557">
        <f t="shared" ref="K7:L7" si="4">J7*0.995</f>
        <v>0.22164184687499999</v>
      </c>
      <c r="L7" s="557">
        <f t="shared" si="4"/>
        <v>0.220533637640625</v>
      </c>
      <c r="M7" s="557">
        <v>0.23</v>
      </c>
      <c r="N7" s="557">
        <f>23%*0.995</f>
        <v>0.22885</v>
      </c>
      <c r="O7" s="557">
        <f>N7*0.995</f>
        <v>0.22770574999999998</v>
      </c>
      <c r="P7" s="557">
        <f t="shared" ref="P7:S7" si="5">O7*0.995</f>
        <v>0.22656722124999998</v>
      </c>
      <c r="Q7" s="557">
        <f t="shared" si="5"/>
        <v>0.22543438514374997</v>
      </c>
      <c r="R7" s="557">
        <f t="shared" si="5"/>
        <v>0.22430721321803121</v>
      </c>
      <c r="S7" s="557">
        <f t="shared" si="5"/>
        <v>0.22318567715194104</v>
      </c>
      <c r="T7" s="557">
        <v>0.21</v>
      </c>
      <c r="U7" s="557">
        <f>T7*0.95</f>
        <v>0.19949999999999998</v>
      </c>
      <c r="V7" s="557">
        <v>0.21</v>
      </c>
      <c r="W7" s="557">
        <v>0.21</v>
      </c>
      <c r="X7" s="557">
        <v>0.21</v>
      </c>
      <c r="Y7" s="557">
        <v>0.21</v>
      </c>
      <c r="Z7" s="557">
        <v>0.21</v>
      </c>
      <c r="AA7" s="557">
        <v>0.21</v>
      </c>
      <c r="AB7" s="557">
        <v>0.21</v>
      </c>
      <c r="AC7" s="557">
        <v>0.21</v>
      </c>
      <c r="AD7" s="557">
        <v>0.21</v>
      </c>
      <c r="AE7" s="557">
        <v>0.21</v>
      </c>
      <c r="AF7" s="557">
        <v>0.21</v>
      </c>
    </row>
    <row r="8" spans="1:33" x14ac:dyDescent="0.25">
      <c r="A8" s="778"/>
      <c r="B8" s="274">
        <v>4</v>
      </c>
      <c r="C8" s="283" t="s">
        <v>3</v>
      </c>
      <c r="D8" s="280">
        <f>D6*D7</f>
        <v>96.835999999999999</v>
      </c>
      <c r="E8" s="280">
        <f>E6*E7</f>
        <v>143.85300000000001</v>
      </c>
      <c r="F8" s="280">
        <f>F6*F7</f>
        <v>270.91199999999998</v>
      </c>
      <c r="G8" s="280">
        <f t="shared" ref="G8:AF8" si="6">G7*G6</f>
        <v>341.92200000000003</v>
      </c>
      <c r="H8" s="284">
        <f>H7*H6</f>
        <v>352.48500000000001</v>
      </c>
      <c r="I8" s="284">
        <f t="shared" si="6"/>
        <v>370.6773314917499</v>
      </c>
      <c r="J8" s="284">
        <f t="shared" si="6"/>
        <v>389.38308017206202</v>
      </c>
      <c r="K8" s="284">
        <f t="shared" si="6"/>
        <v>408.5433485822129</v>
      </c>
      <c r="L8" s="284">
        <f t="shared" si="6"/>
        <v>429.03687153278645</v>
      </c>
      <c r="M8" s="284">
        <f t="shared" si="6"/>
        <v>471.43310736864822</v>
      </c>
      <c r="N8" s="284">
        <f t="shared" si="6"/>
        <v>493.3714583398845</v>
      </c>
      <c r="O8" s="284">
        <f t="shared" si="6"/>
        <v>515.47375022002427</v>
      </c>
      <c r="P8" s="284">
        <f t="shared" si="6"/>
        <v>537.69811767157807</v>
      </c>
      <c r="Q8" s="284">
        <f t="shared" si="6"/>
        <v>560.00408732388416</v>
      </c>
      <c r="R8" s="284">
        <f t="shared" si="6"/>
        <v>582.35279217307118</v>
      </c>
      <c r="S8" s="284">
        <f t="shared" si="6"/>
        <v>604.70714888130533</v>
      </c>
      <c r="T8" s="284">
        <f t="shared" si="6"/>
        <v>592.10453500130359</v>
      </c>
      <c r="U8" s="284">
        <f t="shared" si="6"/>
        <v>583.82831684688483</v>
      </c>
      <c r="V8" s="284">
        <f t="shared" si="6"/>
        <v>636.32649549604037</v>
      </c>
      <c r="W8" s="284">
        <f t="shared" si="6"/>
        <v>657.41572609849561</v>
      </c>
      <c r="X8" s="284">
        <f t="shared" si="6"/>
        <v>680.13987955076107</v>
      </c>
      <c r="Y8" s="284">
        <f t="shared" si="6"/>
        <v>702.34214882713889</v>
      </c>
      <c r="Z8" s="284">
        <f t="shared" si="6"/>
        <v>724.03749457878166</v>
      </c>
      <c r="AA8" s="284">
        <f t="shared" si="6"/>
        <v>745.24496748149716</v>
      </c>
      <c r="AB8" s="284">
        <f t="shared" si="6"/>
        <v>765.98670219338817</v>
      </c>
      <c r="AC8" s="284">
        <f t="shared" si="6"/>
        <v>786.28705662364143</v>
      </c>
      <c r="AD8" s="284">
        <f t="shared" si="6"/>
        <v>806.17188639491167</v>
      </c>
      <c r="AE8" s="284">
        <f>AE7*AE6</f>
        <v>825.66794219132294</v>
      </c>
      <c r="AF8" s="284">
        <f t="shared" si="6"/>
        <v>846.12236168479228</v>
      </c>
    </row>
    <row r="9" spans="1:33" x14ac:dyDescent="0.25">
      <c r="A9" s="778"/>
      <c r="B9" s="274" t="s">
        <v>277</v>
      </c>
      <c r="C9" s="285" t="s">
        <v>278</v>
      </c>
      <c r="D9" s="363">
        <f>-Cifras_en_Millones!F17</f>
        <v>-143.51599999999999</v>
      </c>
      <c r="E9" s="363">
        <f>-Cifras_en_Millones!E17</f>
        <v>-101.178</v>
      </c>
      <c r="F9" s="363">
        <f>-Cifras_en_Millones!D17</f>
        <v>-59.131999999999998</v>
      </c>
      <c r="G9" s="363">
        <f>-Cifras_en_Millones!C17</f>
        <v>-69.617999999999995</v>
      </c>
      <c r="H9" s="299" cm="1">
        <f t="array" ref="H9">G9*0.7+0.3*(-$D$50*AVERAGE(-1*(D22:G22)))</f>
        <v>-40.689356999999987</v>
      </c>
      <c r="I9" s="299" cm="1">
        <f t="array" ref="I9">H9*0.7+0.3*(-$D$50*AVERAGE(-1*(E22:H22)))</f>
        <v>-22.621125899999988</v>
      </c>
      <c r="J9" s="299" cm="1">
        <f t="array" ref="J9">I9*0.7+0.3*(-$D$50*AVERAGE(-1*(F22:I22)))</f>
        <v>-16.671868163759992</v>
      </c>
      <c r="K9" s="299" cm="1">
        <f t="array" ref="K9">J9*0.7+0.3*(-$D$50*AVERAGE(-1*(G22:J22)))</f>
        <v>-13.018888479720529</v>
      </c>
      <c r="L9" s="299" cm="1">
        <f t="array" ref="L9">K9*0.7+0.3*(-$D$50*AVERAGE(-1*(H22:K22)))</f>
        <v>-10.74849088206571</v>
      </c>
      <c r="M9" s="299" cm="1">
        <f t="array" ref="M9">L9*0.7+0.3*(-$D$50*AVERAGE(-1*(I22:L22)))</f>
        <v>-9.1334093238948029</v>
      </c>
      <c r="N9" s="299" cm="1">
        <f t="array" ref="N9">M9*0.7+0.3*(-$D$50*AVERAGE(-1*(J22:M22)))</f>
        <v>-7.974423848660197</v>
      </c>
      <c r="O9" s="299" cm="1">
        <f t="array" ref="O9">N9*0.7+0.3*(-$D$50*AVERAGE(-1*(K22:N22)))</f>
        <v>-7.1316643635452142</v>
      </c>
      <c r="P9" s="299" cm="1">
        <f t="array" ref="P9">O9*0.7+0.3*(-$D$50*AVERAGE(-1*(L22:O22)))</f>
        <v>-6.5068293835309223</v>
      </c>
      <c r="Q9" s="299" cm="1">
        <f t="array" ref="Q9">P9*0.7+0.3*(-$D$50*AVERAGE(-1*(M22:P22)))</f>
        <v>-6.1464471192621914</v>
      </c>
      <c r="R9" s="299" cm="1">
        <f t="array" ref="R9">Q9*0.7+0.3*(-$D$50*AVERAGE(-1*(N22:Q22)))</f>
        <v>-5.97237190607785</v>
      </c>
      <c r="S9" s="299" cm="1">
        <f t="array" ref="S9">R9*0.7+0.3*(-$D$50*AVERAGE(-1*(O22:R22)))</f>
        <v>-5.9297833179704957</v>
      </c>
      <c r="T9" s="299" cm="1">
        <f t="array" ref="T9">S9*0.7+0.3*(-$D$50*AVERAGE(-1*(P22:S22)))</f>
        <v>-5.9801908169363687</v>
      </c>
      <c r="U9" s="299" cm="1">
        <f t="array" ref="U9">T9*0.7+0.3*(-$D$50*AVERAGE(-1*(Q22:T22)))</f>
        <v>-6.0958112571419978</v>
      </c>
      <c r="V9" s="299" cm="1">
        <f t="array" ref="V9">U9*0.7+0.3*(-$D$50*AVERAGE(-1*(R22:U22)))</f>
        <v>-6.2563679353771864</v>
      </c>
      <c r="W9" s="299" cm="1">
        <f t="array" ref="W9">V9*0.7+0.3*(-$D$50*AVERAGE(-1*(S22:V22)))</f>
        <v>-6.4468591805675333</v>
      </c>
      <c r="X9" s="299" cm="1">
        <f t="array" ref="X9">W9*0.7+0.3*(-$D$50*AVERAGE(-1*(T22:W22)))</f>
        <v>-6.6560038946194675</v>
      </c>
      <c r="Y9" s="299" cm="1">
        <f t="array" ref="Y9">X9*0.7+0.3*(-$D$50*AVERAGE(-1*(U22:X22)))</f>
        <v>-6.8778640612124988</v>
      </c>
      <c r="Z9" s="299" cm="1">
        <f t="array" ref="Z9">Y9*0.7+0.3*(-$D$50*AVERAGE(-1*(V22:Y22)))</f>
        <v>-7.1084113428251223</v>
      </c>
      <c r="AA9" s="299" cm="1">
        <f t="array" ref="AA9">Z9*0.7+0.3*(-$D$50*AVERAGE(-1*(W22:Z22)))</f>
        <v>-7.3449752963105945</v>
      </c>
      <c r="AB9" s="299" cm="1">
        <f t="array" ref="AB9">AA9*0.7+0.3*(-$D$50*AVERAGE(-1*(X22:AA22)))</f>
        <v>-7.5858522706501414</v>
      </c>
      <c r="AC9" s="299" cm="1">
        <f t="array" ref="AC9">AB9*0.7+0.3*(-$D$50*AVERAGE(-1*(Y22:AB22)))</f>
        <v>-7.8280491435243604</v>
      </c>
      <c r="AD9" s="299" cm="1">
        <f t="array" ref="AD9">AC9*0.7+0.3*(-$D$50*AVERAGE(-1*(Z22:AC22)))</f>
        <v>-8.0695397326476019</v>
      </c>
      <c r="AE9" s="299" cm="1">
        <f t="array" ref="AE9">AD9*0.7+0.3*(-$D$50*AVERAGE(-1*(AA22:AD22)))</f>
        <v>-8.3089840523048402</v>
      </c>
      <c r="AF9" s="299" cm="1">
        <f t="array" ref="AF9">AE9*0.7+0.3*(-$D$50*AVERAGE(-1*(AB22:AE22)))</f>
        <v>-8.5455290543876146</v>
      </c>
    </row>
    <row r="10" spans="1:33" x14ac:dyDescent="0.25">
      <c r="A10" s="778"/>
      <c r="B10" s="274" t="s">
        <v>279</v>
      </c>
      <c r="C10" s="285" t="s">
        <v>280</v>
      </c>
      <c r="D10" s="363">
        <f>-D19</f>
        <v>-13.298</v>
      </c>
      <c r="E10" s="363">
        <f>-E19</f>
        <v>-10.172000000000001</v>
      </c>
      <c r="F10" s="363">
        <f>-F19</f>
        <v>-8.7759999999999998</v>
      </c>
      <c r="G10" s="363">
        <f>-G19</f>
        <v>-7.1139999999999999</v>
      </c>
      <c r="H10" s="299">
        <f>-$D$51*H6</f>
        <v>-6.0742571186429322</v>
      </c>
      <c r="I10" s="299">
        <f t="shared" ref="I10:K10" si="7">-$D$51*I6</f>
        <v>-6.4198588286862561</v>
      </c>
      <c r="J10" s="299">
        <f t="shared" si="7"/>
        <v>-6.7777172279494717</v>
      </c>
      <c r="K10" s="299">
        <f t="shared" si="7"/>
        <v>-7.1469613418381925</v>
      </c>
      <c r="L10" s="299">
        <f t="shared" ref="L10:T10" si="8">-$E$51*L6</f>
        <v>-19.45448667708153</v>
      </c>
      <c r="M10" s="299">
        <f t="shared" si="8"/>
        <v>-20.497091624723836</v>
      </c>
      <c r="N10" s="299">
        <f t="shared" si="8"/>
        <v>-21.558726604320931</v>
      </c>
      <c r="O10" s="299">
        <f t="shared" si="8"/>
        <v>-22.637713374388845</v>
      </c>
      <c r="P10" s="299">
        <f t="shared" si="8"/>
        <v>-23.732387884930116</v>
      </c>
      <c r="Q10" s="299">
        <f t="shared" si="8"/>
        <v>-24.841112280488765</v>
      </c>
      <c r="R10" s="299">
        <f t="shared" si="8"/>
        <v>-25.962285555525686</v>
      </c>
      <c r="S10" s="299">
        <f t="shared" si="8"/>
        <v>-27.094352854445532</v>
      </c>
      <c r="T10" s="299">
        <f t="shared" si="8"/>
        <v>-28.195454047681125</v>
      </c>
      <c r="U10" s="299">
        <f>-$E$51*U6</f>
        <v>-29.26457728555814</v>
      </c>
      <c r="V10" s="299">
        <f t="shared" ref="V10:AF10" si="9">-$E$51*V6</f>
        <v>-30.301261690287639</v>
      </c>
      <c r="W10" s="299">
        <f t="shared" si="9"/>
        <v>-31.305510766595031</v>
      </c>
      <c r="X10" s="299">
        <f t="shared" si="9"/>
        <v>-32.387613311941003</v>
      </c>
      <c r="Y10" s="299">
        <f t="shared" si="9"/>
        <v>-33.444864229863754</v>
      </c>
      <c r="Z10" s="299">
        <f t="shared" si="9"/>
        <v>-34.477975932322941</v>
      </c>
      <c r="AA10" s="299">
        <f t="shared" si="9"/>
        <v>-35.487855594357008</v>
      </c>
      <c r="AB10" s="299">
        <f t="shared" si="9"/>
        <v>-36.475557247304202</v>
      </c>
      <c r="AC10" s="299">
        <f t="shared" si="9"/>
        <v>-37.442240791601975</v>
      </c>
      <c r="AD10" s="299">
        <f t="shared" si="9"/>
        <v>-38.389137447376747</v>
      </c>
      <c r="AE10" s="299">
        <f t="shared" si="9"/>
        <v>-39.317521056729667</v>
      </c>
      <c r="AF10" s="299">
        <f t="shared" si="9"/>
        <v>-40.29154103260916</v>
      </c>
    </row>
    <row r="11" spans="1:33" s="282" customFormat="1" x14ac:dyDescent="0.25">
      <c r="A11" s="778"/>
      <c r="B11" s="274">
        <v>6</v>
      </c>
      <c r="C11" s="286" t="s">
        <v>22</v>
      </c>
      <c r="D11" s="287">
        <f>-D9+D8</f>
        <v>240.35199999999998</v>
      </c>
      <c r="E11" s="287">
        <f>-E9+E8</f>
        <v>245.03100000000001</v>
      </c>
      <c r="F11" s="287">
        <f>-F9+F8</f>
        <v>330.04399999999998</v>
      </c>
      <c r="G11" s="287">
        <f>-G9+G8</f>
        <v>411.54</v>
      </c>
      <c r="H11" s="281">
        <f>-H9+H8</f>
        <v>393.17435699999999</v>
      </c>
      <c r="I11" s="281">
        <f t="shared" ref="I11:AF11" si="10">-I9+I8</f>
        <v>393.29845739174988</v>
      </c>
      <c r="J11" s="281">
        <f t="shared" si="10"/>
        <v>406.05494833582202</v>
      </c>
      <c r="K11" s="281">
        <f t="shared" si="10"/>
        <v>421.56223706193344</v>
      </c>
      <c r="L11" s="281">
        <f t="shared" si="10"/>
        <v>439.78536241485216</v>
      </c>
      <c r="M11" s="281">
        <f t="shared" si="10"/>
        <v>480.56651669254302</v>
      </c>
      <c r="N11" s="281">
        <f t="shared" si="10"/>
        <v>501.34588218854469</v>
      </c>
      <c r="O11" s="281">
        <f t="shared" si="10"/>
        <v>522.60541458356954</v>
      </c>
      <c r="P11" s="281">
        <f t="shared" si="10"/>
        <v>544.20494705510896</v>
      </c>
      <c r="Q11" s="281">
        <f t="shared" si="10"/>
        <v>566.1505344431464</v>
      </c>
      <c r="R11" s="281">
        <f t="shared" si="10"/>
        <v>588.32516407914898</v>
      </c>
      <c r="S11" s="281">
        <f t="shared" si="10"/>
        <v>610.63693219927586</v>
      </c>
      <c r="T11" s="281">
        <f t="shared" si="10"/>
        <v>598.08472581823992</v>
      </c>
      <c r="U11" s="281">
        <f t="shared" si="10"/>
        <v>589.92412810402686</v>
      </c>
      <c r="V11" s="281">
        <f t="shared" si="10"/>
        <v>642.58286343141754</v>
      </c>
      <c r="W11" s="281">
        <f t="shared" si="10"/>
        <v>663.86258527906318</v>
      </c>
      <c r="X11" s="281">
        <f t="shared" si="10"/>
        <v>686.79588344538058</v>
      </c>
      <c r="Y11" s="281">
        <f t="shared" si="10"/>
        <v>709.22001288835133</v>
      </c>
      <c r="Z11" s="281">
        <f t="shared" si="10"/>
        <v>731.14590592160675</v>
      </c>
      <c r="AA11" s="281">
        <f t="shared" si="10"/>
        <v>752.58994277780778</v>
      </c>
      <c r="AB11" s="281">
        <f t="shared" si="10"/>
        <v>773.57255446403826</v>
      </c>
      <c r="AC11" s="281">
        <f t="shared" si="10"/>
        <v>794.1151057671658</v>
      </c>
      <c r="AD11" s="281">
        <f t="shared" si="10"/>
        <v>814.24142612755929</v>
      </c>
      <c r="AE11" s="281">
        <f t="shared" si="10"/>
        <v>833.97692624362776</v>
      </c>
      <c r="AF11" s="281">
        <f t="shared" si="10"/>
        <v>854.66789073917994</v>
      </c>
    </row>
    <row r="12" spans="1:33" s="278" customFormat="1" ht="12.75" x14ac:dyDescent="0.2">
      <c r="A12" s="778"/>
      <c r="B12" s="274">
        <v>7</v>
      </c>
      <c r="C12" s="279" t="s">
        <v>281</v>
      </c>
      <c r="D12" s="364">
        <f>-Cifras_en_Millones!F14</f>
        <v>-85.225000000000009</v>
      </c>
      <c r="E12" s="364">
        <f>-Cifras_en_Millones!E14</f>
        <v>-28.096999999999998</v>
      </c>
      <c r="F12" s="364">
        <f>-Cifras_en_Millones!D14</f>
        <v>-26.250999999999998</v>
      </c>
      <c r="G12" s="364">
        <f>-Cifras_en_Millones!C14</f>
        <v>-87.6</v>
      </c>
      <c r="H12" s="288">
        <f>-$D$53*G37+G36*$D$54</f>
        <v>-13.681470000000001</v>
      </c>
      <c r="I12" s="288">
        <f t="shared" ref="I12:N12" si="11">-$D$53*H37+H36*$D$54</f>
        <v>-11.487073148</v>
      </c>
      <c r="J12" s="288">
        <f t="shared" si="11"/>
        <v>-11.108987335571577</v>
      </c>
      <c r="K12" s="288">
        <f t="shared" si="11"/>
        <v>-10.277605659287545</v>
      </c>
      <c r="L12" s="288">
        <f t="shared" si="11"/>
        <v>-9.3424863276645045</v>
      </c>
      <c r="M12" s="288">
        <f t="shared" si="11"/>
        <v>-8.2742336198465054</v>
      </c>
      <c r="N12" s="288">
        <f t="shared" si="11"/>
        <v>-6.3449658487239482</v>
      </c>
      <c r="O12" s="288">
        <f>-$E$53*N37+N36*E54</f>
        <v>-25.552629748754676</v>
      </c>
      <c r="P12" s="288">
        <f>-$E$53*O37+O36*$E$54</f>
        <v>-25.570439838550147</v>
      </c>
      <c r="Q12" s="288">
        <f t="shared" ref="Q12:AF12" si="12">-$E$53*P37+P36*$E$54</f>
        <v>-25.585269680058467</v>
      </c>
      <c r="R12" s="288">
        <f t="shared" si="12"/>
        <v>-25.596894589778874</v>
      </c>
      <c r="S12" s="288">
        <f t="shared" si="12"/>
        <v>-25.603539694964095</v>
      </c>
      <c r="T12" s="288">
        <f t="shared" si="12"/>
        <v>-25.603904170229455</v>
      </c>
      <c r="U12" s="288">
        <f t="shared" si="12"/>
        <v>-23.354712765163214</v>
      </c>
      <c r="V12" s="288">
        <f t="shared" si="12"/>
        <v>-23.010607582094828</v>
      </c>
      <c r="W12" s="288">
        <f t="shared" si="12"/>
        <v>-23.367026127256405</v>
      </c>
      <c r="X12" s="288">
        <f t="shared" si="12"/>
        <v>-23.374533774390713</v>
      </c>
      <c r="Y12" s="288">
        <f t="shared" si="12"/>
        <v>-23.389053953979879</v>
      </c>
      <c r="Z12" s="288">
        <f t="shared" si="12"/>
        <v>-23.474086778493565</v>
      </c>
      <c r="AA12" s="288">
        <f t="shared" si="12"/>
        <v>-23.551482391398014</v>
      </c>
      <c r="AB12" s="288">
        <f t="shared" si="12"/>
        <v>-23.621420399957298</v>
      </c>
      <c r="AC12" s="288">
        <f t="shared" si="12"/>
        <v>-23.684116436344201</v>
      </c>
      <c r="AD12" s="288">
        <f t="shared" si="12"/>
        <v>-23.739792609644184</v>
      </c>
      <c r="AE12" s="288">
        <f t="shared" si="12"/>
        <v>-23.788694268027008</v>
      </c>
      <c r="AF12" s="288">
        <f t="shared" si="12"/>
        <v>-23.83108051773721</v>
      </c>
    </row>
    <row r="13" spans="1:33" x14ac:dyDescent="0.25">
      <c r="A13" s="778"/>
      <c r="B13" s="274">
        <v>8</v>
      </c>
      <c r="C13" s="279" t="s">
        <v>282</v>
      </c>
      <c r="D13" s="287">
        <f>Cifras_en_Millones!F15</f>
        <v>755</v>
      </c>
      <c r="E13" s="575">
        <f>Cifras_en_Millones!E15</f>
        <v>-222.29999999999995</v>
      </c>
      <c r="F13" s="287">
        <f>Cifras_en_Millones!D15</f>
        <v>-9.5</v>
      </c>
      <c r="G13" s="287">
        <f>Cifras_en_Millones!C15</f>
        <v>8.9</v>
      </c>
      <c r="H13" s="281">
        <f t="shared" ref="H13:AF13" si="13">-0.03*H6</f>
        <v>-46.998000000000005</v>
      </c>
      <c r="I13" s="281">
        <f t="shared" si="13"/>
        <v>-49.672004219999991</v>
      </c>
      <c r="J13" s="281">
        <f t="shared" si="13"/>
        <v>-52.440841416066874</v>
      </c>
      <c r="K13" s="281">
        <f t="shared" si="13"/>
        <v>-55.297772646600478</v>
      </c>
      <c r="L13" s="281">
        <f t="shared" si="13"/>
        <v>-58.363460031244585</v>
      </c>
      <c r="M13" s="281">
        <f t="shared" si="13"/>
        <v>-61.491274874171502</v>
      </c>
      <c r="N13" s="281">
        <f t="shared" si="13"/>
        <v>-64.6761798129628</v>
      </c>
      <c r="O13" s="281">
        <f t="shared" si="13"/>
        <v>-67.913140123166528</v>
      </c>
      <c r="P13" s="281">
        <f t="shared" si="13"/>
        <v>-71.197163654790344</v>
      </c>
      <c r="Q13" s="281">
        <f t="shared" si="13"/>
        <v>-74.523336841466289</v>
      </c>
      <c r="R13" s="281">
        <f t="shared" si="13"/>
        <v>-77.88685666657706</v>
      </c>
      <c r="S13" s="281">
        <f t="shared" si="13"/>
        <v>-81.283058563336596</v>
      </c>
      <c r="T13" s="281">
        <f t="shared" si="13"/>
        <v>-84.586362143043374</v>
      </c>
      <c r="U13" s="281">
        <f t="shared" si="13"/>
        <v>-87.793731856674412</v>
      </c>
      <c r="V13" s="281">
        <f t="shared" si="13"/>
        <v>-90.903785070862909</v>
      </c>
      <c r="W13" s="281">
        <f t="shared" si="13"/>
        <v>-93.916532299785089</v>
      </c>
      <c r="X13" s="281">
        <f t="shared" si="13"/>
        <v>-97.162839935823015</v>
      </c>
      <c r="Y13" s="281">
        <f t="shared" si="13"/>
        <v>-100.33459268959126</v>
      </c>
      <c r="Z13" s="281">
        <f t="shared" si="13"/>
        <v>-103.43392779696882</v>
      </c>
      <c r="AA13" s="281">
        <f t="shared" si="13"/>
        <v>-106.46356678307102</v>
      </c>
      <c r="AB13" s="281">
        <f t="shared" si="13"/>
        <v>-109.4266717419126</v>
      </c>
      <c r="AC13" s="281">
        <f t="shared" si="13"/>
        <v>-112.32672237480593</v>
      </c>
      <c r="AD13" s="281">
        <f t="shared" si="13"/>
        <v>-115.16741234213023</v>
      </c>
      <c r="AE13" s="281">
        <f t="shared" si="13"/>
        <v>-117.95256317018899</v>
      </c>
      <c r="AF13" s="281">
        <f t="shared" si="13"/>
        <v>-120.87462309782747</v>
      </c>
    </row>
    <row r="14" spans="1:33" x14ac:dyDescent="0.25">
      <c r="A14" s="778"/>
      <c r="B14" s="274">
        <v>9</v>
      </c>
      <c r="C14" s="279" t="s">
        <v>283</v>
      </c>
      <c r="D14" s="287">
        <f>D8+D12-13</f>
        <v>-1.38900000000001</v>
      </c>
      <c r="E14" s="287">
        <f>E8+E12-E13</f>
        <v>338.05599999999998</v>
      </c>
      <c r="F14" s="287">
        <f>F8+F12-F13</f>
        <v>254.16099999999997</v>
      </c>
      <c r="G14" s="287">
        <f>G8+G12-G13</f>
        <v>245.42200000000003</v>
      </c>
      <c r="H14" s="281">
        <f>H8+H12+H13</f>
        <v>291.80553000000003</v>
      </c>
      <c r="I14" s="281">
        <f t="shared" ref="I14:AF14" si="14">I8+I12+I13</f>
        <v>309.5182541237499</v>
      </c>
      <c r="J14" s="281">
        <f t="shared" si="14"/>
        <v>325.83325142042361</v>
      </c>
      <c r="K14" s="281">
        <f t="shared" si="14"/>
        <v>342.96797027632488</v>
      </c>
      <c r="L14" s="281">
        <f t="shared" si="14"/>
        <v>361.33092517387735</v>
      </c>
      <c r="M14" s="281">
        <f t="shared" si="14"/>
        <v>401.66759887463024</v>
      </c>
      <c r="N14" s="281">
        <f t="shared" si="14"/>
        <v>422.35031267819772</v>
      </c>
      <c r="O14" s="281">
        <f t="shared" si="14"/>
        <v>422.00798034810305</v>
      </c>
      <c r="P14" s="281">
        <f t="shared" si="14"/>
        <v>440.93051417823762</v>
      </c>
      <c r="Q14" s="281">
        <f t="shared" si="14"/>
        <v>459.89548080235943</v>
      </c>
      <c r="R14" s="281">
        <f t="shared" si="14"/>
        <v>478.86904091671522</v>
      </c>
      <c r="S14" s="281">
        <f t="shared" si="14"/>
        <v>497.82055062300469</v>
      </c>
      <c r="T14" s="281">
        <f t="shared" si="14"/>
        <v>481.91426868803069</v>
      </c>
      <c r="U14" s="281">
        <f t="shared" si="14"/>
        <v>472.67987222504723</v>
      </c>
      <c r="V14" s="281">
        <f t="shared" si="14"/>
        <v>522.41210284308261</v>
      </c>
      <c r="W14" s="281">
        <f t="shared" si="14"/>
        <v>540.13216767145411</v>
      </c>
      <c r="X14" s="281">
        <f t="shared" si="14"/>
        <v>559.60250584054734</v>
      </c>
      <c r="Y14" s="281">
        <f t="shared" si="14"/>
        <v>578.61850218356767</v>
      </c>
      <c r="Z14" s="281">
        <f t="shared" si="14"/>
        <v>597.12948000331926</v>
      </c>
      <c r="AA14" s="281">
        <f t="shared" si="14"/>
        <v>615.22991830702813</v>
      </c>
      <c r="AB14" s="281">
        <f t="shared" si="14"/>
        <v>632.93861005151825</v>
      </c>
      <c r="AC14" s="281">
        <f t="shared" si="14"/>
        <v>650.27621781249127</v>
      </c>
      <c r="AD14" s="281">
        <f t="shared" si="14"/>
        <v>667.26468144313731</v>
      </c>
      <c r="AE14" s="281">
        <f t="shared" si="14"/>
        <v>683.92668475310688</v>
      </c>
      <c r="AF14" s="281">
        <f t="shared" si="14"/>
        <v>701.41665806922765</v>
      </c>
    </row>
    <row r="15" spans="1:33" x14ac:dyDescent="0.25">
      <c r="A15" s="778"/>
      <c r="B15" s="274">
        <v>10</v>
      </c>
      <c r="C15" s="279" t="s">
        <v>284</v>
      </c>
      <c r="D15" s="289">
        <f>-Cifras_en_Millones!F21</f>
        <v>130.1</v>
      </c>
      <c r="E15" s="289">
        <f>-Cifras_en_Millones!E21</f>
        <v>-145.6</v>
      </c>
      <c r="F15" s="289">
        <f>-Cifras_en_Millones!D21</f>
        <v>-184.59099999999998</v>
      </c>
      <c r="G15" s="289">
        <f>-Cifras_en_Millones!C21</f>
        <v>-137.803</v>
      </c>
      <c r="H15" s="299">
        <f>(-1*$D$52)*H14</f>
        <v>-87.54165900000001</v>
      </c>
      <c r="I15" s="299">
        <f>(-1*$D$52)*I14</f>
        <v>-92.855476237124961</v>
      </c>
      <c r="J15" s="299">
        <f>(-1*$D$52)*J14</f>
        <v>-97.749975426127079</v>
      </c>
      <c r="K15" s="299">
        <f>(-1*$D$52)*K14</f>
        <v>-102.89039108289747</v>
      </c>
      <c r="L15" s="299">
        <f>(-1*$E$52)*L14</f>
        <v>-108.3992775521632</v>
      </c>
      <c r="M15" s="299">
        <f t="shared" ref="M15:AF15" si="15">(-1*$E$52)*M14</f>
        <v>-120.50027966238906</v>
      </c>
      <c r="N15" s="299">
        <f t="shared" si="15"/>
        <v>-126.70509380345931</v>
      </c>
      <c r="O15" s="299">
        <f t="shared" si="15"/>
        <v>-126.60239410443091</v>
      </c>
      <c r="P15" s="299">
        <f t="shared" si="15"/>
        <v>-132.27915425347129</v>
      </c>
      <c r="Q15" s="299">
        <f t="shared" si="15"/>
        <v>-137.96864424070782</v>
      </c>
      <c r="R15" s="299">
        <f t="shared" si="15"/>
        <v>-143.66071227501456</v>
      </c>
      <c r="S15" s="299">
        <f t="shared" si="15"/>
        <v>-149.3461651869014</v>
      </c>
      <c r="T15" s="299">
        <f t="shared" si="15"/>
        <v>-144.57428060640919</v>
      </c>
      <c r="U15" s="299">
        <f t="shared" si="15"/>
        <v>-141.80396166751416</v>
      </c>
      <c r="V15" s="299">
        <f t="shared" si="15"/>
        <v>-156.72363085292477</v>
      </c>
      <c r="W15" s="299">
        <f t="shared" si="15"/>
        <v>-162.03965030143624</v>
      </c>
      <c r="X15" s="299">
        <f t="shared" si="15"/>
        <v>-167.8807517521642</v>
      </c>
      <c r="Y15" s="299">
        <f t="shared" si="15"/>
        <v>-173.58555065507031</v>
      </c>
      <c r="Z15" s="299">
        <f t="shared" si="15"/>
        <v>-179.13884400099576</v>
      </c>
      <c r="AA15" s="299">
        <f t="shared" si="15"/>
        <v>-184.56897549210842</v>
      </c>
      <c r="AB15" s="299">
        <f t="shared" si="15"/>
        <v>-189.88158301545548</v>
      </c>
      <c r="AC15" s="299">
        <f t="shared" si="15"/>
        <v>-195.08286534374739</v>
      </c>
      <c r="AD15" s="299">
        <f t="shared" si="15"/>
        <v>-200.1794044329412</v>
      </c>
      <c r="AE15" s="299">
        <f t="shared" si="15"/>
        <v>-205.17800542593207</v>
      </c>
      <c r="AF15" s="299">
        <f t="shared" si="15"/>
        <v>-210.42499742076828</v>
      </c>
    </row>
    <row r="16" spans="1:33" x14ac:dyDescent="0.25">
      <c r="A16" s="778"/>
      <c r="B16" s="274">
        <v>11</v>
      </c>
      <c r="C16" s="279" t="s">
        <v>285</v>
      </c>
      <c r="D16" s="287">
        <f>D14+D15</f>
        <v>128.71099999999998</v>
      </c>
      <c r="E16" s="287">
        <f>E14+E15</f>
        <v>192.45599999999999</v>
      </c>
      <c r="F16" s="287">
        <f>F14+F15</f>
        <v>69.569999999999993</v>
      </c>
      <c r="G16" s="287">
        <f>G14+G15</f>
        <v>107.61900000000003</v>
      </c>
      <c r="H16" s="281">
        <f t="shared" ref="H16:AF16" si="16">H14+H15</f>
        <v>204.26387100000002</v>
      </c>
      <c r="I16" s="281">
        <f t="shared" si="16"/>
        <v>216.66277788662495</v>
      </c>
      <c r="J16" s="281">
        <f t="shared" si="16"/>
        <v>228.08327599429651</v>
      </c>
      <c r="K16" s="281">
        <f t="shared" si="16"/>
        <v>240.07757919342743</v>
      </c>
      <c r="L16" s="281">
        <f t="shared" si="16"/>
        <v>252.93164762171415</v>
      </c>
      <c r="M16" s="281">
        <f t="shared" si="16"/>
        <v>281.16731921224118</v>
      </c>
      <c r="N16" s="281">
        <f t="shared" si="16"/>
        <v>295.64521887473842</v>
      </c>
      <c r="O16" s="281">
        <f t="shared" si="16"/>
        <v>295.40558624367213</v>
      </c>
      <c r="P16" s="281">
        <f t="shared" si="16"/>
        <v>308.65135992476633</v>
      </c>
      <c r="Q16" s="281">
        <f t="shared" si="16"/>
        <v>321.92683656165161</v>
      </c>
      <c r="R16" s="281">
        <f t="shared" si="16"/>
        <v>335.20832864170063</v>
      </c>
      <c r="S16" s="281">
        <f t="shared" si="16"/>
        <v>348.47438543610326</v>
      </c>
      <c r="T16" s="281">
        <f t="shared" si="16"/>
        <v>337.33998808162153</v>
      </c>
      <c r="U16" s="281">
        <f t="shared" si="16"/>
        <v>330.87591055753308</v>
      </c>
      <c r="V16" s="281">
        <f t="shared" si="16"/>
        <v>365.68847199015784</v>
      </c>
      <c r="W16" s="281">
        <f t="shared" si="16"/>
        <v>378.09251737001784</v>
      </c>
      <c r="X16" s="281">
        <f t="shared" si="16"/>
        <v>391.72175408838314</v>
      </c>
      <c r="Y16" s="281">
        <f t="shared" si="16"/>
        <v>405.03295152849739</v>
      </c>
      <c r="Z16" s="281">
        <f t="shared" si="16"/>
        <v>417.99063600232353</v>
      </c>
      <c r="AA16" s="281">
        <f t="shared" si="16"/>
        <v>430.66094281491974</v>
      </c>
      <c r="AB16" s="281">
        <f t="shared" si="16"/>
        <v>443.05702703606278</v>
      </c>
      <c r="AC16" s="281">
        <f t="shared" si="16"/>
        <v>455.19335246874391</v>
      </c>
      <c r="AD16" s="281">
        <f t="shared" si="16"/>
        <v>467.08527701019614</v>
      </c>
      <c r="AE16" s="281">
        <f t="shared" si="16"/>
        <v>478.74867932717484</v>
      </c>
      <c r="AF16" s="281">
        <f t="shared" si="16"/>
        <v>490.9916606484594</v>
      </c>
    </row>
    <row r="17" spans="1:33" x14ac:dyDescent="0.25">
      <c r="C17" s="290"/>
      <c r="D17" s="291"/>
      <c r="E17" s="291"/>
      <c r="F17" s="291"/>
      <c r="G17" s="291"/>
      <c r="H17" s="292"/>
      <c r="I17" s="292"/>
      <c r="J17" s="292"/>
      <c r="K17" s="292"/>
      <c r="L17" s="292"/>
      <c r="M17" s="292"/>
      <c r="N17" s="292"/>
      <c r="O17" s="292"/>
      <c r="P17" s="292"/>
      <c r="Q17" s="292"/>
      <c r="R17" s="292"/>
      <c r="S17" s="292"/>
      <c r="T17" s="292"/>
      <c r="U17" s="292"/>
      <c r="V17" s="292"/>
      <c r="W17" s="292"/>
      <c r="X17" s="292"/>
      <c r="Y17" s="292"/>
      <c r="Z17" s="292"/>
      <c r="AA17" s="292"/>
      <c r="AB17" s="292"/>
      <c r="AC17" s="292"/>
      <c r="AD17" s="292"/>
      <c r="AE17" s="292"/>
      <c r="AF17" s="292"/>
    </row>
    <row r="18" spans="1:33" x14ac:dyDescent="0.25">
      <c r="A18" s="771" t="s">
        <v>286</v>
      </c>
      <c r="B18" s="274">
        <v>12</v>
      </c>
      <c r="C18" s="279" t="s">
        <v>287</v>
      </c>
      <c r="D18" s="287">
        <f>259.6-D19-D20</f>
        <v>309.58400000000006</v>
      </c>
      <c r="E18" s="287">
        <f>-156.1-E19-E20</f>
        <v>-285.57500000000005</v>
      </c>
      <c r="F18" s="287">
        <f>178.2-F19-F20</f>
        <v>-8.592000000000013</v>
      </c>
      <c r="G18" s="287">
        <f>250.78-G20-G19</f>
        <v>285.60400000000004</v>
      </c>
      <c r="H18" s="288">
        <f>H11+H12+H13+H15</f>
        <v>244.953228</v>
      </c>
      <c r="I18" s="288">
        <f t="shared" ref="I18:AF18" si="17">I11+I12+I13+I15</f>
        <v>239.28390378662499</v>
      </c>
      <c r="J18" s="288">
        <f t="shared" si="17"/>
        <v>244.75514415805651</v>
      </c>
      <c r="K18" s="288">
        <f t="shared" si="17"/>
        <v>253.09646767314797</v>
      </c>
      <c r="L18" s="288">
        <f t="shared" si="17"/>
        <v>263.68013850377986</v>
      </c>
      <c r="M18" s="288">
        <f t="shared" si="17"/>
        <v>290.30072853613598</v>
      </c>
      <c r="N18" s="288">
        <f t="shared" si="17"/>
        <v>303.61964272339861</v>
      </c>
      <c r="O18" s="288">
        <f t="shared" si="17"/>
        <v>302.5372506072174</v>
      </c>
      <c r="P18" s="288">
        <f t="shared" si="17"/>
        <v>315.15818930829721</v>
      </c>
      <c r="Q18" s="288">
        <f t="shared" si="17"/>
        <v>328.07328368091385</v>
      </c>
      <c r="R18" s="288">
        <f t="shared" si="17"/>
        <v>341.18070054777843</v>
      </c>
      <c r="S18" s="288">
        <f t="shared" si="17"/>
        <v>354.40416875407379</v>
      </c>
      <c r="T18" s="288">
        <f t="shared" si="17"/>
        <v>343.32017889855786</v>
      </c>
      <c r="U18" s="288">
        <f t="shared" si="17"/>
        <v>336.97172181467511</v>
      </c>
      <c r="V18" s="288">
        <f t="shared" si="17"/>
        <v>371.94483992553501</v>
      </c>
      <c r="W18" s="288">
        <f t="shared" si="17"/>
        <v>384.53937655058542</v>
      </c>
      <c r="X18" s="288">
        <f t="shared" si="17"/>
        <v>398.37775798300265</v>
      </c>
      <c r="Y18" s="288">
        <f t="shared" si="17"/>
        <v>411.91081558970984</v>
      </c>
      <c r="Z18" s="288">
        <f t="shared" si="17"/>
        <v>425.09904734514862</v>
      </c>
      <c r="AA18" s="288">
        <f t="shared" si="17"/>
        <v>438.00591811123036</v>
      </c>
      <c r="AB18" s="288">
        <f t="shared" si="17"/>
        <v>450.64287930671287</v>
      </c>
      <c r="AC18" s="288">
        <f t="shared" si="17"/>
        <v>463.02140161226828</v>
      </c>
      <c r="AD18" s="288">
        <f t="shared" si="17"/>
        <v>475.15481674284376</v>
      </c>
      <c r="AE18" s="288">
        <f t="shared" si="17"/>
        <v>487.05766337947966</v>
      </c>
      <c r="AF18" s="288">
        <f t="shared" si="17"/>
        <v>499.53718970284706</v>
      </c>
    </row>
    <row r="19" spans="1:33" x14ac:dyDescent="0.25">
      <c r="A19" s="772"/>
      <c r="B19" s="274">
        <v>13</v>
      </c>
      <c r="C19" s="293" t="s">
        <v>288</v>
      </c>
      <c r="D19" s="294">
        <v>13.298</v>
      </c>
      <c r="E19" s="294">
        <v>10.172000000000001</v>
      </c>
      <c r="F19" s="294">
        <v>8.7759999999999998</v>
      </c>
      <c r="G19" s="294">
        <v>7.1139999999999999</v>
      </c>
      <c r="H19" s="295">
        <f>$D$55*H10</f>
        <v>-2.3552023198892082E-2</v>
      </c>
      <c r="I19" s="295">
        <f t="shared" ref="I19:AF19" si="18">$D$55*I10</f>
        <v>-2.4892042123598981E-2</v>
      </c>
      <c r="J19" s="295">
        <f t="shared" si="18"/>
        <v>-2.62795845270145E-2</v>
      </c>
      <c r="K19" s="295">
        <f t="shared" si="18"/>
        <v>-2.7711273335456709E-2</v>
      </c>
      <c r="L19" s="295">
        <f t="shared" si="18"/>
        <v>-7.5431861475683995E-2</v>
      </c>
      <c r="M19" s="295">
        <f t="shared" si="18"/>
        <v>-7.9474406174489448E-2</v>
      </c>
      <c r="N19" s="295">
        <f t="shared" si="18"/>
        <v>-8.3590736975088203E-2</v>
      </c>
      <c r="O19" s="295">
        <f t="shared" si="18"/>
        <v>-8.7774346747210352E-2</v>
      </c>
      <c r="P19" s="295">
        <f t="shared" si="18"/>
        <v>-9.2018783385951763E-2</v>
      </c>
      <c r="Q19" s="295">
        <f t="shared" si="18"/>
        <v>-9.6317696351823842E-2</v>
      </c>
      <c r="R19" s="295">
        <f t="shared" si="18"/>
        <v>-0.10066487798537754</v>
      </c>
      <c r="S19" s="295">
        <f t="shared" si="18"/>
        <v>-0.10505429956666616</v>
      </c>
      <c r="T19" s="295">
        <f t="shared" si="18"/>
        <v>-0.10932365470604924</v>
      </c>
      <c r="U19" s="295">
        <f t="shared" si="18"/>
        <v>-0.11346902010779891</v>
      </c>
      <c r="V19" s="295">
        <f t="shared" si="18"/>
        <v>-0.11748860878724118</v>
      </c>
      <c r="W19" s="295">
        <f t="shared" si="18"/>
        <v>-0.12138243433342449</v>
      </c>
      <c r="X19" s="295">
        <f t="shared" si="18"/>
        <v>-0.12557812505803154</v>
      </c>
      <c r="Y19" s="295">
        <f t="shared" si="18"/>
        <v>-0.12967745731539401</v>
      </c>
      <c r="Z19" s="295">
        <f t="shared" si="18"/>
        <v>-0.13368319337630044</v>
      </c>
      <c r="AA19" s="295">
        <f t="shared" si="18"/>
        <v>-0.13759885067623862</v>
      </c>
      <c r="AB19" s="295">
        <f t="shared" si="18"/>
        <v>-0.1414285160640274</v>
      </c>
      <c r="AC19" s="295">
        <f t="shared" si="18"/>
        <v>-0.14517668688007854</v>
      </c>
      <c r="AD19" s="295">
        <f t="shared" si="18"/>
        <v>-0.14884813699622759</v>
      </c>
      <c r="AE19" s="295">
        <f t="shared" si="18"/>
        <v>-0.15244780554464032</v>
      </c>
      <c r="AF19" s="295">
        <f t="shared" si="18"/>
        <v>-0.15622442227653516</v>
      </c>
    </row>
    <row r="20" spans="1:33" x14ac:dyDescent="0.25">
      <c r="A20" s="772"/>
      <c r="B20" s="274">
        <v>14</v>
      </c>
      <c r="C20" s="293" t="s">
        <v>289</v>
      </c>
      <c r="D20" s="304">
        <f>Cifras_Originales!E12-Cifras_Originales!F12</f>
        <v>-63.282000000000011</v>
      </c>
      <c r="E20" s="304">
        <f>Cifras_Originales!D12-Cifras_Originales!E12</f>
        <v>119.30300000000003</v>
      </c>
      <c r="F20" s="296">
        <f>Cifras_Originales!C12-Cifras_Originales!D12</f>
        <v>178.01599999999999</v>
      </c>
      <c r="G20" s="304">
        <f>Cifras_Originales!B12-Cifras_Originales!C12</f>
        <v>-41.938000000000002</v>
      </c>
      <c r="H20" s="288">
        <f t="shared" ref="H20:K20" si="19">$D$56*(H6-G6)</f>
        <v>49.387200000000071</v>
      </c>
      <c r="I20" s="288">
        <f t="shared" si="19"/>
        <v>53.480084399999711</v>
      </c>
      <c r="J20" s="288">
        <f t="shared" si="19"/>
        <v>55.37674392133767</v>
      </c>
      <c r="K20" s="288">
        <f t="shared" si="19"/>
        <v>57.138624610672196</v>
      </c>
      <c r="L20" s="288">
        <f>$E$56*(L6-K6)</f>
        <v>30.656873846441044</v>
      </c>
      <c r="M20" s="288">
        <f t="shared" ref="M20:AF20" si="20">$E$56*(M6-L6)</f>
        <v>31.278148429269162</v>
      </c>
      <c r="N20" s="288">
        <f t="shared" si="20"/>
        <v>31.849049387912917</v>
      </c>
      <c r="O20" s="288">
        <f t="shared" si="20"/>
        <v>32.369603102037395</v>
      </c>
      <c r="P20" s="288">
        <f t="shared" si="20"/>
        <v>32.840235316238157</v>
      </c>
      <c r="Q20" s="288">
        <f t="shared" si="20"/>
        <v>33.261731866759419</v>
      </c>
      <c r="R20" s="288">
        <f t="shared" si="20"/>
        <v>33.63519825110766</v>
      </c>
      <c r="S20" s="288">
        <f t="shared" si="20"/>
        <v>33.962018967595391</v>
      </c>
      <c r="T20" s="288">
        <f t="shared" si="20"/>
        <v>33.033035797067711</v>
      </c>
      <c r="U20" s="288">
        <f t="shared" si="20"/>
        <v>32.073697136310464</v>
      </c>
      <c r="V20" s="288">
        <f t="shared" si="20"/>
        <v>31.100532141884969</v>
      </c>
      <c r="W20" s="288">
        <f t="shared" si="20"/>
        <v>30.127472289221757</v>
      </c>
      <c r="X20" s="288">
        <f t="shared" si="20"/>
        <v>32.463076360379226</v>
      </c>
      <c r="Y20" s="288">
        <f t="shared" si="20"/>
        <v>31.717527537682553</v>
      </c>
      <c r="Z20" s="288">
        <f t="shared" si="20"/>
        <v>30.993351073775464</v>
      </c>
      <c r="AA20" s="288">
        <f t="shared" si="20"/>
        <v>30.296389861022043</v>
      </c>
      <c r="AB20" s="288">
        <f t="shared" si="20"/>
        <v>29.631049588415816</v>
      </c>
      <c r="AC20" s="288">
        <f t="shared" si="20"/>
        <v>29.000506328933259</v>
      </c>
      <c r="AD20" s="288">
        <f t="shared" si="20"/>
        <v>28.406899673243149</v>
      </c>
      <c r="AE20" s="288">
        <f t="shared" si="20"/>
        <v>27.851508280587542</v>
      </c>
      <c r="AF20" s="288">
        <f t="shared" si="20"/>
        <v>29.220599276384746</v>
      </c>
    </row>
    <row r="21" spans="1:33" x14ac:dyDescent="0.25">
      <c r="A21" s="772"/>
      <c r="B21" s="274">
        <v>15</v>
      </c>
      <c r="C21" s="297" t="s">
        <v>290</v>
      </c>
      <c r="D21" s="298">
        <f>D18+D19+D20</f>
        <v>259.60000000000002</v>
      </c>
      <c r="E21" s="298">
        <f>E18+E19+E20</f>
        <v>-156.1</v>
      </c>
      <c r="F21" s="298">
        <f>F18+F19+F20</f>
        <v>178.2</v>
      </c>
      <c r="G21" s="298">
        <f t="shared" ref="G21:AF21" si="21">G18+G19+G20</f>
        <v>250.78000000000003</v>
      </c>
      <c r="H21" s="298">
        <f>H18+H19+H20</f>
        <v>294.31687597680116</v>
      </c>
      <c r="I21" s="298">
        <f t="shared" si="21"/>
        <v>292.7390961445011</v>
      </c>
      <c r="J21" s="298">
        <f t="shared" si="21"/>
        <v>300.10560849486717</v>
      </c>
      <c r="K21" s="298">
        <f t="shared" si="21"/>
        <v>310.20738101048471</v>
      </c>
      <c r="L21" s="298">
        <f t="shared" si="21"/>
        <v>294.26158048874521</v>
      </c>
      <c r="M21" s="298">
        <f t="shared" si="21"/>
        <v>321.49940255923065</v>
      </c>
      <c r="N21" s="298">
        <f t="shared" si="21"/>
        <v>335.38510137433644</v>
      </c>
      <c r="O21" s="298">
        <f t="shared" si="21"/>
        <v>334.81907936250758</v>
      </c>
      <c r="P21" s="298">
        <f t="shared" si="21"/>
        <v>347.90640584114942</v>
      </c>
      <c r="Q21" s="298">
        <f t="shared" si="21"/>
        <v>361.23869785132143</v>
      </c>
      <c r="R21" s="298">
        <f t="shared" si="21"/>
        <v>374.71523392090074</v>
      </c>
      <c r="S21" s="298">
        <f t="shared" si="21"/>
        <v>388.26113342210249</v>
      </c>
      <c r="T21" s="298">
        <f t="shared" si="21"/>
        <v>376.24389104091955</v>
      </c>
      <c r="U21" s="298">
        <f t="shared" si="21"/>
        <v>368.93194993087775</v>
      </c>
      <c r="V21" s="298">
        <f t="shared" si="21"/>
        <v>402.92788345863272</v>
      </c>
      <c r="W21" s="298">
        <f t="shared" si="21"/>
        <v>414.54546640547375</v>
      </c>
      <c r="X21" s="298">
        <f t="shared" si="21"/>
        <v>430.71525621832382</v>
      </c>
      <c r="Y21" s="298">
        <f t="shared" si="21"/>
        <v>443.498665670077</v>
      </c>
      <c r="Z21" s="298">
        <f t="shared" si="21"/>
        <v>455.95871522554773</v>
      </c>
      <c r="AA21" s="298">
        <f t="shared" si="21"/>
        <v>468.16470912157615</v>
      </c>
      <c r="AB21" s="298">
        <f t="shared" si="21"/>
        <v>480.13250037906465</v>
      </c>
      <c r="AC21" s="298">
        <f t="shared" si="21"/>
        <v>491.8767312543215</v>
      </c>
      <c r="AD21" s="298">
        <f t="shared" si="21"/>
        <v>503.41286827909073</v>
      </c>
      <c r="AE21" s="298">
        <f t="shared" si="21"/>
        <v>514.75672385452253</v>
      </c>
      <c r="AF21" s="298">
        <f t="shared" si="21"/>
        <v>528.60156455695528</v>
      </c>
    </row>
    <row r="22" spans="1:33" x14ac:dyDescent="0.25">
      <c r="A22" s="772"/>
      <c r="B22" s="274">
        <v>16</v>
      </c>
      <c r="C22" s="293" t="s">
        <v>291</v>
      </c>
      <c r="D22" s="296">
        <f>Cifras_Originales!E13</f>
        <v>601.94500000000005</v>
      </c>
      <c r="E22" s="296">
        <f>Cifras_Originales!D13</f>
        <v>2100.3760000000002</v>
      </c>
      <c r="F22" s="296">
        <f>Cifras_Originales!C13</f>
        <v>30.658000000000001</v>
      </c>
      <c r="G22" s="296">
        <f>Cifras_Originales!B13</f>
        <v>-51.898000000000003</v>
      </c>
      <c r="H22" s="299">
        <f>-$D$57*H6</f>
        <v>-125.32800000000002</v>
      </c>
      <c r="I22" s="299">
        <f t="shared" ref="I22:K22" si="22">-$D$57*I6</f>
        <v>-132.45867791999999</v>
      </c>
      <c r="J22" s="299">
        <f t="shared" si="22"/>
        <v>-139.84224377617832</v>
      </c>
      <c r="K22" s="299">
        <f t="shared" si="22"/>
        <v>-147.4607270576013</v>
      </c>
      <c r="L22" s="299">
        <f>-$E$57*L6</f>
        <v>-116.72692006248917</v>
      </c>
      <c r="M22" s="299">
        <f t="shared" ref="M22:AF22" si="23">-$E$57*M6</f>
        <v>-122.982549748343</v>
      </c>
      <c r="N22" s="299">
        <f t="shared" si="23"/>
        <v>-129.3523596259256</v>
      </c>
      <c r="O22" s="299">
        <f t="shared" si="23"/>
        <v>-135.82628024633306</v>
      </c>
      <c r="P22" s="299">
        <f t="shared" si="23"/>
        <v>-142.39432730958069</v>
      </c>
      <c r="Q22" s="299">
        <f t="shared" si="23"/>
        <v>-149.04667368293258</v>
      </c>
      <c r="R22" s="299">
        <f t="shared" si="23"/>
        <v>-155.77371333315412</v>
      </c>
      <c r="S22" s="299">
        <f t="shared" si="23"/>
        <v>-162.56611712667319</v>
      </c>
      <c r="T22" s="299">
        <f t="shared" si="23"/>
        <v>-169.17272428608675</v>
      </c>
      <c r="U22" s="299">
        <f t="shared" si="23"/>
        <v>-175.58746371334882</v>
      </c>
      <c r="V22" s="299">
        <f t="shared" si="23"/>
        <v>-181.80757014172582</v>
      </c>
      <c r="W22" s="299">
        <f t="shared" si="23"/>
        <v>-187.83306459957018</v>
      </c>
      <c r="X22" s="299">
        <f t="shared" si="23"/>
        <v>-194.32567987164603</v>
      </c>
      <c r="Y22" s="299">
        <f t="shared" si="23"/>
        <v>-200.66918537918252</v>
      </c>
      <c r="Z22" s="299">
        <f t="shared" si="23"/>
        <v>-206.86785559393763</v>
      </c>
      <c r="AA22" s="299">
        <f t="shared" si="23"/>
        <v>-212.92713356614203</v>
      </c>
      <c r="AB22" s="299">
        <f t="shared" si="23"/>
        <v>-218.8533434838252</v>
      </c>
      <c r="AC22" s="299">
        <f t="shared" si="23"/>
        <v>-224.65344474961185</v>
      </c>
      <c r="AD22" s="299">
        <f t="shared" si="23"/>
        <v>-230.33482468426047</v>
      </c>
      <c r="AE22" s="299">
        <f t="shared" si="23"/>
        <v>-235.90512634037799</v>
      </c>
      <c r="AF22" s="299">
        <f t="shared" si="23"/>
        <v>-241.74924619565493</v>
      </c>
    </row>
    <row r="23" spans="1:33" x14ac:dyDescent="0.25">
      <c r="A23" s="772"/>
      <c r="B23" s="274">
        <v>17</v>
      </c>
      <c r="C23" s="293" t="s">
        <v>292</v>
      </c>
      <c r="D23" s="304">
        <f>587.4-D22</f>
        <v>-14.545000000000073</v>
      </c>
      <c r="E23" s="304">
        <f>2044.2-E22</f>
        <v>-56.176000000000158</v>
      </c>
      <c r="F23" s="296">
        <f>30.3-F22</f>
        <v>-0.35800000000000054</v>
      </c>
      <c r="G23" s="296">
        <f>-51.9-G22</f>
        <v>-1.9999999999953388E-3</v>
      </c>
      <c r="H23" s="281">
        <v>0</v>
      </c>
      <c r="I23" s="281">
        <v>0</v>
      </c>
      <c r="J23" s="281">
        <v>0</v>
      </c>
      <c r="K23" s="281">
        <v>0</v>
      </c>
      <c r="L23" s="281">
        <v>0</v>
      </c>
      <c r="M23" s="281">
        <v>0</v>
      </c>
      <c r="N23" s="281">
        <v>0</v>
      </c>
      <c r="O23" s="281">
        <v>0</v>
      </c>
      <c r="P23" s="281">
        <v>0</v>
      </c>
      <c r="Q23" s="281">
        <v>0</v>
      </c>
      <c r="R23" s="281">
        <v>0</v>
      </c>
      <c r="S23" s="281">
        <v>0</v>
      </c>
      <c r="T23" s="281">
        <v>0</v>
      </c>
      <c r="U23" s="281">
        <v>0</v>
      </c>
      <c r="V23" s="281">
        <v>0</v>
      </c>
      <c r="W23" s="281">
        <v>0</v>
      </c>
      <c r="X23" s="281">
        <v>0</v>
      </c>
      <c r="Y23" s="281">
        <v>0</v>
      </c>
      <c r="Z23" s="281">
        <v>0</v>
      </c>
      <c r="AA23" s="281">
        <v>0</v>
      </c>
      <c r="AB23" s="281">
        <v>0</v>
      </c>
      <c r="AC23" s="281">
        <v>0</v>
      </c>
      <c r="AD23" s="281">
        <v>0</v>
      </c>
      <c r="AE23" s="281">
        <v>0</v>
      </c>
      <c r="AF23" s="281">
        <v>0</v>
      </c>
    </row>
    <row r="24" spans="1:33" x14ac:dyDescent="0.25">
      <c r="A24" s="772"/>
      <c r="B24" s="274">
        <v>18</v>
      </c>
      <c r="C24" s="297" t="s">
        <v>293</v>
      </c>
      <c r="D24" s="300">
        <f>D22+D23</f>
        <v>587.4</v>
      </c>
      <c r="E24" s="300">
        <f>E22+E23</f>
        <v>2044.2</v>
      </c>
      <c r="F24" s="300">
        <f>F22+F23</f>
        <v>30.3</v>
      </c>
      <c r="G24" s="300">
        <f t="shared" ref="G24:AF24" si="24">G22+G23</f>
        <v>-51.9</v>
      </c>
      <c r="H24" s="300">
        <f t="shared" si="24"/>
        <v>-125.32800000000002</v>
      </c>
      <c r="I24" s="300">
        <f t="shared" si="24"/>
        <v>-132.45867791999999</v>
      </c>
      <c r="J24" s="300">
        <f t="shared" si="24"/>
        <v>-139.84224377617832</v>
      </c>
      <c r="K24" s="300">
        <f t="shared" si="24"/>
        <v>-147.4607270576013</v>
      </c>
      <c r="L24" s="300">
        <f t="shared" si="24"/>
        <v>-116.72692006248917</v>
      </c>
      <c r="M24" s="300">
        <f t="shared" si="24"/>
        <v>-122.982549748343</v>
      </c>
      <c r="N24" s="300">
        <f t="shared" si="24"/>
        <v>-129.3523596259256</v>
      </c>
      <c r="O24" s="300">
        <f t="shared" si="24"/>
        <v>-135.82628024633306</v>
      </c>
      <c r="P24" s="300">
        <f t="shared" si="24"/>
        <v>-142.39432730958069</v>
      </c>
      <c r="Q24" s="300">
        <f t="shared" si="24"/>
        <v>-149.04667368293258</v>
      </c>
      <c r="R24" s="300">
        <f t="shared" si="24"/>
        <v>-155.77371333315412</v>
      </c>
      <c r="S24" s="300">
        <f t="shared" si="24"/>
        <v>-162.56611712667319</v>
      </c>
      <c r="T24" s="300">
        <f t="shared" si="24"/>
        <v>-169.17272428608675</v>
      </c>
      <c r="U24" s="300">
        <f t="shared" si="24"/>
        <v>-175.58746371334882</v>
      </c>
      <c r="V24" s="300">
        <f t="shared" si="24"/>
        <v>-181.80757014172582</v>
      </c>
      <c r="W24" s="300">
        <f t="shared" si="24"/>
        <v>-187.83306459957018</v>
      </c>
      <c r="X24" s="300">
        <f t="shared" si="24"/>
        <v>-194.32567987164603</v>
      </c>
      <c r="Y24" s="300">
        <f t="shared" si="24"/>
        <v>-200.66918537918252</v>
      </c>
      <c r="Z24" s="300">
        <f t="shared" si="24"/>
        <v>-206.86785559393763</v>
      </c>
      <c r="AA24" s="300">
        <f t="shared" si="24"/>
        <v>-212.92713356614203</v>
      </c>
      <c r="AB24" s="300">
        <f t="shared" si="24"/>
        <v>-218.8533434838252</v>
      </c>
      <c r="AC24" s="300">
        <f t="shared" si="24"/>
        <v>-224.65344474961185</v>
      </c>
      <c r="AD24" s="300">
        <f t="shared" si="24"/>
        <v>-230.33482468426047</v>
      </c>
      <c r="AE24" s="300">
        <f t="shared" si="24"/>
        <v>-235.90512634037799</v>
      </c>
      <c r="AF24" s="300">
        <f t="shared" si="24"/>
        <v>-241.74924619565493</v>
      </c>
    </row>
    <row r="25" spans="1:33" s="278" customFormat="1" x14ac:dyDescent="0.25">
      <c r="A25" s="772"/>
      <c r="B25" s="274">
        <v>19</v>
      </c>
      <c r="C25" s="293" t="s">
        <v>294</v>
      </c>
      <c r="D25" s="301"/>
      <c r="E25" s="301"/>
      <c r="F25" s="301"/>
      <c r="G25" s="301"/>
      <c r="H25" s="288">
        <v>0</v>
      </c>
      <c r="I25" s="288">
        <v>0</v>
      </c>
      <c r="J25" s="288">
        <v>0</v>
      </c>
      <c r="K25" s="288">
        <v>0</v>
      </c>
      <c r="L25" s="288">
        <v>0</v>
      </c>
      <c r="M25" s="288">
        <v>0</v>
      </c>
      <c r="N25" s="288">
        <v>0</v>
      </c>
      <c r="O25" s="288">
        <v>0</v>
      </c>
      <c r="P25" s="288">
        <v>0</v>
      </c>
      <c r="Q25" s="288">
        <v>0</v>
      </c>
      <c r="R25" s="288">
        <v>0</v>
      </c>
      <c r="S25" s="288">
        <v>0</v>
      </c>
      <c r="T25" s="288">
        <v>0</v>
      </c>
      <c r="U25" s="288">
        <v>0</v>
      </c>
      <c r="V25" s="288">
        <v>0</v>
      </c>
      <c r="W25" s="288">
        <v>0</v>
      </c>
      <c r="X25" s="288">
        <v>0</v>
      </c>
      <c r="Y25" s="288">
        <v>0</v>
      </c>
      <c r="Z25" s="288">
        <v>0</v>
      </c>
      <c r="AA25" s="288">
        <v>0</v>
      </c>
      <c r="AB25" s="288">
        <v>0</v>
      </c>
      <c r="AC25" s="288">
        <v>0</v>
      </c>
      <c r="AD25" s="288">
        <v>0</v>
      </c>
      <c r="AE25" s="288">
        <v>0</v>
      </c>
      <c r="AF25" s="288">
        <v>0</v>
      </c>
      <c r="AG25" s="302"/>
    </row>
    <row r="26" spans="1:33" x14ac:dyDescent="0.25">
      <c r="A26" s="772"/>
      <c r="B26" s="274">
        <v>20</v>
      </c>
      <c r="C26" s="303" t="s">
        <v>295</v>
      </c>
      <c r="D26" s="296">
        <f>528.382-705.353-0.779</f>
        <v>-177.75</v>
      </c>
      <c r="E26" s="304">
        <f>46.493-942.03-32.98</f>
        <v>-928.51699999999994</v>
      </c>
      <c r="F26" s="304">
        <f>496.253-433.705</f>
        <v>62.548000000000002</v>
      </c>
      <c r="G26" s="304">
        <f>153.772-243.438-1.306</f>
        <v>-90.971999999999994</v>
      </c>
      <c r="H26" s="305">
        <f>(H37-G37)</f>
        <v>109.71984259999999</v>
      </c>
      <c r="I26" s="305">
        <f t="shared" ref="I26:AF26" si="25">(I37-H37)</f>
        <v>0.22338070514979336</v>
      </c>
      <c r="J26" s="305">
        <f t="shared" si="25"/>
        <v>22.961683699329797</v>
      </c>
      <c r="K26" s="305">
        <f t="shared" si="25"/>
        <v>27.913119707000646</v>
      </c>
      <c r="L26" s="305">
        <f t="shared" si="25"/>
        <v>32.801625635253686</v>
      </c>
      <c r="M26" s="305">
        <f t="shared" si="25"/>
        <v>73.406077699843536</v>
      </c>
      <c r="N26" s="305">
        <f t="shared" si="25"/>
        <v>-163.135494982615</v>
      </c>
      <c r="O26" s="305">
        <f t="shared" si="25"/>
        <v>29.763345353034879</v>
      </c>
      <c r="P26" s="305">
        <f t="shared" si="25"/>
        <v>30.239345460155164</v>
      </c>
      <c r="Q26" s="305">
        <f t="shared" si="25"/>
        <v>30.723822343252436</v>
      </c>
      <c r="R26" s="305">
        <f t="shared" si="25"/>
        <v>31.044481490403541</v>
      </c>
      <c r="S26" s="305">
        <f t="shared" si="25"/>
        <v>31.236475368177707</v>
      </c>
      <c r="T26" s="305">
        <f t="shared" si="25"/>
        <v>-196.99850667892224</v>
      </c>
      <c r="U26" s="305">
        <f t="shared" si="25"/>
        <v>-8.976657485634405</v>
      </c>
      <c r="V26" s="305">
        <f t="shared" si="25"/>
        <v>57.924608860129752</v>
      </c>
      <c r="W26" s="305">
        <f t="shared" si="25"/>
        <v>23.407694032410291</v>
      </c>
      <c r="X26" s="305">
        <f t="shared" si="25"/>
        <v>25.22662798294914</v>
      </c>
      <c r="Y26" s="305">
        <f t="shared" si="25"/>
        <v>24.666542387267782</v>
      </c>
      <c r="Z26" s="305">
        <f t="shared" si="25"/>
        <v>24.118482336580996</v>
      </c>
      <c r="AA26" s="305">
        <f t="shared" si="25"/>
        <v>23.588440541821114</v>
      </c>
      <c r="AB26" s="305">
        <f t="shared" si="25"/>
        <v>23.08087285485351</v>
      </c>
      <c r="AC26" s="305">
        <f t="shared" si="25"/>
        <v>22.596806433440292</v>
      </c>
      <c r="AD26" s="305">
        <f t="shared" si="25"/>
        <v>22.138952396432842</v>
      </c>
      <c r="AE26" s="305">
        <f t="shared" si="25"/>
        <v>21.709050127675368</v>
      </c>
      <c r="AF26" s="305">
        <f t="shared" si="25"/>
        <v>22.760060945107398</v>
      </c>
    </row>
    <row r="27" spans="1:33" x14ac:dyDescent="0.25">
      <c r="A27" s="772"/>
      <c r="B27" s="274">
        <v>21</v>
      </c>
      <c r="C27" s="293" t="s">
        <v>296</v>
      </c>
      <c r="D27" s="296">
        <v>-99.522999999999996</v>
      </c>
      <c r="E27" s="296">
        <v>-380.505</v>
      </c>
      <c r="F27" s="296">
        <v>-282.15100000000001</v>
      </c>
      <c r="G27" s="296">
        <v>0</v>
      </c>
      <c r="H27" s="306">
        <f>(H21+H24+H28)*-1</f>
        <v>-166.98887597680113</v>
      </c>
      <c r="I27" s="306">
        <f>(I21+I24+I28)*-0.95</f>
        <v>-141.97491536366135</v>
      </c>
      <c r="J27" s="306">
        <f t="shared" ref="J27:AF27" si="26">(J21+J24+J28)*-0.95</f>
        <v>-141.41624087302532</v>
      </c>
      <c r="K27" s="306">
        <f t="shared" si="26"/>
        <v>-143.20563624355142</v>
      </c>
      <c r="L27" s="306">
        <f t="shared" si="26"/>
        <v>-156.64367414291183</v>
      </c>
      <c r="M27" s="306">
        <f t="shared" si="26"/>
        <v>-175.23556250776181</v>
      </c>
      <c r="N27" s="306">
        <f t="shared" si="26"/>
        <v>-181.6879567644402</v>
      </c>
      <c r="O27" s="306">
        <f t="shared" si="26"/>
        <v>-132.91609777406811</v>
      </c>
      <c r="P27" s="306">
        <f t="shared" si="26"/>
        <v>-136.59271621928468</v>
      </c>
      <c r="Q27" s="306">
        <f t="shared" si="26"/>
        <v>-140.41632401325558</v>
      </c>
      <c r="R27" s="306">
        <f t="shared" si="26"/>
        <v>-144.30486211643617</v>
      </c>
      <c r="S27" s="306">
        <f t="shared" si="26"/>
        <v>-148.20013224779819</v>
      </c>
      <c r="T27" s="306">
        <f t="shared" si="26"/>
        <v>-132.62301068158305</v>
      </c>
      <c r="U27" s="306">
        <f t="shared" si="26"/>
        <v>-120.81083890072119</v>
      </c>
      <c r="V27" s="306">
        <f t="shared" si="26"/>
        <v>-105.84308313386657</v>
      </c>
      <c r="W27" s="306">
        <f t="shared" si="26"/>
        <v>-107.6204142651533</v>
      </c>
      <c r="X27" s="306">
        <f t="shared" si="26"/>
        <v>-112.92939761415469</v>
      </c>
      <c r="Y27" s="306">
        <f t="shared" si="26"/>
        <v>-76.775484695520717</v>
      </c>
      <c r="Z27" s="306">
        <f t="shared" si="26"/>
        <v>-77.799874969146629</v>
      </c>
      <c r="AA27" s="306">
        <f t="shared" si="26"/>
        <v>-78.824538507992898</v>
      </c>
      <c r="AB27" s="306">
        <f t="shared" si="26"/>
        <v>-79.853528776773615</v>
      </c>
      <c r="AC27" s="306">
        <f t="shared" si="26"/>
        <v>-80.888648241351504</v>
      </c>
      <c r="AD27" s="306">
        <f t="shared" si="26"/>
        <v>-81.931736151214196</v>
      </c>
      <c r="AE27" s="306">
        <f t="shared" si="26"/>
        <v>-82.98451949411087</v>
      </c>
      <c r="AF27" s="306">
        <f t="shared" si="26"/>
        <v>-85.932871396820758</v>
      </c>
    </row>
    <row r="28" spans="1:33" x14ac:dyDescent="0.25">
      <c r="A28" s="772"/>
      <c r="B28" s="274">
        <v>22</v>
      </c>
      <c r="C28" s="303" t="s">
        <v>297</v>
      </c>
      <c r="D28" s="296">
        <v>0</v>
      </c>
      <c r="E28" s="296">
        <v>0</v>
      </c>
      <c r="F28" s="296">
        <v>0</v>
      </c>
      <c r="G28" s="296">
        <v>0</v>
      </c>
      <c r="H28" s="299">
        <v>-2</v>
      </c>
      <c r="I28" s="299">
        <f t="shared" ref="I28:N28" si="27">0.05*I16*(-1)</f>
        <v>-10.833138894331249</v>
      </c>
      <c r="J28" s="299">
        <f t="shared" si="27"/>
        <v>-11.404163799714826</v>
      </c>
      <c r="K28" s="299">
        <f t="shared" si="27"/>
        <v>-12.003878959671372</v>
      </c>
      <c r="L28" s="299">
        <f t="shared" si="27"/>
        <v>-12.646582381085707</v>
      </c>
      <c r="M28" s="299">
        <f t="shared" si="27"/>
        <v>-14.058365960612059</v>
      </c>
      <c r="N28" s="299">
        <f t="shared" si="27"/>
        <v>-14.782260943736922</v>
      </c>
      <c r="O28" s="299">
        <f t="shared" ref="O28:U28" si="28">0.2*O16*(-1)</f>
        <v>-59.081117248734429</v>
      </c>
      <c r="P28" s="299">
        <f t="shared" si="28"/>
        <v>-61.730271984953269</v>
      </c>
      <c r="Q28" s="299">
        <f t="shared" si="28"/>
        <v>-64.385367312330331</v>
      </c>
      <c r="R28" s="299">
        <f t="shared" si="28"/>
        <v>-67.041665728340135</v>
      </c>
      <c r="S28" s="299">
        <f t="shared" si="28"/>
        <v>-69.694877087220661</v>
      </c>
      <c r="T28" s="299">
        <f t="shared" si="28"/>
        <v>-67.467997616324311</v>
      </c>
      <c r="U28" s="299">
        <f t="shared" si="28"/>
        <v>-66.175182111506615</v>
      </c>
      <c r="V28" s="299">
        <f>0.3*V16*(-1)</f>
        <v>-109.70654159704735</v>
      </c>
      <c r="W28" s="299">
        <f>0.3*W16*(-1)</f>
        <v>-113.42775521100535</v>
      </c>
      <c r="X28" s="299">
        <f>0.3*X16*(-1)</f>
        <v>-117.51652622651494</v>
      </c>
      <c r="Y28" s="299">
        <f t="shared" ref="Y28:AF28" si="29">0.4*Y16*(-1)</f>
        <v>-162.01318061139898</v>
      </c>
      <c r="Z28" s="299">
        <f t="shared" si="29"/>
        <v>-167.19625440092943</v>
      </c>
      <c r="AA28" s="299">
        <f t="shared" si="29"/>
        <v>-172.26437712596791</v>
      </c>
      <c r="AB28" s="299">
        <f t="shared" si="29"/>
        <v>-177.22281081442512</v>
      </c>
      <c r="AC28" s="299">
        <f t="shared" si="29"/>
        <v>-182.07734098749756</v>
      </c>
      <c r="AD28" s="299">
        <f t="shared" si="29"/>
        <v>-186.83411080407848</v>
      </c>
      <c r="AE28" s="299">
        <f t="shared" si="29"/>
        <v>-191.49947173086994</v>
      </c>
      <c r="AF28" s="299">
        <f t="shared" si="29"/>
        <v>-196.39666425938378</v>
      </c>
    </row>
    <row r="29" spans="1:33" x14ac:dyDescent="0.25">
      <c r="A29" s="772"/>
      <c r="B29" s="274">
        <v>23</v>
      </c>
      <c r="C29" s="293" t="s">
        <v>298</v>
      </c>
      <c r="D29" s="296">
        <f>-77.5-D25-D26-D27-D28</f>
        <v>199.773</v>
      </c>
      <c r="E29" s="296">
        <f>-2698-E25-E26-E27-E28</f>
        <v>-1388.9780000000001</v>
      </c>
      <c r="F29" s="296">
        <f>-460.4-F25-F26-F27-F28</f>
        <v>-240.79699999999997</v>
      </c>
      <c r="G29" s="296">
        <f>-195.7-G25-G26-G27-G28</f>
        <v>-104.72799999999999</v>
      </c>
      <c r="H29" s="288">
        <v>0</v>
      </c>
      <c r="I29" s="288">
        <v>0</v>
      </c>
      <c r="J29" s="288">
        <v>0</v>
      </c>
      <c r="K29" s="288">
        <v>0</v>
      </c>
      <c r="L29" s="288">
        <v>0</v>
      </c>
      <c r="M29" s="288">
        <v>0</v>
      </c>
      <c r="N29" s="288">
        <v>0</v>
      </c>
      <c r="O29" s="288">
        <v>0</v>
      </c>
      <c r="P29" s="288">
        <v>0</v>
      </c>
      <c r="Q29" s="288">
        <v>0</v>
      </c>
      <c r="R29" s="288">
        <v>0</v>
      </c>
      <c r="S29" s="288">
        <v>0</v>
      </c>
      <c r="T29" s="288">
        <v>0</v>
      </c>
      <c r="U29" s="288">
        <v>0</v>
      </c>
      <c r="V29" s="288">
        <v>0</v>
      </c>
      <c r="W29" s="288">
        <v>0</v>
      </c>
      <c r="X29" s="288">
        <v>0</v>
      </c>
      <c r="Y29" s="288">
        <v>0</v>
      </c>
      <c r="Z29" s="288">
        <v>0</v>
      </c>
      <c r="AA29" s="288">
        <v>0</v>
      </c>
      <c r="AB29" s="288">
        <v>0</v>
      </c>
      <c r="AC29" s="288">
        <v>0</v>
      </c>
      <c r="AD29" s="288">
        <v>0</v>
      </c>
      <c r="AE29" s="288">
        <v>0</v>
      </c>
      <c r="AF29" s="288">
        <v>0</v>
      </c>
    </row>
    <row r="30" spans="1:33" x14ac:dyDescent="0.25">
      <c r="A30" s="773"/>
      <c r="B30" s="274">
        <v>24</v>
      </c>
      <c r="C30" s="297" t="s">
        <v>299</v>
      </c>
      <c r="D30" s="300">
        <f>SUM(D25:D29)</f>
        <v>-77.500000000000028</v>
      </c>
      <c r="E30" s="300">
        <f>SUM(E25:E29)</f>
        <v>-2698</v>
      </c>
      <c r="F30" s="300">
        <f>SUM(F25:F29)</f>
        <v>-460.4</v>
      </c>
      <c r="G30" s="300">
        <f t="shared" ref="G30:AF30" si="30">SUM(G25:G29)</f>
        <v>-195.7</v>
      </c>
      <c r="H30" s="300">
        <f t="shared" si="30"/>
        <v>-59.269033376801133</v>
      </c>
      <c r="I30" s="300">
        <f t="shared" si="30"/>
        <v>-152.58467355284282</v>
      </c>
      <c r="J30" s="300">
        <f t="shared" si="30"/>
        <v>-129.85872097341036</v>
      </c>
      <c r="K30" s="300">
        <f t="shared" si="30"/>
        <v>-127.29639549622215</v>
      </c>
      <c r="L30" s="300">
        <f t="shared" si="30"/>
        <v>-136.48863088874384</v>
      </c>
      <c r="M30" s="300">
        <f t="shared" si="30"/>
        <v>-115.88785076853034</v>
      </c>
      <c r="N30" s="300">
        <f t="shared" si="30"/>
        <v>-359.60571269079207</v>
      </c>
      <c r="O30" s="300">
        <f t="shared" si="30"/>
        <v>-162.23386966976767</v>
      </c>
      <c r="P30" s="300">
        <f t="shared" si="30"/>
        <v>-168.08364274408279</v>
      </c>
      <c r="Q30" s="300">
        <f t="shared" si="30"/>
        <v>-174.07786898233348</v>
      </c>
      <c r="R30" s="300">
        <f t="shared" si="30"/>
        <v>-180.30204635437275</v>
      </c>
      <c r="S30" s="300">
        <f t="shared" si="30"/>
        <v>-186.65853396684116</v>
      </c>
      <c r="T30" s="300">
        <f t="shared" si="30"/>
        <v>-397.08951497682961</v>
      </c>
      <c r="U30" s="300">
        <f t="shared" si="30"/>
        <v>-195.96267849786221</v>
      </c>
      <c r="V30" s="300">
        <f t="shared" si="30"/>
        <v>-157.62501587078418</v>
      </c>
      <c r="W30" s="300">
        <f t="shared" si="30"/>
        <v>-197.64047544374836</v>
      </c>
      <c r="X30" s="300">
        <f t="shared" si="30"/>
        <v>-205.21929585772051</v>
      </c>
      <c r="Y30" s="300">
        <f t="shared" si="30"/>
        <v>-214.12212291965193</v>
      </c>
      <c r="Z30" s="300">
        <f t="shared" si="30"/>
        <v>-220.87764703349507</v>
      </c>
      <c r="AA30" s="300">
        <f t="shared" si="30"/>
        <v>-227.50047509213971</v>
      </c>
      <c r="AB30" s="300">
        <f t="shared" si="30"/>
        <v>-233.99546673634524</v>
      </c>
      <c r="AC30" s="300">
        <f t="shared" si="30"/>
        <v>-240.36918279540879</v>
      </c>
      <c r="AD30" s="300">
        <f t="shared" si="30"/>
        <v>-246.62689455885982</v>
      </c>
      <c r="AE30" s="300">
        <f t="shared" si="30"/>
        <v>-252.77494109730543</v>
      </c>
      <c r="AF30" s="300">
        <f t="shared" si="30"/>
        <v>-259.56947471109714</v>
      </c>
    </row>
    <row r="31" spans="1:33" x14ac:dyDescent="0.25">
      <c r="C31" s="290"/>
      <c r="D31" s="291"/>
      <c r="E31" s="291"/>
      <c r="F31" s="291"/>
      <c r="G31" s="291"/>
      <c r="H31" s="292"/>
      <c r="I31" s="292"/>
      <c r="J31" s="292"/>
      <c r="K31" s="292"/>
      <c r="L31" s="292"/>
      <c r="M31" s="292"/>
      <c r="N31" s="292"/>
      <c r="O31" s="292"/>
      <c r="P31" s="292"/>
      <c r="Q31" s="292"/>
      <c r="R31" s="292"/>
      <c r="S31" s="292"/>
      <c r="T31" s="292"/>
      <c r="U31" s="292"/>
      <c r="V31" s="292"/>
      <c r="W31" s="292"/>
      <c r="X31" s="292"/>
      <c r="Y31" s="292"/>
      <c r="Z31" s="292"/>
      <c r="AA31" s="292"/>
      <c r="AB31" s="292"/>
      <c r="AC31" s="292"/>
      <c r="AD31" s="292"/>
      <c r="AE31" s="292"/>
      <c r="AF31" s="292"/>
    </row>
    <row r="32" spans="1:33" x14ac:dyDescent="0.25">
      <c r="A32" s="779" t="s">
        <v>300</v>
      </c>
      <c r="B32" s="274">
        <v>25</v>
      </c>
      <c r="C32" s="307" t="s">
        <v>301</v>
      </c>
      <c r="D32" s="308">
        <f>D21+D24+D25+D26+D29</f>
        <v>869.02300000000002</v>
      </c>
      <c r="E32" s="308">
        <f>E21+E24+E25+E26+E29</f>
        <v>-429.39499999999987</v>
      </c>
      <c r="F32" s="308">
        <f>F21+F24+F25+F26+F29</f>
        <v>30.251000000000033</v>
      </c>
      <c r="G32" s="308">
        <f>G21+G24+G25+G26+G29</f>
        <v>3.1800000000000352</v>
      </c>
      <c r="H32" s="309">
        <f t="shared" ref="H32:AF32" si="31">H21+H24+H25+H26+H29</f>
        <v>278.70871857680112</v>
      </c>
      <c r="I32" s="309">
        <f>I21+I24+I25+I26+I29</f>
        <v>160.50379892965091</v>
      </c>
      <c r="J32" s="309">
        <f t="shared" si="31"/>
        <v>183.22504841801864</v>
      </c>
      <c r="K32" s="309">
        <f t="shared" si="31"/>
        <v>190.65977365988405</v>
      </c>
      <c r="L32" s="309">
        <f t="shared" si="31"/>
        <v>210.33628606150972</v>
      </c>
      <c r="M32" s="309">
        <f t="shared" si="31"/>
        <v>271.92293051073119</v>
      </c>
      <c r="N32" s="309">
        <f t="shared" si="31"/>
        <v>42.897246765795842</v>
      </c>
      <c r="O32" s="309">
        <f t="shared" si="31"/>
        <v>228.7561444692094</v>
      </c>
      <c r="P32" s="309">
        <f t="shared" si="31"/>
        <v>235.7514239917239</v>
      </c>
      <c r="Q32" s="309">
        <f t="shared" si="31"/>
        <v>242.91584651164129</v>
      </c>
      <c r="R32" s="309">
        <f t="shared" si="31"/>
        <v>249.98600207815016</v>
      </c>
      <c r="S32" s="309">
        <f t="shared" si="31"/>
        <v>256.93149166360701</v>
      </c>
      <c r="T32" s="309">
        <f t="shared" si="31"/>
        <v>10.072660075910562</v>
      </c>
      <c r="U32" s="309">
        <f t="shared" si="31"/>
        <v>184.36782873189452</v>
      </c>
      <c r="V32" s="309">
        <f t="shared" si="31"/>
        <v>279.04492217703665</v>
      </c>
      <c r="W32" s="309">
        <f t="shared" si="31"/>
        <v>250.12009583831386</v>
      </c>
      <c r="X32" s="309">
        <f t="shared" si="31"/>
        <v>261.61620432962695</v>
      </c>
      <c r="Y32" s="309">
        <f t="shared" si="31"/>
        <v>267.49602267816226</v>
      </c>
      <c r="Z32" s="309">
        <f t="shared" si="31"/>
        <v>273.2093419681911</v>
      </c>
      <c r="AA32" s="309">
        <f t="shared" si="31"/>
        <v>278.82601609725521</v>
      </c>
      <c r="AB32" s="309">
        <f t="shared" si="31"/>
        <v>284.36002975009296</v>
      </c>
      <c r="AC32" s="309">
        <f t="shared" si="31"/>
        <v>289.82009293814997</v>
      </c>
      <c r="AD32" s="309">
        <f t="shared" si="31"/>
        <v>295.2169959912631</v>
      </c>
      <c r="AE32" s="309">
        <f t="shared" si="31"/>
        <v>300.56064764181991</v>
      </c>
      <c r="AF32" s="309">
        <f t="shared" si="31"/>
        <v>309.61237930640777</v>
      </c>
    </row>
    <row r="33" spans="1:32" x14ac:dyDescent="0.25">
      <c r="A33" s="780"/>
      <c r="B33" s="274">
        <v>26</v>
      </c>
      <c r="C33" s="307" t="s">
        <v>302</v>
      </c>
      <c r="D33" s="308">
        <f>-1*(D27+D28)</f>
        <v>99.522999999999996</v>
      </c>
      <c r="E33" s="308">
        <f>-1*(E27+E28)</f>
        <v>380.505</v>
      </c>
      <c r="F33" s="308">
        <f>-1*(F27+F28)</f>
        <v>282.15100000000001</v>
      </c>
      <c r="G33" s="308">
        <f t="shared" ref="G33:AE33" si="32">-1*(G27+G28)</f>
        <v>0</v>
      </c>
      <c r="H33" s="310">
        <f>-1*(H27+H28)</f>
        <v>168.98887597680113</v>
      </c>
      <c r="I33" s="310">
        <f t="shared" si="32"/>
        <v>152.80805425799261</v>
      </c>
      <c r="J33" s="310">
        <f t="shared" si="32"/>
        <v>152.82040467274015</v>
      </c>
      <c r="K33" s="310">
        <f t="shared" si="32"/>
        <v>155.20951520322279</v>
      </c>
      <c r="L33" s="310">
        <f t="shared" si="32"/>
        <v>169.29025652399753</v>
      </c>
      <c r="M33" s="310">
        <f t="shared" si="32"/>
        <v>189.29392846837388</v>
      </c>
      <c r="N33" s="310">
        <f t="shared" si="32"/>
        <v>196.47021770817713</v>
      </c>
      <c r="O33" s="310">
        <f t="shared" si="32"/>
        <v>191.99721502280255</v>
      </c>
      <c r="P33" s="310">
        <f t="shared" si="32"/>
        <v>198.32298820423796</v>
      </c>
      <c r="Q33" s="310">
        <f t="shared" si="32"/>
        <v>204.80169132558592</v>
      </c>
      <c r="R33" s="310">
        <f t="shared" si="32"/>
        <v>211.34652784477629</v>
      </c>
      <c r="S33" s="310">
        <f t="shared" si="32"/>
        <v>217.89500933501887</v>
      </c>
      <c r="T33" s="310">
        <f t="shared" si="32"/>
        <v>200.09100829790736</v>
      </c>
      <c r="U33" s="310">
        <f t="shared" si="32"/>
        <v>186.98602101222781</v>
      </c>
      <c r="V33" s="310">
        <f t="shared" si="32"/>
        <v>215.54962473091393</v>
      </c>
      <c r="W33" s="310">
        <f t="shared" si="32"/>
        <v>221.04816947615865</v>
      </c>
      <c r="X33" s="310">
        <f t="shared" si="32"/>
        <v>230.44592384066965</v>
      </c>
      <c r="Y33" s="310">
        <f t="shared" si="32"/>
        <v>238.78866530691971</v>
      </c>
      <c r="Z33" s="310">
        <f t="shared" si="32"/>
        <v>244.99612937007606</v>
      </c>
      <c r="AA33" s="310">
        <f t="shared" si="32"/>
        <v>251.08891563396082</v>
      </c>
      <c r="AB33" s="310">
        <f t="shared" si="32"/>
        <v>257.07633959119875</v>
      </c>
      <c r="AC33" s="310">
        <f t="shared" si="32"/>
        <v>262.96598922884908</v>
      </c>
      <c r="AD33" s="310">
        <f t="shared" si="32"/>
        <v>268.76584695529266</v>
      </c>
      <c r="AE33" s="310">
        <f t="shared" si="32"/>
        <v>274.4839912249808</v>
      </c>
      <c r="AF33" s="310">
        <f>-1*(AF27+AF28)</f>
        <v>282.32953565620454</v>
      </c>
    </row>
    <row r="34" spans="1:32" x14ac:dyDescent="0.25">
      <c r="A34" s="781"/>
      <c r="B34" s="274">
        <v>27</v>
      </c>
      <c r="C34" s="307" t="s">
        <v>303</v>
      </c>
      <c r="D34" s="311">
        <f>D32-D33</f>
        <v>769.5</v>
      </c>
      <c r="E34" s="294">
        <f>E32-E33</f>
        <v>-809.89999999999986</v>
      </c>
      <c r="F34" s="294">
        <f>F32-F33</f>
        <v>-251.89999999999998</v>
      </c>
      <c r="G34" s="294">
        <f>G32-G33</f>
        <v>3.1800000000000352</v>
      </c>
      <c r="H34" s="312">
        <f>H32-H33</f>
        <v>109.71984259999999</v>
      </c>
      <c r="I34" s="312">
        <f t="shared" ref="I34:AF34" si="33">I32-I33</f>
        <v>7.6957446716583036</v>
      </c>
      <c r="J34" s="312">
        <f t="shared" si="33"/>
        <v>30.404643745278491</v>
      </c>
      <c r="K34" s="312">
        <f t="shared" si="33"/>
        <v>35.45025845666126</v>
      </c>
      <c r="L34" s="312">
        <f t="shared" si="33"/>
        <v>41.046029537512197</v>
      </c>
      <c r="M34" s="312">
        <f t="shared" si="33"/>
        <v>82.629002042357314</v>
      </c>
      <c r="N34" s="312">
        <f t="shared" si="33"/>
        <v>-153.57297094238129</v>
      </c>
      <c r="O34" s="312">
        <f t="shared" si="33"/>
        <v>36.758929446406853</v>
      </c>
      <c r="P34" s="312">
        <f t="shared" si="33"/>
        <v>37.428435787485938</v>
      </c>
      <c r="Q34" s="312">
        <f t="shared" si="33"/>
        <v>38.11415518605537</v>
      </c>
      <c r="R34" s="312">
        <f t="shared" si="33"/>
        <v>38.639474233373875</v>
      </c>
      <c r="S34" s="312">
        <f t="shared" si="33"/>
        <v>39.036482328588136</v>
      </c>
      <c r="T34" s="312">
        <f t="shared" si="33"/>
        <v>-190.0183482219968</v>
      </c>
      <c r="U34" s="312">
        <f t="shared" si="33"/>
        <v>-2.6181922803332895</v>
      </c>
      <c r="V34" s="312">
        <f t="shared" si="33"/>
        <v>63.49529744612272</v>
      </c>
      <c r="W34" s="312">
        <f t="shared" si="33"/>
        <v>29.07192636215521</v>
      </c>
      <c r="X34" s="312">
        <f t="shared" si="33"/>
        <v>31.170280488957303</v>
      </c>
      <c r="Y34" s="312">
        <f t="shared" si="33"/>
        <v>28.707357371242551</v>
      </c>
      <c r="Z34" s="312">
        <f t="shared" si="33"/>
        <v>28.213212598115035</v>
      </c>
      <c r="AA34" s="312">
        <f t="shared" si="33"/>
        <v>27.737100463294382</v>
      </c>
      <c r="AB34" s="312">
        <f t="shared" si="33"/>
        <v>27.283690158894217</v>
      </c>
      <c r="AC34" s="312">
        <f t="shared" si="33"/>
        <v>26.854103709300887</v>
      </c>
      <c r="AD34" s="312">
        <f t="shared" si="33"/>
        <v>26.451149035970445</v>
      </c>
      <c r="AE34" s="312">
        <f t="shared" si="33"/>
        <v>26.076656416839114</v>
      </c>
      <c r="AF34" s="312">
        <f t="shared" si="33"/>
        <v>27.282843650203233</v>
      </c>
    </row>
    <row r="36" spans="1:32" x14ac:dyDescent="0.25">
      <c r="A36" s="782" t="s">
        <v>304</v>
      </c>
      <c r="B36" s="313">
        <v>28</v>
      </c>
      <c r="C36" s="307" t="s">
        <v>305</v>
      </c>
      <c r="D36" s="281">
        <f>Cifras_Originales!E22</f>
        <v>61.576000000000001</v>
      </c>
      <c r="E36" s="281">
        <f>Cifras_Originales!D22</f>
        <v>750.14700000000005</v>
      </c>
      <c r="F36" s="281">
        <f>Cifras_Originales!C22</f>
        <v>324.80099999999999</v>
      </c>
      <c r="G36" s="281">
        <f>Cifras_Originales!B22</f>
        <v>85.167000000000002</v>
      </c>
      <c r="H36" s="281">
        <f>G36+H34</f>
        <v>194.88684259999999</v>
      </c>
      <c r="I36" s="281">
        <f t="shared" ref="I36:AF36" si="34">H36+I34</f>
        <v>202.5825872716583</v>
      </c>
      <c r="J36" s="281">
        <f t="shared" si="34"/>
        <v>232.98723101693679</v>
      </c>
      <c r="K36" s="281">
        <f t="shared" si="34"/>
        <v>268.43748947359802</v>
      </c>
      <c r="L36" s="281">
        <f t="shared" si="34"/>
        <v>309.48351901111022</v>
      </c>
      <c r="M36" s="281">
        <f t="shared" si="34"/>
        <v>392.1125210534675</v>
      </c>
      <c r="N36" s="281">
        <f t="shared" si="34"/>
        <v>238.53955011108621</v>
      </c>
      <c r="O36" s="281">
        <f t="shared" si="34"/>
        <v>275.29847955749307</v>
      </c>
      <c r="P36" s="281">
        <f t="shared" si="34"/>
        <v>312.72691534497903</v>
      </c>
      <c r="Q36" s="281">
        <f t="shared" si="34"/>
        <v>350.8410705310344</v>
      </c>
      <c r="R36" s="281">
        <f t="shared" si="34"/>
        <v>389.48054476440825</v>
      </c>
      <c r="S36" s="281">
        <f t="shared" si="34"/>
        <v>428.51702709299639</v>
      </c>
      <c r="T36" s="281">
        <f t="shared" si="34"/>
        <v>238.49867887099958</v>
      </c>
      <c r="U36" s="281">
        <f t="shared" si="34"/>
        <v>235.88048659066629</v>
      </c>
      <c r="V36" s="281">
        <f t="shared" si="34"/>
        <v>299.37578403678901</v>
      </c>
      <c r="W36" s="281">
        <f t="shared" si="34"/>
        <v>328.4477103989442</v>
      </c>
      <c r="X36" s="281">
        <f t="shared" si="34"/>
        <v>359.6179908879015</v>
      </c>
      <c r="Y36" s="281">
        <f t="shared" si="34"/>
        <v>388.32534825914405</v>
      </c>
      <c r="Z36" s="281">
        <f t="shared" si="34"/>
        <v>416.53856085725909</v>
      </c>
      <c r="AA36" s="281">
        <f t="shared" si="34"/>
        <v>444.27566132055347</v>
      </c>
      <c r="AB36" s="281">
        <f t="shared" si="34"/>
        <v>471.55935147944768</v>
      </c>
      <c r="AC36" s="281">
        <f t="shared" si="34"/>
        <v>498.41345518874857</v>
      </c>
      <c r="AD36" s="281">
        <f t="shared" si="34"/>
        <v>524.86460422471896</v>
      </c>
      <c r="AE36" s="281">
        <f t="shared" si="34"/>
        <v>550.94126064155807</v>
      </c>
      <c r="AF36" s="281">
        <f t="shared" si="34"/>
        <v>578.22410429176125</v>
      </c>
    </row>
    <row r="37" spans="1:32" x14ac:dyDescent="0.25">
      <c r="A37" s="782"/>
      <c r="B37" s="314">
        <v>29</v>
      </c>
      <c r="C37" s="307" t="s">
        <v>306</v>
      </c>
      <c r="D37" s="411">
        <f>Cifras_en_Millones!F60</f>
        <v>1664.634</v>
      </c>
      <c r="E37" s="411">
        <f>Cifras_en_Millones!E60</f>
        <v>1424.4659999999999</v>
      </c>
      <c r="F37" s="411">
        <f>Cifras_en_Millones!D60</f>
        <v>525.09900000000005</v>
      </c>
      <c r="G37" s="411">
        <f>Cifras_en_Millones!C60</f>
        <v>597.99400000000003</v>
      </c>
      <c r="H37" s="281">
        <f t="shared" ref="H37:M37" si="35">$D$219*H11</f>
        <v>707.71384260000002</v>
      </c>
      <c r="I37" s="281">
        <f t="shared" si="35"/>
        <v>707.93722330514981</v>
      </c>
      <c r="J37" s="281">
        <f t="shared" si="35"/>
        <v>730.89890700447961</v>
      </c>
      <c r="K37" s="281">
        <f t="shared" si="35"/>
        <v>758.81202671148026</v>
      </c>
      <c r="L37" s="281">
        <f t="shared" si="35"/>
        <v>791.61365234673394</v>
      </c>
      <c r="M37" s="281">
        <f t="shared" si="35"/>
        <v>865.01973004657748</v>
      </c>
      <c r="N37" s="281">
        <f t="shared" ref="N37:S37" si="36">$E$219*N11</f>
        <v>701.88423506396248</v>
      </c>
      <c r="O37" s="281">
        <f t="shared" si="36"/>
        <v>731.64758041699736</v>
      </c>
      <c r="P37" s="281">
        <f t="shared" si="36"/>
        <v>761.88692587715252</v>
      </c>
      <c r="Q37" s="281">
        <f t="shared" si="36"/>
        <v>792.61074822040496</v>
      </c>
      <c r="R37" s="281">
        <f t="shared" si="36"/>
        <v>823.6552297108085</v>
      </c>
      <c r="S37" s="281">
        <f t="shared" si="36"/>
        <v>854.89170507898621</v>
      </c>
      <c r="T37" s="281">
        <f t="shared" ref="T37:AF37" si="37">$F$219*T11</f>
        <v>657.89319840006397</v>
      </c>
      <c r="U37" s="281">
        <f t="shared" si="37"/>
        <v>648.91654091442956</v>
      </c>
      <c r="V37" s="281">
        <f t="shared" si="37"/>
        <v>706.84114977455931</v>
      </c>
      <c r="W37" s="281">
        <f t="shared" si="37"/>
        <v>730.2488438069696</v>
      </c>
      <c r="X37" s="281">
        <f t="shared" si="37"/>
        <v>755.47547178991874</v>
      </c>
      <c r="Y37" s="281">
        <f t="shared" si="37"/>
        <v>780.14201417718652</v>
      </c>
      <c r="Z37" s="281">
        <f t="shared" si="37"/>
        <v>804.26049651376752</v>
      </c>
      <c r="AA37" s="281">
        <f t="shared" si="37"/>
        <v>827.84893705558864</v>
      </c>
      <c r="AB37" s="281">
        <f t="shared" si="37"/>
        <v>850.92980991044215</v>
      </c>
      <c r="AC37" s="281">
        <f t="shared" si="37"/>
        <v>873.52661634388244</v>
      </c>
      <c r="AD37" s="281">
        <f t="shared" si="37"/>
        <v>895.66556874031528</v>
      </c>
      <c r="AE37" s="281">
        <f t="shared" si="37"/>
        <v>917.37461886799065</v>
      </c>
      <c r="AF37" s="281">
        <f t="shared" si="37"/>
        <v>940.13467981309805</v>
      </c>
    </row>
    <row r="38" spans="1:32" x14ac:dyDescent="0.25">
      <c r="A38" s="782"/>
      <c r="B38" s="316">
        <v>30</v>
      </c>
      <c r="C38" s="307" t="s">
        <v>307</v>
      </c>
      <c r="D38" s="315"/>
      <c r="E38" s="315"/>
      <c r="F38" s="281"/>
      <c r="G38" s="317">
        <f t="shared" ref="G38:AF38" si="38">1/((1+$D$47)^G3)</f>
        <v>1</v>
      </c>
      <c r="H38" s="317">
        <f t="shared" si="38"/>
        <v>0.97812562918567858</v>
      </c>
      <c r="I38" s="317">
        <f t="shared" si="38"/>
        <v>0.89530950039879054</v>
      </c>
      <c r="J38" s="317">
        <f t="shared" si="38"/>
        <v>0.8195052635229203</v>
      </c>
      <c r="K38" s="317">
        <f t="shared" si="38"/>
        <v>0.75011923434592243</v>
      </c>
      <c r="L38" s="317">
        <f t="shared" si="38"/>
        <v>0.68660799482464308</v>
      </c>
      <c r="M38" s="317">
        <f t="shared" si="38"/>
        <v>0.62847413713926137</v>
      </c>
      <c r="N38" s="317">
        <f t="shared" si="38"/>
        <v>0.57526236809085707</v>
      </c>
      <c r="O38" s="317">
        <f t="shared" si="38"/>
        <v>0.52655594333259226</v>
      </c>
      <c r="P38" s="317">
        <f t="shared" si="38"/>
        <v>0.48197340350809353</v>
      </c>
      <c r="Q38" s="317">
        <f t="shared" si="38"/>
        <v>0.44116558673509709</v>
      </c>
      <c r="R38" s="317">
        <f t="shared" si="38"/>
        <v>0.40381289403670212</v>
      </c>
      <c r="S38" s="317">
        <f t="shared" si="38"/>
        <v>0.3696227863036175</v>
      </c>
      <c r="T38" s="317">
        <f t="shared" si="38"/>
        <v>0.33832749318408922</v>
      </c>
      <c r="U38" s="317">
        <f t="shared" si="38"/>
        <v>0.30968191595797639</v>
      </c>
      <c r="V38" s="317">
        <f t="shared" si="38"/>
        <v>0.28346170797068776</v>
      </c>
      <c r="W38" s="317">
        <f t="shared" si="38"/>
        <v>0.25946151759330688</v>
      </c>
      <c r="X38" s="317">
        <f t="shared" si="38"/>
        <v>0.23749337994810696</v>
      </c>
      <c r="Y38" s="317">
        <f t="shared" si="38"/>
        <v>0.21738524480375923</v>
      </c>
      <c r="Z38" s="317">
        <f t="shared" si="38"/>
        <v>0.1989796291109924</v>
      </c>
      <c r="AA38" s="317">
        <f t="shared" si="38"/>
        <v>0.18213238362562237</v>
      </c>
      <c r="AB38" s="317">
        <f t="shared" si="38"/>
        <v>0.16671156395937975</v>
      </c>
      <c r="AC38" s="317">
        <f t="shared" si="38"/>
        <v>0.15259639721682355</v>
      </c>
      <c r="AD38" s="317">
        <f t="shared" si="38"/>
        <v>0.13967633612523894</v>
      </c>
      <c r="AE38" s="317">
        <f t="shared" si="38"/>
        <v>0.12785019324964664</v>
      </c>
      <c r="AF38" s="317">
        <f t="shared" si="38"/>
        <v>0.11702534851226237</v>
      </c>
    </row>
    <row r="39" spans="1:32" x14ac:dyDescent="0.25">
      <c r="A39" s="318"/>
      <c r="B39" s="318"/>
      <c r="C39" s="318"/>
      <c r="D39" s="319"/>
      <c r="E39" s="319"/>
      <c r="F39" s="384">
        <f>1/((1+$D$48+0.001)^F$3)</f>
        <v>0.99999293907371634</v>
      </c>
      <c r="G39" s="384">
        <f>1/((1+$D$47+0.001)^G$3)</f>
        <v>1</v>
      </c>
      <c r="H39" s="384">
        <f t="shared" ref="H39:AE39" si="39">1/((1+$D$47+0.001)^H$3)</f>
        <v>0.97790192977043711</v>
      </c>
      <c r="I39" s="384">
        <f t="shared" si="39"/>
        <v>0.89428617262957222</v>
      </c>
      <c r="J39" s="384">
        <f t="shared" si="39"/>
        <v>0.81782000240473007</v>
      </c>
      <c r="K39" s="384">
        <f t="shared" si="39"/>
        <v>0.7478920918195977</v>
      </c>
      <c r="L39" s="384">
        <f t="shared" si="39"/>
        <v>0.68394338529455667</v>
      </c>
      <c r="M39" s="384">
        <f t="shared" si="39"/>
        <v>0.6254626294417529</v>
      </c>
      <c r="N39" s="384">
        <f t="shared" si="39"/>
        <v>0.57198228572634013</v>
      </c>
      <c r="O39" s="384">
        <f t="shared" si="39"/>
        <v>0.52307479261668055</v>
      </c>
      <c r="P39" s="384">
        <f t="shared" si="39"/>
        <v>0.47834914734035716</v>
      </c>
      <c r="Q39" s="384">
        <f t="shared" si="39"/>
        <v>0.43744777991802214</v>
      </c>
      <c r="R39" s="384">
        <f t="shared" si="39"/>
        <v>0.40004369448378801</v>
      </c>
      <c r="S39" s="384">
        <f t="shared" si="39"/>
        <v>0.36583785503775768</v>
      </c>
      <c r="T39" s="384">
        <f t="shared" si="39"/>
        <v>0.33455679473045974</v>
      </c>
      <c r="U39" s="384">
        <f t="shared" si="39"/>
        <v>0.30595042956603546</v>
      </c>
      <c r="V39" s="384">
        <f t="shared" si="39"/>
        <v>0.27979005904529991</v>
      </c>
      <c r="W39" s="384">
        <f t="shared" si="39"/>
        <v>0.25586653776433466</v>
      </c>
      <c r="X39" s="384">
        <f t="shared" si="39"/>
        <v>0.23398860335101479</v>
      </c>
      <c r="Y39" s="384">
        <f t="shared" si="39"/>
        <v>0.21398134737175567</v>
      </c>
      <c r="Z39" s="384">
        <f t="shared" si="39"/>
        <v>0.19568481698377288</v>
      </c>
      <c r="AA39" s="384">
        <f t="shared" si="39"/>
        <v>0.17895273615342741</v>
      </c>
      <c r="AB39" s="384">
        <f t="shared" si="39"/>
        <v>0.16365133621712616</v>
      </c>
      <c r="AC39" s="384">
        <f t="shared" si="39"/>
        <v>0.1496582864354149</v>
      </c>
      <c r="AD39" s="384">
        <f t="shared" si="39"/>
        <v>0.13686171599031999</v>
      </c>
      <c r="AE39" s="384">
        <f t="shared" si="39"/>
        <v>0.12515931960705989</v>
      </c>
      <c r="AF39" s="318"/>
    </row>
    <row r="40" spans="1:32" x14ac:dyDescent="0.25">
      <c r="A40" s="318"/>
      <c r="B40" s="318"/>
      <c r="C40" s="318"/>
      <c r="D40" s="319"/>
      <c r="E40" s="319"/>
      <c r="F40" s="384">
        <f>1/((1+$D$48+0.005)^F$3)</f>
        <v>0.99996476622798591</v>
      </c>
      <c r="G40" s="384">
        <f>1/((1+$D$47+0.005)^G$3)</f>
        <v>1</v>
      </c>
      <c r="H40" s="384">
        <f t="shared" ref="H40:AE40" si="40">1/((1+$D$47+0.005)^H$3)</f>
        <v>0.97700968255524234</v>
      </c>
      <c r="I40" s="384">
        <f t="shared" si="40"/>
        <v>0.89021383376331886</v>
      </c>
      <c r="J40" s="384">
        <f t="shared" si="40"/>
        <v>0.81112877791646354</v>
      </c>
      <c r="K40" s="384">
        <f t="shared" si="40"/>
        <v>0.73906950151841799</v>
      </c>
      <c r="L40" s="384">
        <f t="shared" si="40"/>
        <v>0.67341184648603003</v>
      </c>
      <c r="M40" s="384">
        <f t="shared" si="40"/>
        <v>0.61358710385970849</v>
      </c>
      <c r="N40" s="384">
        <f t="shared" si="40"/>
        <v>0.55907708779927889</v>
      </c>
      <c r="O40" s="384">
        <f t="shared" si="40"/>
        <v>0.50940964719752069</v>
      </c>
      <c r="P40" s="384">
        <f t="shared" si="40"/>
        <v>0.46415457603418742</v>
      </c>
      <c r="Q40" s="384">
        <f t="shared" si="40"/>
        <v>0.4229198870470956</v>
      </c>
      <c r="R40" s="384">
        <f t="shared" si="40"/>
        <v>0.38534841644382289</v>
      </c>
      <c r="S40" s="384">
        <f t="shared" si="40"/>
        <v>0.35111473024494116</v>
      </c>
      <c r="T40" s="384">
        <f t="shared" si="40"/>
        <v>0.319922305462361</v>
      </c>
      <c r="U40" s="384">
        <f t="shared" si="40"/>
        <v>0.29150096169691209</v>
      </c>
      <c r="V40" s="384">
        <f t="shared" si="40"/>
        <v>0.26560452090834819</v>
      </c>
      <c r="W40" s="384">
        <f t="shared" si="40"/>
        <v>0.24200867508733317</v>
      </c>
      <c r="X40" s="384">
        <f t="shared" si="40"/>
        <v>0.22050904335975696</v>
      </c>
      <c r="Y40" s="384">
        <f t="shared" si="40"/>
        <v>0.20091940169453937</v>
      </c>
      <c r="Z40" s="384">
        <f t="shared" si="40"/>
        <v>0.18307006988112925</v>
      </c>
      <c r="AA40" s="384">
        <f t="shared" si="40"/>
        <v>0.16680644180512916</v>
      </c>
      <c r="AB40" s="384">
        <f t="shared" si="40"/>
        <v>0.15198764629168948</v>
      </c>
      <c r="AC40" s="384">
        <f t="shared" si="40"/>
        <v>0.13848532691725693</v>
      </c>
      <c r="AD40" s="384">
        <f t="shared" si="40"/>
        <v>0.12618253022073528</v>
      </c>
      <c r="AE40" s="384">
        <f t="shared" si="40"/>
        <v>0.11497269268404127</v>
      </c>
      <c r="AF40" s="318"/>
    </row>
    <row r="41" spans="1:32" x14ac:dyDescent="0.25">
      <c r="A41" s="318"/>
      <c r="B41" s="318"/>
      <c r="C41" s="318"/>
      <c r="D41" s="319"/>
      <c r="E41" s="319"/>
      <c r="F41" s="385"/>
      <c r="G41" s="385"/>
      <c r="H41" s="385"/>
      <c r="I41" s="386"/>
      <c r="J41" s="387"/>
      <c r="K41" s="387"/>
      <c r="L41" s="387"/>
      <c r="M41" s="387"/>
      <c r="N41" s="387"/>
      <c r="O41" s="387"/>
      <c r="P41" s="387"/>
      <c r="Q41" s="387"/>
      <c r="R41" s="387"/>
      <c r="S41" s="387"/>
      <c r="T41" s="387"/>
      <c r="U41" s="387"/>
      <c r="V41" s="387"/>
      <c r="W41" s="387"/>
      <c r="X41" s="387"/>
      <c r="Y41" s="387"/>
      <c r="Z41" s="387"/>
      <c r="AA41" s="387"/>
      <c r="AB41" s="387"/>
      <c r="AC41" s="387"/>
      <c r="AD41" s="387"/>
      <c r="AE41" s="387"/>
      <c r="AF41" s="318"/>
    </row>
    <row r="42" spans="1:32" x14ac:dyDescent="0.25">
      <c r="C42" s="321" t="s">
        <v>134</v>
      </c>
      <c r="D42" s="322"/>
      <c r="E42" s="323"/>
      <c r="F42" s="397" t="s">
        <v>259</v>
      </c>
      <c r="G42" s="397" t="s">
        <v>259</v>
      </c>
      <c r="H42" s="322">
        <f ca="1">H16/OP!C8</f>
        <v>1.3861263165609303</v>
      </c>
      <c r="I42" s="324">
        <f ca="1">I16/OP!$C8</f>
        <v>1.4702647941487723</v>
      </c>
      <c r="J42" s="324">
        <f ca="1">J16/OP!$C8</f>
        <v>1.5477638295767158</v>
      </c>
    </row>
    <row r="43" spans="1:32" x14ac:dyDescent="0.25">
      <c r="C43" s="325" t="s">
        <v>153</v>
      </c>
      <c r="D43" s="282"/>
      <c r="E43" s="282"/>
      <c r="F43" s="326"/>
      <c r="G43" s="326"/>
      <c r="H43" s="326"/>
      <c r="I43" s="327"/>
      <c r="J43" s="327"/>
    </row>
    <row r="44" spans="1:32" x14ac:dyDescent="0.25">
      <c r="C44" s="328" t="s">
        <v>135</v>
      </c>
      <c r="D44" s="329"/>
      <c r="E44" s="329"/>
      <c r="F44" s="396" t="s">
        <v>259</v>
      </c>
      <c r="G44" s="396" t="s">
        <v>259</v>
      </c>
      <c r="H44" s="330">
        <f t="shared" ref="H44:I44" si="41">$D$64/H16</f>
        <v>11.742712985156258</v>
      </c>
      <c r="I44" s="331">
        <f t="shared" si="41"/>
        <v>11.070715670622141</v>
      </c>
    </row>
    <row r="45" spans="1:32" x14ac:dyDescent="0.25">
      <c r="A45" s="318"/>
      <c r="B45" s="318"/>
      <c r="C45" s="318"/>
      <c r="D45" s="319"/>
      <c r="E45" s="319"/>
      <c r="F45" s="319"/>
      <c r="G45" s="320"/>
      <c r="H45" s="320"/>
      <c r="I45" s="320"/>
      <c r="J45" s="320"/>
      <c r="K45" s="320"/>
      <c r="L45" s="320"/>
      <c r="M45" s="320"/>
      <c r="N45" s="320"/>
      <c r="O45" s="320"/>
      <c r="P45" s="320"/>
      <c r="Q45" s="320"/>
      <c r="R45" s="320"/>
      <c r="S45" s="320"/>
      <c r="T45" s="320"/>
      <c r="U45" s="320"/>
      <c r="V45" s="320"/>
      <c r="W45" s="320"/>
      <c r="X45" s="320"/>
      <c r="Y45" s="320"/>
      <c r="Z45" s="320"/>
      <c r="AA45" s="320"/>
      <c r="AB45" s="320"/>
      <c r="AC45" s="320"/>
      <c r="AD45" s="318"/>
      <c r="AE45" s="318"/>
      <c r="AF45" s="318"/>
    </row>
    <row r="46" spans="1:32" x14ac:dyDescent="0.25">
      <c r="A46" s="774" t="s">
        <v>308</v>
      </c>
      <c r="C46" s="321"/>
      <c r="D46" s="323" t="s">
        <v>309</v>
      </c>
      <c r="E46" s="323" t="s">
        <v>310</v>
      </c>
      <c r="F46" s="323" t="s">
        <v>311</v>
      </c>
      <c r="G46" s="332" t="s">
        <v>312</v>
      </c>
    </row>
    <row r="47" spans="1:32" x14ac:dyDescent="0.25">
      <c r="A47" s="776"/>
      <c r="C47" s="333" t="s">
        <v>313</v>
      </c>
      <c r="D47" s="334">
        <f>SUM(E47:G47)</f>
        <v>9.2499999999999999E-2</v>
      </c>
      <c r="E47" s="334">
        <v>0.04</v>
      </c>
      <c r="F47" s="429">
        <v>0.04</v>
      </c>
      <c r="G47" s="335">
        <v>1.2500000000000001E-2</v>
      </c>
      <c r="H47" s="268" t="s">
        <v>259</v>
      </c>
      <c r="I47" s="362"/>
      <c r="AE47" s="336"/>
    </row>
    <row r="48" spans="1:32" ht="15.75" thickBot="1" x14ac:dyDescent="0.3">
      <c r="D48" s="337"/>
      <c r="E48" s="337"/>
      <c r="F48" s="337"/>
      <c r="G48" s="338"/>
      <c r="I48"/>
      <c r="J48"/>
      <c r="K48"/>
      <c r="L48"/>
      <c r="M48"/>
      <c r="N48"/>
      <c r="O48"/>
      <c r="P48"/>
      <c r="Q48"/>
      <c r="R48"/>
      <c r="S48"/>
      <c r="T48"/>
      <c r="U48"/>
      <c r="V48"/>
      <c r="W48"/>
      <c r="X48"/>
      <c r="Y48"/>
      <c r="Z48"/>
      <c r="AA48"/>
      <c r="AB48"/>
      <c r="AC48"/>
      <c r="AD48"/>
      <c r="AE48"/>
      <c r="AF48"/>
    </row>
    <row r="49" spans="1:32" ht="15.75" thickBot="1" x14ac:dyDescent="0.3">
      <c r="C49" s="321"/>
      <c r="D49" s="339" t="s">
        <v>314</v>
      </c>
      <c r="E49" s="339" t="s">
        <v>315</v>
      </c>
      <c r="F49" s="332" t="s">
        <v>316</v>
      </c>
      <c r="I49" s="570" t="s">
        <v>177</v>
      </c>
      <c r="J49" s="571">
        <f>(AF6/H6)^(1/26)-1</f>
        <v>3.7000742955251242E-2</v>
      </c>
    </row>
    <row r="50" spans="1:32" x14ac:dyDescent="0.25">
      <c r="A50" s="771" t="s">
        <v>317</v>
      </c>
      <c r="C50" s="340" t="s">
        <v>470</v>
      </c>
      <c r="D50" s="341">
        <f>G118</f>
        <v>0.04</v>
      </c>
      <c r="E50" s="341">
        <f>G119</f>
        <v>0.06</v>
      </c>
      <c r="F50" s="342" t="s">
        <v>515</v>
      </c>
      <c r="G50" s="343">
        <f>SUM(G22:AF22)/SUM(G9:AF9)</f>
        <v>13.932133369331639</v>
      </c>
      <c r="I50" s="284"/>
      <c r="AE50" s="282"/>
    </row>
    <row r="51" spans="1:32" x14ac:dyDescent="0.25">
      <c r="A51" s="772"/>
      <c r="C51" s="344" t="s">
        <v>318</v>
      </c>
      <c r="D51" s="463">
        <f>D131</f>
        <v>3.8773503885120206E-3</v>
      </c>
      <c r="E51" s="463">
        <f>1%</f>
        <v>0.01</v>
      </c>
      <c r="F51" s="346" t="s">
        <v>319</v>
      </c>
      <c r="G51" s="347">
        <f>-SUM(D10:F10)/SUM(D6:F6)</f>
        <v>9.614510199949966E-3</v>
      </c>
      <c r="I51" s="284"/>
      <c r="AE51" s="282"/>
    </row>
    <row r="52" spans="1:32" x14ac:dyDescent="0.25">
      <c r="A52" s="772"/>
      <c r="C52" s="344" t="s">
        <v>320</v>
      </c>
      <c r="D52" s="3">
        <v>0.3</v>
      </c>
      <c r="E52" s="345">
        <v>0.3</v>
      </c>
      <c r="F52" s="348" t="s">
        <v>321</v>
      </c>
      <c r="AD52" s="268"/>
      <c r="AE52" s="268"/>
      <c r="AF52" s="268"/>
    </row>
    <row r="53" spans="1:32" x14ac:dyDescent="0.25">
      <c r="A53" s="772"/>
      <c r="C53" s="344" t="s">
        <v>322</v>
      </c>
      <c r="D53" s="497">
        <f>G168</f>
        <v>0.03</v>
      </c>
      <c r="E53" s="345">
        <f>G169</f>
        <v>0.05</v>
      </c>
      <c r="F53" s="348" t="s">
        <v>323</v>
      </c>
    </row>
    <row r="54" spans="1:32" x14ac:dyDescent="0.25">
      <c r="A54" s="772"/>
      <c r="C54" s="344" t="s">
        <v>324</v>
      </c>
      <c r="D54" s="345">
        <v>0.05</v>
      </c>
      <c r="E54" s="345">
        <v>0.04</v>
      </c>
      <c r="F54" s="448" t="s">
        <v>325</v>
      </c>
    </row>
    <row r="55" spans="1:32" x14ac:dyDescent="0.25">
      <c r="A55" s="772"/>
      <c r="C55" s="394" t="s">
        <v>406</v>
      </c>
      <c r="D55" s="345">
        <f>D51</f>
        <v>3.8773503885120206E-3</v>
      </c>
      <c r="E55" s="345">
        <f>E51</f>
        <v>0.01</v>
      </c>
      <c r="F55" s="346" t="s">
        <v>319</v>
      </c>
      <c r="J55" s="284"/>
    </row>
    <row r="56" spans="1:32" x14ac:dyDescent="0.25">
      <c r="A56" s="772"/>
      <c r="C56" s="344" t="s">
        <v>326</v>
      </c>
      <c r="D56" s="449">
        <v>0.6</v>
      </c>
      <c r="E56" s="449">
        <v>0.3</v>
      </c>
      <c r="F56" s="346" t="s">
        <v>327</v>
      </c>
    </row>
    <row r="57" spans="1:32" x14ac:dyDescent="0.25">
      <c r="A57" s="772"/>
      <c r="C57" s="344" t="s">
        <v>328</v>
      </c>
      <c r="D57" s="449">
        <v>0.08</v>
      </c>
      <c r="E57" s="449">
        <v>0.06</v>
      </c>
      <c r="F57" s="346" t="s">
        <v>319</v>
      </c>
    </row>
    <row r="58" spans="1:32" x14ac:dyDescent="0.25">
      <c r="A58" s="772"/>
      <c r="C58" s="344" t="s">
        <v>119</v>
      </c>
      <c r="D58" s="345">
        <v>0.01</v>
      </c>
      <c r="E58" s="345">
        <v>0.03</v>
      </c>
      <c r="F58" s="346" t="s">
        <v>329</v>
      </c>
    </row>
    <row r="59" spans="1:32" x14ac:dyDescent="0.25">
      <c r="A59" s="773"/>
      <c r="C59" s="349" t="s">
        <v>298</v>
      </c>
      <c r="D59" s="334"/>
      <c r="E59" s="334"/>
      <c r="F59" s="350" t="s">
        <v>330</v>
      </c>
    </row>
    <row r="60" spans="1:32" x14ac:dyDescent="0.25">
      <c r="D60" s="282"/>
      <c r="E60" s="282"/>
      <c r="F60" s="282"/>
    </row>
    <row r="61" spans="1:32" x14ac:dyDescent="0.25">
      <c r="A61" s="774" t="s">
        <v>331</v>
      </c>
      <c r="C61" s="315"/>
      <c r="D61" s="351" t="s">
        <v>332</v>
      </c>
      <c r="E61" s="351" t="s">
        <v>333</v>
      </c>
      <c r="F61" s="268" t="s">
        <v>272</v>
      </c>
      <c r="AE61" s="336">
        <f>((AE36-AE37)*AE38)</f>
        <v>-46.8485756623664</v>
      </c>
    </row>
    <row r="62" spans="1:32" x14ac:dyDescent="0.25">
      <c r="A62" s="775"/>
      <c r="C62" s="315" t="s">
        <v>334</v>
      </c>
      <c r="D62" s="281">
        <f>SUMPRODUCT(G33:AE33,G38:AE38)+((AE36-AE37)*AE38)</f>
        <v>1898.8534367066293</v>
      </c>
      <c r="E62" s="352">
        <f>D62/D64</f>
        <v>0.79164676424591929</v>
      </c>
      <c r="F62" s="282" t="s">
        <v>335</v>
      </c>
      <c r="AE62" s="336">
        <f>AE54+AE61</f>
        <v>-46.8485756623664</v>
      </c>
    </row>
    <row r="63" spans="1:32" x14ac:dyDescent="0.25">
      <c r="A63" s="775"/>
      <c r="C63" s="315" t="s">
        <v>336</v>
      </c>
      <c r="D63" s="281">
        <f>(AF32/(D47-AF5))*AF38</f>
        <v>499.75857368335369</v>
      </c>
      <c r="E63" s="352">
        <f>D63/D64</f>
        <v>0.20835323575408074</v>
      </c>
      <c r="F63" s="353" t="s">
        <v>337</v>
      </c>
    </row>
    <row r="64" spans="1:32" x14ac:dyDescent="0.25">
      <c r="A64" s="775"/>
      <c r="C64" s="315" t="s">
        <v>338</v>
      </c>
      <c r="D64" s="281">
        <f>D62+D63</f>
        <v>2398.612010389983</v>
      </c>
      <c r="E64" s="351"/>
      <c r="F64" s="267" t="s">
        <v>339</v>
      </c>
    </row>
    <row r="65" spans="1:50" x14ac:dyDescent="0.25">
      <c r="A65" s="775"/>
      <c r="C65" s="354" t="s">
        <v>340</v>
      </c>
      <c r="D65" s="355">
        <f ca="1">D66/D67-1</f>
        <v>-0.45995741550939462</v>
      </c>
      <c r="E65" s="356"/>
      <c r="F65" s="353" t="s">
        <v>341</v>
      </c>
    </row>
    <row r="66" spans="1:50" x14ac:dyDescent="0.25">
      <c r="A66" s="776"/>
      <c r="C66" s="354" t="s">
        <v>342</v>
      </c>
      <c r="D66" s="357">
        <f ca="1">D64/OP!C8</f>
        <v>16.276883496546848</v>
      </c>
      <c r="E66" s="358"/>
      <c r="F66" s="353" t="s">
        <v>343</v>
      </c>
    </row>
    <row r="67" spans="1:50" x14ac:dyDescent="0.25">
      <c r="C67" s="354" t="s">
        <v>344</v>
      </c>
      <c r="D67" s="357">
        <f ca="1">OP!C7</f>
        <v>30.14</v>
      </c>
      <c r="E67" s="358"/>
      <c r="F67" s="353" t="s">
        <v>344</v>
      </c>
    </row>
    <row r="68" spans="1:50" x14ac:dyDescent="0.25">
      <c r="D68" s="382"/>
    </row>
    <row r="69" spans="1:50" x14ac:dyDescent="0.25">
      <c r="C69" s="359"/>
      <c r="D69" s="361"/>
      <c r="E69" s="383"/>
      <c r="AD69" s="268"/>
      <c r="AE69" s="268"/>
      <c r="AF69" s="268"/>
    </row>
    <row r="71" spans="1:50" s="440" customFormat="1" hidden="1" x14ac:dyDescent="0.25">
      <c r="A71" s="628" t="s">
        <v>439</v>
      </c>
      <c r="B71" s="627"/>
      <c r="C71" s="627"/>
      <c r="D71" s="627"/>
      <c r="E71" s="627"/>
      <c r="F71" s="627"/>
      <c r="G71" s="627"/>
      <c r="H71" s="627"/>
      <c r="I71" s="627"/>
      <c r="J71" s="627"/>
      <c r="K71" s="627"/>
      <c r="L71" s="627"/>
      <c r="M71" s="627"/>
      <c r="N71" s="627"/>
      <c r="O71" s="627"/>
      <c r="P71" s="627"/>
      <c r="Q71" s="627"/>
      <c r="R71" s="627"/>
      <c r="S71" s="627"/>
      <c r="T71" s="627"/>
      <c r="U71" s="627"/>
      <c r="V71" s="627"/>
      <c r="W71" s="627"/>
      <c r="X71" s="627"/>
      <c r="Y71" s="627"/>
      <c r="Z71" s="627"/>
      <c r="AA71" s="627"/>
      <c r="AB71" s="627"/>
      <c r="AC71" s="627"/>
      <c r="AD71" s="627"/>
      <c r="AE71" s="627"/>
      <c r="AF71" s="627"/>
      <c r="AG71" s="627"/>
      <c r="AH71" s="627"/>
      <c r="AI71" s="627"/>
      <c r="AJ71" s="627"/>
    </row>
    <row r="72" spans="1:50" hidden="1" x14ac:dyDescent="0.25">
      <c r="A72" s="589"/>
      <c r="B72" s="589"/>
      <c r="C72" s="589"/>
      <c r="D72" s="589"/>
      <c r="E72" s="589"/>
      <c r="F72" s="589"/>
      <c r="G72" s="589"/>
      <c r="H72" s="589"/>
      <c r="I72" s="589"/>
      <c r="J72" s="589"/>
      <c r="K72" s="589"/>
      <c r="L72" s="589"/>
      <c r="M72" s="589"/>
      <c r="N72" s="589"/>
      <c r="O72" s="589"/>
      <c r="P72" s="589"/>
      <c r="Q72" s="589"/>
      <c r="R72" s="589"/>
      <c r="S72" s="589"/>
      <c r="T72" s="589"/>
      <c r="U72" s="589"/>
      <c r="V72" s="589"/>
      <c r="W72" s="589"/>
      <c r="X72" s="589"/>
      <c r="Y72" s="589"/>
      <c r="Z72" s="589"/>
      <c r="AA72" s="589"/>
      <c r="AB72" s="589"/>
      <c r="AC72" s="589"/>
      <c r="AD72" s="589"/>
      <c r="AE72" s="589"/>
      <c r="AF72" s="589"/>
      <c r="AG72" s="589"/>
      <c r="AH72" s="589"/>
      <c r="AI72" s="589"/>
      <c r="AJ72" s="589"/>
      <c r="AM72" s="482"/>
      <c r="AN72" s="482"/>
      <c r="AO72"/>
      <c r="AP72"/>
      <c r="AQ72"/>
      <c r="AR72"/>
      <c r="AS72"/>
      <c r="AT72"/>
      <c r="AU72"/>
      <c r="AV72"/>
      <c r="AW72"/>
      <c r="AX72"/>
    </row>
    <row r="73" spans="1:50" hidden="1" x14ac:dyDescent="0.25">
      <c r="A73" s="589" t="s">
        <v>519</v>
      </c>
      <c r="B73" s="589"/>
      <c r="C73" s="589"/>
      <c r="D73" s="589"/>
      <c r="E73" s="589"/>
      <c r="F73" s="589"/>
      <c r="G73" s="589"/>
      <c r="H73" s="589"/>
      <c r="I73" s="589"/>
      <c r="J73" s="589"/>
      <c r="K73" s="589"/>
      <c r="L73" s="589"/>
      <c r="M73" s="589"/>
      <c r="N73" s="589"/>
      <c r="O73" s="589"/>
      <c r="P73" s="589"/>
      <c r="Q73" s="589"/>
      <c r="R73" s="589"/>
      <c r="S73" s="589"/>
      <c r="T73" s="589"/>
      <c r="U73" s="589"/>
      <c r="V73" s="589"/>
      <c r="W73" s="589"/>
      <c r="X73" s="589"/>
      <c r="Y73" s="589"/>
      <c r="Z73" s="589"/>
      <c r="AA73" s="589"/>
      <c r="AB73" s="589"/>
      <c r="AC73" s="589"/>
      <c r="AD73" s="589"/>
      <c r="AE73" s="589"/>
      <c r="AF73" s="589"/>
      <c r="AG73" s="589"/>
      <c r="AH73" s="589"/>
      <c r="AI73" s="589"/>
      <c r="AJ73" s="589"/>
      <c r="AM73" s="588"/>
      <c r="AN73" s="588"/>
      <c r="AO73"/>
      <c r="AP73"/>
      <c r="AQ73"/>
      <c r="AR73"/>
      <c r="AS73"/>
      <c r="AT73"/>
      <c r="AU73"/>
      <c r="AV73"/>
      <c r="AW73"/>
      <c r="AX73"/>
    </row>
    <row r="74" spans="1:50" hidden="1" x14ac:dyDescent="0.25">
      <c r="A74" s="589"/>
      <c r="B74" s="589"/>
      <c r="C74" s="589"/>
      <c r="D74" s="589"/>
      <c r="E74" s="589"/>
      <c r="F74" s="589"/>
      <c r="G74" s="589"/>
      <c r="H74" s="589"/>
      <c r="I74" s="589"/>
      <c r="J74" s="589"/>
      <c r="K74" s="589"/>
      <c r="L74" s="589"/>
      <c r="M74" s="589"/>
      <c r="N74" s="589"/>
      <c r="O74" s="589"/>
      <c r="P74" s="589"/>
      <c r="Q74" s="589"/>
      <c r="R74" s="589"/>
      <c r="S74" s="589"/>
      <c r="T74" s="589"/>
      <c r="U74" s="589"/>
      <c r="V74" s="589"/>
      <c r="W74" s="589"/>
      <c r="X74" s="589"/>
      <c r="Y74" s="589"/>
      <c r="Z74" s="589"/>
      <c r="AA74" s="589"/>
      <c r="AB74" s="589"/>
      <c r="AC74" s="589"/>
      <c r="AD74" s="589"/>
      <c r="AE74" s="589"/>
      <c r="AF74" s="589"/>
      <c r="AG74" s="589"/>
      <c r="AH74" s="589"/>
      <c r="AI74" s="589"/>
      <c r="AJ74" s="589"/>
      <c r="AM74" s="359"/>
      <c r="AN74" s="359"/>
      <c r="AO74"/>
      <c r="AP74"/>
      <c r="AQ74"/>
      <c r="AR74"/>
      <c r="AS74"/>
      <c r="AT74"/>
      <c r="AU74"/>
      <c r="AV74"/>
      <c r="AW74"/>
      <c r="AX74"/>
    </row>
    <row r="75" spans="1:50" hidden="1" x14ac:dyDescent="0.25">
      <c r="A75" s="589"/>
      <c r="B75" s="589"/>
      <c r="C75" s="589"/>
      <c r="D75" s="589"/>
      <c r="E75" s="589"/>
      <c r="F75" s="589"/>
      <c r="G75" s="589"/>
      <c r="H75" s="589"/>
      <c r="I75" s="589"/>
      <c r="J75" s="589"/>
      <c r="K75" s="589"/>
      <c r="L75" s="589"/>
      <c r="M75" s="589"/>
      <c r="N75" s="589"/>
      <c r="O75" s="589"/>
      <c r="P75" s="589"/>
      <c r="Q75" s="589"/>
      <c r="R75" s="589"/>
      <c r="S75" s="589"/>
      <c r="T75" s="589"/>
      <c r="U75" s="589"/>
      <c r="V75" s="589"/>
      <c r="W75" s="589"/>
      <c r="X75" s="589"/>
      <c r="Y75" s="589"/>
      <c r="Z75" s="589"/>
      <c r="AA75" s="589"/>
      <c r="AB75" s="589"/>
      <c r="AC75" s="589"/>
      <c r="AD75" s="589"/>
      <c r="AE75" s="589"/>
      <c r="AF75" s="589"/>
      <c r="AG75" s="589"/>
      <c r="AH75" s="589"/>
      <c r="AI75" s="589"/>
      <c r="AJ75" s="589"/>
    </row>
    <row r="76" spans="1:50" ht="15.75" hidden="1" thickBot="1" x14ac:dyDescent="0.3">
      <c r="A76" s="589"/>
      <c r="B76" s="589"/>
      <c r="C76" s="589"/>
      <c r="D76" s="589"/>
      <c r="E76" s="589"/>
      <c r="F76" s="589"/>
      <c r="G76" s="589"/>
      <c r="H76" s="589"/>
      <c r="I76" s="589"/>
      <c r="J76" s="589"/>
      <c r="K76" s="589"/>
      <c r="L76" s="589"/>
      <c r="M76" s="589"/>
      <c r="N76" s="589"/>
      <c r="O76" s="589"/>
      <c r="P76" s="589"/>
      <c r="Q76" s="589"/>
      <c r="R76" s="589"/>
      <c r="S76" s="589"/>
      <c r="T76" s="589"/>
      <c r="U76" s="589"/>
      <c r="V76" s="589"/>
      <c r="W76" s="589"/>
      <c r="X76" s="589"/>
      <c r="Y76" s="589"/>
      <c r="Z76" s="589"/>
      <c r="AA76" s="589"/>
      <c r="AB76" s="589"/>
      <c r="AC76" s="589"/>
      <c r="AD76" s="589"/>
      <c r="AE76" s="589"/>
      <c r="AF76" s="589"/>
      <c r="AG76" s="589"/>
      <c r="AH76" s="589"/>
      <c r="AI76" s="589"/>
      <c r="AJ76" s="589"/>
    </row>
    <row r="77" spans="1:50" ht="15.75" hidden="1" thickBot="1" x14ac:dyDescent="0.3">
      <c r="A77" s="589"/>
      <c r="B77" s="589"/>
      <c r="C77" s="589"/>
      <c r="D77" s="589"/>
      <c r="E77" s="590">
        <v>2020</v>
      </c>
      <c r="F77" s="591">
        <f>E77+1</f>
        <v>2021</v>
      </c>
      <c r="G77" s="591">
        <f t="shared" ref="G77:AG77" si="42">F77+1</f>
        <v>2022</v>
      </c>
      <c r="H77" s="591">
        <f t="shared" si="42"/>
        <v>2023</v>
      </c>
      <c r="I77" s="591">
        <f t="shared" si="42"/>
        <v>2024</v>
      </c>
      <c r="J77" s="591">
        <f t="shared" si="42"/>
        <v>2025</v>
      </c>
      <c r="K77" s="591">
        <f t="shared" si="42"/>
        <v>2026</v>
      </c>
      <c r="L77" s="591">
        <f t="shared" si="42"/>
        <v>2027</v>
      </c>
      <c r="M77" s="591">
        <f t="shared" si="42"/>
        <v>2028</v>
      </c>
      <c r="N77" s="591">
        <f t="shared" si="42"/>
        <v>2029</v>
      </c>
      <c r="O77" s="591">
        <f t="shared" si="42"/>
        <v>2030</v>
      </c>
      <c r="P77" s="591">
        <f t="shared" si="42"/>
        <v>2031</v>
      </c>
      <c r="Q77" s="591">
        <f t="shared" si="42"/>
        <v>2032</v>
      </c>
      <c r="R77" s="591">
        <f t="shared" si="42"/>
        <v>2033</v>
      </c>
      <c r="S77" s="591">
        <f t="shared" si="42"/>
        <v>2034</v>
      </c>
      <c r="T77" s="591">
        <f t="shared" si="42"/>
        <v>2035</v>
      </c>
      <c r="U77" s="591">
        <f t="shared" si="42"/>
        <v>2036</v>
      </c>
      <c r="V77" s="591">
        <f t="shared" si="42"/>
        <v>2037</v>
      </c>
      <c r="W77" s="591">
        <f t="shared" si="42"/>
        <v>2038</v>
      </c>
      <c r="X77" s="591">
        <f t="shared" si="42"/>
        <v>2039</v>
      </c>
      <c r="Y77" s="591">
        <f t="shared" si="42"/>
        <v>2040</v>
      </c>
      <c r="Z77" s="591">
        <f t="shared" si="42"/>
        <v>2041</v>
      </c>
      <c r="AA77" s="591">
        <f t="shared" si="42"/>
        <v>2042</v>
      </c>
      <c r="AB77" s="591">
        <f t="shared" si="42"/>
        <v>2043</v>
      </c>
      <c r="AC77" s="591">
        <f t="shared" si="42"/>
        <v>2044</v>
      </c>
      <c r="AD77" s="591">
        <f t="shared" si="42"/>
        <v>2045</v>
      </c>
      <c r="AE77" s="591">
        <f t="shared" si="42"/>
        <v>2046</v>
      </c>
      <c r="AF77" s="591">
        <f t="shared" si="42"/>
        <v>2047</v>
      </c>
      <c r="AG77" s="592">
        <f t="shared" si="42"/>
        <v>2048</v>
      </c>
      <c r="AH77" s="589"/>
      <c r="AI77" s="589"/>
      <c r="AJ77" s="589"/>
    </row>
    <row r="78" spans="1:50" hidden="1" x14ac:dyDescent="0.25">
      <c r="A78" s="589"/>
      <c r="B78" s="783" t="s">
        <v>520</v>
      </c>
      <c r="C78" s="784"/>
      <c r="D78" s="593" t="s">
        <v>448</v>
      </c>
      <c r="E78" s="594">
        <v>195170</v>
      </c>
      <c r="F78" s="594">
        <v>203500</v>
      </c>
      <c r="G78" s="594">
        <v>222000</v>
      </c>
      <c r="H78" s="594">
        <v>242000</v>
      </c>
      <c r="I78" s="594">
        <v>258500</v>
      </c>
      <c r="J78" s="595">
        <f>I78*(1+J88)</f>
        <v>275302.5</v>
      </c>
      <c r="K78" s="595">
        <f t="shared" ref="K78:AG81" si="43">J78*(1+K88)</f>
        <v>292660.32262500003</v>
      </c>
      <c r="L78" s="595">
        <f t="shared" si="43"/>
        <v>310558.98896626104</v>
      </c>
      <c r="M78" s="595">
        <f t="shared" si="43"/>
        <v>329192.52830423671</v>
      </c>
      <c r="N78" s="595">
        <f t="shared" si="43"/>
        <v>347956.50241757819</v>
      </c>
      <c r="O78" s="595">
        <f t="shared" si="43"/>
        <v>366798.34702349</v>
      </c>
      <c r="P78" s="595">
        <f t="shared" si="43"/>
        <v>385667.37099024589</v>
      </c>
      <c r="Q78" s="595">
        <f t="shared" si="43"/>
        <v>404515.08003580332</v>
      </c>
      <c r="R78" s="595">
        <f t="shared" si="43"/>
        <v>423295.44350758282</v>
      </c>
      <c r="S78" s="595">
        <f t="shared" si="43"/>
        <v>441965.10637923901</v>
      </c>
      <c r="T78" s="595">
        <f t="shared" si="43"/>
        <v>460483.54942063888</v>
      </c>
      <c r="U78" s="595">
        <f t="shared" si="43"/>
        <v>477848.48260773427</v>
      </c>
      <c r="V78" s="595">
        <f t="shared" si="43"/>
        <v>494066.27428787207</v>
      </c>
      <c r="W78" s="595">
        <f t="shared" si="43"/>
        <v>509157.66367969342</v>
      </c>
      <c r="X78" s="595">
        <f t="shared" si="43"/>
        <v>523154.78768486046</v>
      </c>
      <c r="Y78" s="595">
        <f t="shared" si="43"/>
        <v>536098.51153216686</v>
      </c>
      <c r="Z78" s="595">
        <f t="shared" si="43"/>
        <v>548036.08742063213</v>
      </c>
      <c r="AA78" s="595">
        <f t="shared" si="43"/>
        <v>559019.14373998903</v>
      </c>
      <c r="AB78" s="595">
        <f t="shared" si="43"/>
        <v>569101.99228263309</v>
      </c>
      <c r="AC78" s="595">
        <f t="shared" si="43"/>
        <v>578340.23095832777</v>
      </c>
      <c r="AD78" s="595">
        <f t="shared" si="43"/>
        <v>586789.61375020258</v>
      </c>
      <c r="AE78" s="595">
        <f t="shared" si="43"/>
        <v>594505.15698846313</v>
      </c>
      <c r="AF78" s="595">
        <f t="shared" si="43"/>
        <v>601540.45059790229</v>
      </c>
      <c r="AG78" s="595">
        <f t="shared" si="43"/>
        <v>607947.1440880202</v>
      </c>
      <c r="AH78" s="589"/>
      <c r="AI78" s="589"/>
      <c r="AJ78" s="589"/>
    </row>
    <row r="79" spans="1:50" ht="15.75" hidden="1" thickBot="1" x14ac:dyDescent="0.3">
      <c r="A79" s="589"/>
      <c r="B79" s="785"/>
      <c r="C79" s="786"/>
      <c r="D79" s="596" t="s">
        <v>449</v>
      </c>
      <c r="E79" s="597">
        <v>141330</v>
      </c>
      <c r="F79" s="597">
        <v>185000</v>
      </c>
      <c r="G79" s="597">
        <v>200000</v>
      </c>
      <c r="H79" s="597">
        <v>206900</v>
      </c>
      <c r="I79" s="597">
        <v>213500</v>
      </c>
      <c r="J79" s="598">
        <f>I79*(1+J89)</f>
        <v>220972.49999999997</v>
      </c>
      <c r="K79" s="598">
        <f t="shared" si="43"/>
        <v>228474.51637499995</v>
      </c>
      <c r="L79" s="598">
        <f t="shared" si="43"/>
        <v>235998.52491100327</v>
      </c>
      <c r="M79" s="598">
        <f t="shared" si="43"/>
        <v>243314.47918324434</v>
      </c>
      <c r="N79" s="598">
        <f t="shared" si="43"/>
        <v>250630.94557228452</v>
      </c>
      <c r="O79" s="598">
        <f t="shared" si="43"/>
        <v>257941.32392964236</v>
      </c>
      <c r="P79" s="598">
        <f t="shared" si="43"/>
        <v>265239.22246962233</v>
      </c>
      <c r="Q79" s="598">
        <f t="shared" si="43"/>
        <v>272518.46814367507</v>
      </c>
      <c r="R79" s="598">
        <f t="shared" si="43"/>
        <v>279773.11546170013</v>
      </c>
      <c r="S79" s="598">
        <f t="shared" si="43"/>
        <v>286997.45382195245</v>
      </c>
      <c r="T79" s="598">
        <f t="shared" si="43"/>
        <v>294186.01341665653</v>
      </c>
      <c r="U79" s="598">
        <f t="shared" si="43"/>
        <v>301186.19748850446</v>
      </c>
      <c r="V79" s="598">
        <f t="shared" si="43"/>
        <v>307994.61389804573</v>
      </c>
      <c r="W79" s="598">
        <f t="shared" si="43"/>
        <v>314608.82072677708</v>
      </c>
      <c r="X79" s="598">
        <f t="shared" si="43"/>
        <v>321027.25576006976</v>
      </c>
      <c r="Y79" s="598">
        <f t="shared" si="43"/>
        <v>327249.16635761649</v>
      </c>
      <c r="Z79" s="598">
        <f t="shared" si="43"/>
        <v>333274.54043001152</v>
      </c>
      <c r="AA79" s="598">
        <f t="shared" si="43"/>
        <v>339104.03911868599</v>
      </c>
      <c r="AB79" s="598">
        <f t="shared" si="43"/>
        <v>344738.93166515895</v>
      </c>
      <c r="AC79" s="598">
        <f t="shared" si="43"/>
        <v>350181.03285478003</v>
      </c>
      <c r="AD79" s="598">
        <f t="shared" si="43"/>
        <v>355432.64332988037</v>
      </c>
      <c r="AE79" s="598">
        <f t="shared" si="43"/>
        <v>360496.49298730597</v>
      </c>
      <c r="AF79" s="598">
        <f t="shared" si="43"/>
        <v>365375.68760529015</v>
      </c>
      <c r="AG79" s="598">
        <f>AF79*(1+AG89)</f>
        <v>370073.65878400096</v>
      </c>
      <c r="AH79" s="589"/>
      <c r="AI79" s="589"/>
      <c r="AJ79" s="589"/>
    </row>
    <row r="80" spans="1:50" ht="15" hidden="1" customHeight="1" x14ac:dyDescent="0.25">
      <c r="A80" s="589"/>
      <c r="B80" s="790" t="s">
        <v>521</v>
      </c>
      <c r="C80" s="791"/>
      <c r="D80" s="593" t="s">
        <v>448</v>
      </c>
      <c r="E80" s="594">
        <v>2739.1504841932674</v>
      </c>
      <c r="F80" s="594">
        <v>2655.5282555282556</v>
      </c>
      <c r="G80" s="594">
        <v>2765.3153153153153</v>
      </c>
      <c r="H80" s="594">
        <v>3233.8842975206612</v>
      </c>
      <c r="I80" s="594">
        <v>3254.1586073500966</v>
      </c>
      <c r="J80" s="595">
        <f>I80*(1+J90)</f>
        <v>3276.9377176015469</v>
      </c>
      <c r="K80" s="595">
        <f t="shared" si="43"/>
        <v>3299.8762816247572</v>
      </c>
      <c r="L80" s="595">
        <f t="shared" si="43"/>
        <v>3322.97541559613</v>
      </c>
      <c r="M80" s="595">
        <f t="shared" si="43"/>
        <v>3356.2051697520915</v>
      </c>
      <c r="N80" s="595">
        <f t="shared" si="43"/>
        <v>3389.7672214496124</v>
      </c>
      <c r="O80" s="595">
        <f t="shared" si="43"/>
        <v>3423.6648936641086</v>
      </c>
      <c r="P80" s="595">
        <f t="shared" si="43"/>
        <v>3457.9015426007495</v>
      </c>
      <c r="Q80" s="595">
        <f t="shared" si="43"/>
        <v>3492.4805580267571</v>
      </c>
      <c r="R80" s="595">
        <f t="shared" si="43"/>
        <v>3527.4053636070248</v>
      </c>
      <c r="S80" s="595">
        <f t="shared" si="43"/>
        <v>3562.679417243095</v>
      </c>
      <c r="T80" s="595">
        <f t="shared" si="43"/>
        <v>3598.3062114155259</v>
      </c>
      <c r="U80" s="595">
        <f t="shared" si="43"/>
        <v>3634.2892735296814</v>
      </c>
      <c r="V80" s="595">
        <f t="shared" si="43"/>
        <v>3670.6321662649784</v>
      </c>
      <c r="W80" s="595">
        <f t="shared" si="43"/>
        <v>3707.3384879276282</v>
      </c>
      <c r="X80" s="595">
        <f t="shared" si="43"/>
        <v>3744.4118728069043</v>
      </c>
      <c r="Y80" s="595">
        <f t="shared" si="43"/>
        <v>3791.2170212169904</v>
      </c>
      <c r="Z80" s="595">
        <f t="shared" si="43"/>
        <v>3838.6072339822026</v>
      </c>
      <c r="AA80" s="595">
        <f t="shared" si="43"/>
        <v>3886.5898244069799</v>
      </c>
      <c r="AB80" s="595">
        <f t="shared" si="43"/>
        <v>3935.1721972120672</v>
      </c>
      <c r="AC80" s="595">
        <f t="shared" si="43"/>
        <v>3984.3618496772178</v>
      </c>
      <c r="AD80" s="595">
        <f t="shared" si="43"/>
        <v>4034.1663727981827</v>
      </c>
      <c r="AE80" s="595">
        <f t="shared" si="43"/>
        <v>4084.5934524581598</v>
      </c>
      <c r="AF80" s="595">
        <f t="shared" si="43"/>
        <v>4135.6508706138866</v>
      </c>
      <c r="AG80" s="595">
        <f t="shared" si="43"/>
        <v>4197.6856336730943</v>
      </c>
      <c r="AH80" s="589"/>
      <c r="AI80" s="589"/>
      <c r="AJ80" s="589"/>
    </row>
    <row r="81" spans="1:36" ht="15.75" hidden="1" thickBot="1" x14ac:dyDescent="0.3">
      <c r="A81" s="589"/>
      <c r="B81" s="792"/>
      <c r="C81" s="793"/>
      <c r="D81" s="596" t="s">
        <v>449</v>
      </c>
      <c r="E81" s="597">
        <v>3408.6888841717964</v>
      </c>
      <c r="F81" s="597">
        <v>2903.2432432432433</v>
      </c>
      <c r="G81" s="597">
        <v>3121</v>
      </c>
      <c r="H81" s="597">
        <v>3391.493475108748</v>
      </c>
      <c r="I81" s="597">
        <v>3396.7213114754099</v>
      </c>
      <c r="J81" s="598">
        <f>I81*(1+J91)</f>
        <v>3410.3081967213116</v>
      </c>
      <c r="K81" s="598">
        <f t="shared" si="43"/>
        <v>3423.9494295081968</v>
      </c>
      <c r="L81" s="598">
        <f t="shared" si="43"/>
        <v>3437.6452272262295</v>
      </c>
      <c r="M81" s="598">
        <f t="shared" si="43"/>
        <v>3454.8334533623602</v>
      </c>
      <c r="N81" s="598">
        <f t="shared" si="43"/>
        <v>3472.1076206291714</v>
      </c>
      <c r="O81" s="598">
        <f t="shared" si="43"/>
        <v>3489.4681587323171</v>
      </c>
      <c r="P81" s="598">
        <f t="shared" si="43"/>
        <v>3506.9154995259782</v>
      </c>
      <c r="Q81" s="598">
        <f t="shared" si="43"/>
        <v>3524.4500770236077</v>
      </c>
      <c r="R81" s="598">
        <f t="shared" si="43"/>
        <v>3542.0723274087254</v>
      </c>
      <c r="S81" s="598">
        <f t="shared" si="43"/>
        <v>3559.7826890457686</v>
      </c>
      <c r="T81" s="598">
        <f t="shared" si="43"/>
        <v>3577.5816024909973</v>
      </c>
      <c r="U81" s="598">
        <f t="shared" si="43"/>
        <v>3595.4695105034521</v>
      </c>
      <c r="V81" s="598">
        <f t="shared" si="43"/>
        <v>3613.4468580559687</v>
      </c>
      <c r="W81" s="598">
        <f t="shared" si="43"/>
        <v>3631.5140923462482</v>
      </c>
      <c r="X81" s="598">
        <f t="shared" si="43"/>
        <v>3649.6716628079789</v>
      </c>
      <c r="Y81" s="598">
        <f t="shared" si="43"/>
        <v>3686.1683794360588</v>
      </c>
      <c r="Z81" s="598">
        <f t="shared" si="43"/>
        <v>3723.0300632304193</v>
      </c>
      <c r="AA81" s="598">
        <f t="shared" si="43"/>
        <v>3760.2603638627234</v>
      </c>
      <c r="AB81" s="598">
        <f t="shared" si="43"/>
        <v>3797.8629675013508</v>
      </c>
      <c r="AC81" s="598">
        <f t="shared" si="43"/>
        <v>3835.8415971763643</v>
      </c>
      <c r="AD81" s="598">
        <f t="shared" si="43"/>
        <v>3874.2000131481282</v>
      </c>
      <c r="AE81" s="598">
        <f t="shared" si="43"/>
        <v>3912.9420132796095</v>
      </c>
      <c r="AF81" s="598">
        <f t="shared" si="43"/>
        <v>3952.0714334124054</v>
      </c>
      <c r="AG81" s="598">
        <f t="shared" si="43"/>
        <v>3991.5921477465295</v>
      </c>
      <c r="AH81" s="589"/>
      <c r="AI81" s="589"/>
      <c r="AJ81" s="589"/>
    </row>
    <row r="82" spans="1:36" ht="15.75" hidden="1" thickBot="1" x14ac:dyDescent="0.3">
      <c r="A82" s="589"/>
      <c r="B82" s="787" t="s">
        <v>518</v>
      </c>
      <c r="C82" s="788"/>
      <c r="D82" s="599" t="s">
        <v>309</v>
      </c>
      <c r="E82" s="600">
        <v>1025</v>
      </c>
      <c r="F82" s="600">
        <v>1086.7</v>
      </c>
      <c r="G82" s="600">
        <v>1242.2</v>
      </c>
      <c r="H82" s="600">
        <v>1484.3000000000002</v>
      </c>
      <c r="I82" s="600">
        <v>1566.6000000000001</v>
      </c>
      <c r="J82" s="601">
        <f>(J78*J80+J79*J81)/10^6</f>
        <v>1655.7334739999997</v>
      </c>
      <c r="K82" s="601">
        <f t="shared" ref="K82:AG82" si="44">(K78*K80+K79*K81)/10^6</f>
        <v>1748.0280472022291</v>
      </c>
      <c r="L82" s="601">
        <f t="shared" si="44"/>
        <v>1843.2590882200161</v>
      </c>
      <c r="M82" s="601">
        <f t="shared" si="44"/>
        <v>1945.4486677081529</v>
      </c>
      <c r="N82" s="601">
        <f t="shared" si="44"/>
        <v>2049.7091624723835</v>
      </c>
      <c r="O82" s="601">
        <f t="shared" si="44"/>
        <v>2155.8726604320932</v>
      </c>
      <c r="P82" s="601">
        <f t="shared" si="44"/>
        <v>2263.7713374388845</v>
      </c>
      <c r="Q82" s="601">
        <f t="shared" si="44"/>
        <v>2373.2387884930117</v>
      </c>
      <c r="R82" s="601">
        <f t="shared" si="44"/>
        <v>2484.1112280488765</v>
      </c>
      <c r="S82" s="601">
        <f t="shared" si="44"/>
        <v>2596.2285555525687</v>
      </c>
      <c r="T82" s="601">
        <f t="shared" si="44"/>
        <v>2709.4352854445533</v>
      </c>
      <c r="U82" s="601">
        <f t="shared" si="44"/>
        <v>2819.5454047681123</v>
      </c>
      <c r="V82" s="601">
        <f t="shared" si="44"/>
        <v>2926.4577285558139</v>
      </c>
      <c r="W82" s="601">
        <f t="shared" si="44"/>
        <v>3030.1261690287638</v>
      </c>
      <c r="X82" s="601">
        <f t="shared" si="44"/>
        <v>3130.551076659503</v>
      </c>
      <c r="Y82" s="601">
        <f t="shared" si="44"/>
        <v>3238.7613311941004</v>
      </c>
      <c r="Z82" s="601">
        <f t="shared" si="44"/>
        <v>3344.4864229863756</v>
      </c>
      <c r="AA82" s="601">
        <f t="shared" si="44"/>
        <v>3447.7975932322938</v>
      </c>
      <c r="AB82" s="601">
        <f t="shared" si="44"/>
        <v>3548.7855594357006</v>
      </c>
      <c r="AC82" s="601">
        <f t="shared" si="44"/>
        <v>3647.55572473042</v>
      </c>
      <c r="AD82" s="601">
        <f t="shared" si="44"/>
        <v>3744.2240791601976</v>
      </c>
      <c r="AE82" s="601">
        <f t="shared" si="44"/>
        <v>3838.9137447376747</v>
      </c>
      <c r="AF82" s="601">
        <f t="shared" si="44"/>
        <v>3931.7521056729665</v>
      </c>
      <c r="AG82" s="602">
        <f t="shared" si="44"/>
        <v>4029.1541032609157</v>
      </c>
      <c r="AH82" s="589"/>
      <c r="AI82" s="589"/>
      <c r="AJ82" s="589"/>
    </row>
    <row r="83" spans="1:36" hidden="1" x14ac:dyDescent="0.25">
      <c r="A83" s="589"/>
      <c r="B83" s="603"/>
      <c r="C83" s="603"/>
      <c r="D83" s="604"/>
      <c r="E83" s="589"/>
      <c r="F83" s="589"/>
      <c r="G83" s="589"/>
      <c r="H83" s="589"/>
      <c r="I83" s="589"/>
      <c r="J83" s="589"/>
      <c r="K83" s="589"/>
      <c r="L83" s="589"/>
      <c r="M83" s="589"/>
      <c r="N83" s="589"/>
      <c r="O83" s="589"/>
      <c r="P83" s="589"/>
      <c r="Q83" s="589"/>
      <c r="R83" s="589"/>
      <c r="S83" s="589"/>
      <c r="T83" s="589"/>
      <c r="U83" s="589"/>
      <c r="V83" s="589"/>
      <c r="W83" s="589"/>
      <c r="X83" s="589"/>
      <c r="Y83" s="589"/>
      <c r="Z83" s="589"/>
      <c r="AA83" s="589"/>
      <c r="AB83" s="589"/>
      <c r="AC83" s="589"/>
      <c r="AD83" s="589"/>
      <c r="AE83" s="589"/>
      <c r="AF83" s="589"/>
      <c r="AG83" s="589"/>
      <c r="AH83" s="589"/>
      <c r="AI83" s="589"/>
      <c r="AJ83" s="589"/>
    </row>
    <row r="84" spans="1:36" hidden="1" x14ac:dyDescent="0.25">
      <c r="A84" s="589"/>
      <c r="B84" s="603"/>
      <c r="C84" s="603"/>
      <c r="D84" s="589"/>
      <c r="E84" s="589"/>
      <c r="F84" s="589"/>
      <c r="G84" s="589"/>
      <c r="H84" s="589"/>
      <c r="I84" s="589"/>
      <c r="J84" s="589"/>
      <c r="K84" s="589"/>
      <c r="L84" s="589"/>
      <c r="M84" s="589"/>
      <c r="N84" s="589"/>
      <c r="O84" s="589"/>
      <c r="P84" s="589"/>
      <c r="Q84" s="589"/>
      <c r="R84" s="589"/>
      <c r="S84" s="589"/>
      <c r="T84" s="589"/>
      <c r="U84" s="589"/>
      <c r="V84" s="589"/>
      <c r="W84" s="589"/>
      <c r="X84" s="589"/>
      <c r="Y84" s="589"/>
      <c r="Z84" s="589"/>
      <c r="AA84" s="589"/>
      <c r="AB84" s="589"/>
      <c r="AC84" s="589"/>
      <c r="AD84" s="589"/>
      <c r="AE84" s="589"/>
      <c r="AF84" s="589"/>
      <c r="AG84" s="589"/>
      <c r="AH84" s="589"/>
      <c r="AI84" s="589"/>
      <c r="AJ84" s="589"/>
    </row>
    <row r="85" spans="1:36" hidden="1" x14ac:dyDescent="0.25">
      <c r="A85" s="589"/>
      <c r="B85" s="589"/>
      <c r="C85" s="589"/>
      <c r="D85" s="589"/>
      <c r="E85" s="589"/>
      <c r="F85" s="589"/>
      <c r="G85" s="589"/>
      <c r="H85" s="589"/>
      <c r="I85" s="589"/>
      <c r="J85" s="589"/>
      <c r="K85" s="589"/>
      <c r="L85" s="589"/>
      <c r="M85" s="589"/>
      <c r="N85" s="589"/>
      <c r="O85" s="589"/>
      <c r="P85" s="589"/>
      <c r="Q85" s="589"/>
      <c r="R85" s="589"/>
      <c r="S85" s="589"/>
      <c r="T85" s="589"/>
      <c r="U85" s="589"/>
      <c r="V85" s="589"/>
      <c r="W85" s="589"/>
      <c r="X85" s="589"/>
      <c r="Y85" s="589"/>
      <c r="Z85" s="589"/>
      <c r="AA85" s="589"/>
      <c r="AB85" s="589"/>
      <c r="AC85" s="589"/>
      <c r="AD85" s="589"/>
      <c r="AE85" s="589"/>
      <c r="AF85" s="589"/>
      <c r="AG85" s="589"/>
      <c r="AH85" s="589"/>
      <c r="AI85" s="589"/>
      <c r="AJ85" s="589"/>
    </row>
    <row r="86" spans="1:36" ht="15.75" hidden="1" thickBot="1" x14ac:dyDescent="0.3">
      <c r="A86" s="589" t="s">
        <v>522</v>
      </c>
      <c r="B86" s="589"/>
      <c r="C86" s="589"/>
      <c r="D86" s="589"/>
      <c r="E86" s="589"/>
      <c r="F86" s="589"/>
      <c r="G86" s="589"/>
      <c r="H86" s="589"/>
      <c r="I86" s="589"/>
      <c r="J86" s="589"/>
      <c r="K86" s="589"/>
      <c r="L86" s="589"/>
      <c r="M86" s="589"/>
      <c r="N86" s="589"/>
      <c r="O86" s="589"/>
      <c r="P86" s="589"/>
      <c r="Q86" s="589"/>
      <c r="R86" s="589"/>
      <c r="S86" s="589"/>
      <c r="T86" s="589"/>
      <c r="U86" s="589"/>
      <c r="V86" s="589"/>
      <c r="W86" s="589"/>
      <c r="X86" s="589"/>
      <c r="Y86" s="589"/>
      <c r="Z86" s="589"/>
      <c r="AA86" s="589"/>
      <c r="AB86" s="589"/>
      <c r="AC86" s="589"/>
      <c r="AD86" s="589"/>
      <c r="AE86" s="589"/>
      <c r="AF86" s="589"/>
      <c r="AG86" s="589"/>
      <c r="AH86" s="589"/>
      <c r="AI86" s="589"/>
      <c r="AJ86" s="589"/>
    </row>
    <row r="87" spans="1:36" ht="15.75" hidden="1" thickBot="1" x14ac:dyDescent="0.3">
      <c r="A87" s="589"/>
      <c r="B87" s="589"/>
      <c r="C87" s="589"/>
      <c r="D87" s="589"/>
      <c r="E87" s="590">
        <v>2020</v>
      </c>
      <c r="F87" s="591">
        <f>E87+1</f>
        <v>2021</v>
      </c>
      <c r="G87" s="591">
        <f t="shared" ref="G87:AG87" si="45">F87+1</f>
        <v>2022</v>
      </c>
      <c r="H87" s="591">
        <f t="shared" si="45"/>
        <v>2023</v>
      </c>
      <c r="I87" s="591">
        <f t="shared" si="45"/>
        <v>2024</v>
      </c>
      <c r="J87" s="591">
        <f t="shared" si="45"/>
        <v>2025</v>
      </c>
      <c r="K87" s="605">
        <f t="shared" si="45"/>
        <v>2026</v>
      </c>
      <c r="L87" s="591">
        <f t="shared" si="45"/>
        <v>2027</v>
      </c>
      <c r="M87" s="591">
        <f t="shared" si="45"/>
        <v>2028</v>
      </c>
      <c r="N87" s="591">
        <f t="shared" si="45"/>
        <v>2029</v>
      </c>
      <c r="O87" s="591">
        <f t="shared" si="45"/>
        <v>2030</v>
      </c>
      <c r="P87" s="591">
        <f t="shared" si="45"/>
        <v>2031</v>
      </c>
      <c r="Q87" s="591">
        <f t="shared" si="45"/>
        <v>2032</v>
      </c>
      <c r="R87" s="591">
        <f t="shared" si="45"/>
        <v>2033</v>
      </c>
      <c r="S87" s="591">
        <f t="shared" si="45"/>
        <v>2034</v>
      </c>
      <c r="T87" s="591">
        <f t="shared" si="45"/>
        <v>2035</v>
      </c>
      <c r="U87" s="591">
        <f t="shared" si="45"/>
        <v>2036</v>
      </c>
      <c r="V87" s="591">
        <f t="shared" si="45"/>
        <v>2037</v>
      </c>
      <c r="W87" s="591">
        <f t="shared" si="45"/>
        <v>2038</v>
      </c>
      <c r="X87" s="591">
        <f t="shared" si="45"/>
        <v>2039</v>
      </c>
      <c r="Y87" s="591">
        <f t="shared" si="45"/>
        <v>2040</v>
      </c>
      <c r="Z87" s="591">
        <f t="shared" si="45"/>
        <v>2041</v>
      </c>
      <c r="AA87" s="591">
        <f t="shared" si="45"/>
        <v>2042</v>
      </c>
      <c r="AB87" s="591">
        <f t="shared" si="45"/>
        <v>2043</v>
      </c>
      <c r="AC87" s="591">
        <f t="shared" si="45"/>
        <v>2044</v>
      </c>
      <c r="AD87" s="591">
        <f t="shared" si="45"/>
        <v>2045</v>
      </c>
      <c r="AE87" s="591">
        <f t="shared" si="45"/>
        <v>2046</v>
      </c>
      <c r="AF87" s="591">
        <f t="shared" si="45"/>
        <v>2047</v>
      </c>
      <c r="AG87" s="592">
        <f t="shared" si="45"/>
        <v>2048</v>
      </c>
      <c r="AH87" s="589"/>
      <c r="AI87" s="589"/>
      <c r="AJ87" s="589"/>
    </row>
    <row r="88" spans="1:36" hidden="1" x14ac:dyDescent="0.25">
      <c r="A88" s="589"/>
      <c r="B88" s="789" t="s">
        <v>523</v>
      </c>
      <c r="C88" s="784"/>
      <c r="D88" s="593" t="s">
        <v>448</v>
      </c>
      <c r="E88" s="606" t="s">
        <v>422</v>
      </c>
      <c r="F88" s="607">
        <v>4.2680739867807516E-2</v>
      </c>
      <c r="G88" s="607">
        <v>9.0909090909090828E-2</v>
      </c>
      <c r="H88" s="607">
        <v>9.0090090090090058E-2</v>
      </c>
      <c r="I88" s="607">
        <v>6.8181818181818121E-2</v>
      </c>
      <c r="J88" s="608">
        <v>6.5000000000000002E-2</v>
      </c>
      <c r="K88" s="609">
        <f>J88*0.97</f>
        <v>6.3049999999999995E-2</v>
      </c>
      <c r="L88" s="610">
        <f>K88*0.97</f>
        <v>6.1158499999999991E-2</v>
      </c>
      <c r="M88" s="611">
        <v>0.06</v>
      </c>
      <c r="N88" s="612">
        <f>M88*0.95</f>
        <v>5.6999999999999995E-2</v>
      </c>
      <c r="O88" s="612">
        <f t="shared" ref="O88:T88" si="46">N88*0.95</f>
        <v>5.414999999999999E-2</v>
      </c>
      <c r="P88" s="612">
        <f t="shared" si="46"/>
        <v>5.1442499999999988E-2</v>
      </c>
      <c r="Q88" s="612">
        <f t="shared" si="46"/>
        <v>4.8870374999999987E-2</v>
      </c>
      <c r="R88" s="612">
        <f t="shared" si="46"/>
        <v>4.6426856249999988E-2</v>
      </c>
      <c r="S88" s="612">
        <f t="shared" si="46"/>
        <v>4.4105513437499987E-2</v>
      </c>
      <c r="T88" s="612">
        <f t="shared" si="46"/>
        <v>4.1900237765624987E-2</v>
      </c>
      <c r="U88" s="612">
        <f>T88*0.9</f>
        <v>3.7710213989062491E-2</v>
      </c>
      <c r="V88" s="612">
        <f t="shared" ref="V88:AG88" si="47">U88*0.9</f>
        <v>3.3939192590156243E-2</v>
      </c>
      <c r="W88" s="612">
        <f t="shared" si="47"/>
        <v>3.054527333114062E-2</v>
      </c>
      <c r="X88" s="612">
        <f t="shared" si="47"/>
        <v>2.7490745998026558E-2</v>
      </c>
      <c r="Y88" s="612">
        <f t="shared" si="47"/>
        <v>2.4741671398223902E-2</v>
      </c>
      <c r="Z88" s="612">
        <f t="shared" si="47"/>
        <v>2.2267504258401512E-2</v>
      </c>
      <c r="AA88" s="612">
        <f t="shared" si="47"/>
        <v>2.0040753832561362E-2</v>
      </c>
      <c r="AB88" s="612">
        <f t="shared" si="47"/>
        <v>1.8036678449305225E-2</v>
      </c>
      <c r="AC88" s="612">
        <f t="shared" si="47"/>
        <v>1.6233010604374702E-2</v>
      </c>
      <c r="AD88" s="612">
        <f t="shared" si="47"/>
        <v>1.4609709543937232E-2</v>
      </c>
      <c r="AE88" s="612">
        <f t="shared" si="47"/>
        <v>1.314873858954351E-2</v>
      </c>
      <c r="AF88" s="612">
        <f t="shared" si="47"/>
        <v>1.1833864730589158E-2</v>
      </c>
      <c r="AG88" s="612">
        <f t="shared" si="47"/>
        <v>1.0650478257530243E-2</v>
      </c>
      <c r="AH88" s="589"/>
      <c r="AI88" s="589"/>
      <c r="AJ88" s="589"/>
    </row>
    <row r="89" spans="1:36" ht="15.75" hidden="1" thickBot="1" x14ac:dyDescent="0.3">
      <c r="A89" s="589"/>
      <c r="B89" s="785"/>
      <c r="C89" s="786"/>
      <c r="D89" s="596" t="s">
        <v>449</v>
      </c>
      <c r="E89" s="613" t="s">
        <v>422</v>
      </c>
      <c r="F89" s="614">
        <v>0.30899313663058092</v>
      </c>
      <c r="G89" s="614">
        <v>8.1081081081081141E-2</v>
      </c>
      <c r="H89" s="614">
        <v>3.4499999999999975E-2</v>
      </c>
      <c r="I89" s="614">
        <v>3.1899468342194259E-2</v>
      </c>
      <c r="J89" s="615">
        <v>3.5000000000000003E-2</v>
      </c>
      <c r="K89" s="616">
        <f>J89*0.97</f>
        <v>3.3950000000000001E-2</v>
      </c>
      <c r="L89" s="616">
        <f>K89*0.97</f>
        <v>3.2931500000000002E-2</v>
      </c>
      <c r="M89" s="617">
        <v>3.1E-2</v>
      </c>
      <c r="N89" s="615">
        <f>M89*0.97</f>
        <v>3.007E-2</v>
      </c>
      <c r="O89" s="615">
        <f t="shared" ref="O89:T89" si="48">N89*0.97</f>
        <v>2.91679E-2</v>
      </c>
      <c r="P89" s="615">
        <f t="shared" si="48"/>
        <v>2.8292862999999998E-2</v>
      </c>
      <c r="Q89" s="615">
        <f t="shared" si="48"/>
        <v>2.7444077109999996E-2</v>
      </c>
      <c r="R89" s="615">
        <f t="shared" si="48"/>
        <v>2.6620754796699994E-2</v>
      </c>
      <c r="S89" s="615">
        <f t="shared" si="48"/>
        <v>2.5822132152798993E-2</v>
      </c>
      <c r="T89" s="615">
        <f t="shared" si="48"/>
        <v>2.5047468188215023E-2</v>
      </c>
      <c r="U89" s="615">
        <f>T89*0.95</f>
        <v>2.379509477880427E-2</v>
      </c>
      <c r="V89" s="615">
        <f t="shared" ref="V89:AG89" si="49">U89*0.95</f>
        <v>2.2605340039864055E-2</v>
      </c>
      <c r="W89" s="615">
        <f t="shared" si="49"/>
        <v>2.147507303787085E-2</v>
      </c>
      <c r="X89" s="615">
        <f t="shared" si="49"/>
        <v>2.0401319385977307E-2</v>
      </c>
      <c r="Y89" s="615">
        <f t="shared" si="49"/>
        <v>1.9381253416678439E-2</v>
      </c>
      <c r="Z89" s="615">
        <f t="shared" si="49"/>
        <v>1.8412190745844517E-2</v>
      </c>
      <c r="AA89" s="615">
        <f t="shared" si="49"/>
        <v>1.7491581208552289E-2</v>
      </c>
      <c r="AB89" s="615">
        <f t="shared" si="49"/>
        <v>1.6617002148124674E-2</v>
      </c>
      <c r="AC89" s="615">
        <f t="shared" si="49"/>
        <v>1.578615204071844E-2</v>
      </c>
      <c r="AD89" s="615">
        <f t="shared" si="49"/>
        <v>1.4996844438682518E-2</v>
      </c>
      <c r="AE89" s="615">
        <f t="shared" si="49"/>
        <v>1.4247002216748392E-2</v>
      </c>
      <c r="AF89" s="615">
        <f t="shared" si="49"/>
        <v>1.3534652105910972E-2</v>
      </c>
      <c r="AG89" s="615">
        <f t="shared" si="49"/>
        <v>1.2857919500615423E-2</v>
      </c>
      <c r="AH89" s="589"/>
      <c r="AI89" s="589"/>
      <c r="AJ89" s="589"/>
    </row>
    <row r="90" spans="1:36" ht="15" hidden="1" customHeight="1" x14ac:dyDescent="0.25">
      <c r="A90" s="589"/>
      <c r="B90" s="790" t="s">
        <v>524</v>
      </c>
      <c r="C90" s="791"/>
      <c r="D90" s="593" t="s">
        <v>448</v>
      </c>
      <c r="E90" s="606" t="s">
        <v>422</v>
      </c>
      <c r="F90" s="607">
        <f>F80/E80-1</f>
        <v>-3.0528526690142832E-2</v>
      </c>
      <c r="G90" s="607">
        <f t="shared" ref="G90:I92" si="50">G80/F80-1</f>
        <v>4.1342832469775326E-2</v>
      </c>
      <c r="H90" s="607">
        <f t="shared" si="50"/>
        <v>0.16944504650527259</v>
      </c>
      <c r="I90" s="607">
        <f t="shared" si="50"/>
        <v>6.2693367987776139E-3</v>
      </c>
      <c r="J90" s="618">
        <v>7.0000000000000001E-3</v>
      </c>
      <c r="K90" s="618">
        <v>7.0000000000000001E-3</v>
      </c>
      <c r="L90" s="618">
        <v>7.0000000000000001E-3</v>
      </c>
      <c r="M90" s="618">
        <v>0.01</v>
      </c>
      <c r="N90" s="618">
        <v>0.01</v>
      </c>
      <c r="O90" s="618">
        <v>0.01</v>
      </c>
      <c r="P90" s="618">
        <v>0.01</v>
      </c>
      <c r="Q90" s="618">
        <v>0.01</v>
      </c>
      <c r="R90" s="618">
        <v>0.01</v>
      </c>
      <c r="S90" s="618">
        <v>0.01</v>
      </c>
      <c r="T90" s="618">
        <v>0.01</v>
      </c>
      <c r="U90" s="618">
        <v>0.01</v>
      </c>
      <c r="V90" s="618">
        <v>0.01</v>
      </c>
      <c r="W90" s="618">
        <v>0.01</v>
      </c>
      <c r="X90" s="618">
        <v>0.01</v>
      </c>
      <c r="Y90" s="608">
        <v>1.2500000000000001E-2</v>
      </c>
      <c r="Z90" s="608">
        <v>1.2500000000000001E-2</v>
      </c>
      <c r="AA90" s="608">
        <v>1.2500000000000001E-2</v>
      </c>
      <c r="AB90" s="608">
        <v>1.2500000000000001E-2</v>
      </c>
      <c r="AC90" s="608">
        <v>1.2500000000000001E-2</v>
      </c>
      <c r="AD90" s="608">
        <v>1.2500000000000001E-2</v>
      </c>
      <c r="AE90" s="608">
        <v>1.2500000000000001E-2</v>
      </c>
      <c r="AF90" s="608">
        <v>1.2500000000000001E-2</v>
      </c>
      <c r="AG90" s="608">
        <v>1.4999999999999999E-2</v>
      </c>
      <c r="AH90" s="589"/>
      <c r="AI90" s="589"/>
      <c r="AJ90" s="589"/>
    </row>
    <row r="91" spans="1:36" ht="15.75" hidden="1" thickBot="1" x14ac:dyDescent="0.3">
      <c r="A91" s="589"/>
      <c r="B91" s="792"/>
      <c r="C91" s="793"/>
      <c r="D91" s="596" t="s">
        <v>449</v>
      </c>
      <c r="E91" s="613" t="s">
        <v>422</v>
      </c>
      <c r="F91" s="614">
        <f>F81/E81-1</f>
        <v>-0.14828154111558367</v>
      </c>
      <c r="G91" s="614">
        <f t="shared" si="50"/>
        <v>7.5004654626698919E-2</v>
      </c>
      <c r="H91" s="614">
        <f t="shared" si="50"/>
        <v>8.6668848160444734E-2</v>
      </c>
      <c r="I91" s="614">
        <f t="shared" si="50"/>
        <v>1.5414555283772557E-3</v>
      </c>
      <c r="J91" s="615">
        <v>4.0000000000000001E-3</v>
      </c>
      <c r="K91" s="615">
        <v>4.0000000000000001E-3</v>
      </c>
      <c r="L91" s="615">
        <v>4.0000000000000001E-3</v>
      </c>
      <c r="M91" s="615">
        <f>0.5%</f>
        <v>5.0000000000000001E-3</v>
      </c>
      <c r="N91" s="615">
        <f t="shared" ref="N91:X91" si="51">0.5%</f>
        <v>5.0000000000000001E-3</v>
      </c>
      <c r="O91" s="615">
        <f t="shared" si="51"/>
        <v>5.0000000000000001E-3</v>
      </c>
      <c r="P91" s="615">
        <f t="shared" si="51"/>
        <v>5.0000000000000001E-3</v>
      </c>
      <c r="Q91" s="615">
        <f>0.5%</f>
        <v>5.0000000000000001E-3</v>
      </c>
      <c r="R91" s="615">
        <f t="shared" si="51"/>
        <v>5.0000000000000001E-3</v>
      </c>
      <c r="S91" s="615">
        <f t="shared" si="51"/>
        <v>5.0000000000000001E-3</v>
      </c>
      <c r="T91" s="615">
        <f>0.5%</f>
        <v>5.0000000000000001E-3</v>
      </c>
      <c r="U91" s="615">
        <f t="shared" si="51"/>
        <v>5.0000000000000001E-3</v>
      </c>
      <c r="V91" s="615">
        <f>0.5%</f>
        <v>5.0000000000000001E-3</v>
      </c>
      <c r="W91" s="615">
        <f t="shared" si="51"/>
        <v>5.0000000000000001E-3</v>
      </c>
      <c r="X91" s="619">
        <f t="shared" si="51"/>
        <v>5.0000000000000001E-3</v>
      </c>
      <c r="Y91" s="620">
        <v>0.01</v>
      </c>
      <c r="Z91" s="620">
        <v>0.01</v>
      </c>
      <c r="AA91" s="620">
        <v>0.01</v>
      </c>
      <c r="AB91" s="620">
        <v>0.01</v>
      </c>
      <c r="AC91" s="620">
        <v>0.01</v>
      </c>
      <c r="AD91" s="620">
        <v>0.01</v>
      </c>
      <c r="AE91" s="620">
        <v>0.01</v>
      </c>
      <c r="AF91" s="620">
        <v>0.01</v>
      </c>
      <c r="AG91" s="621">
        <v>0.01</v>
      </c>
      <c r="AH91" s="589"/>
      <c r="AI91" s="589"/>
      <c r="AJ91" s="589"/>
    </row>
    <row r="92" spans="1:36" ht="15.75" hidden="1" thickBot="1" x14ac:dyDescent="0.3">
      <c r="A92" s="589"/>
      <c r="B92" s="787" t="s">
        <v>525</v>
      </c>
      <c r="C92" s="788"/>
      <c r="D92" s="599" t="s">
        <v>309</v>
      </c>
      <c r="E92" s="622" t="s">
        <v>422</v>
      </c>
      <c r="F92" s="623">
        <f>F82/E82-1</f>
        <v>6.0195121951219566E-2</v>
      </c>
      <c r="G92" s="623">
        <f t="shared" si="50"/>
        <v>0.14309377012975055</v>
      </c>
      <c r="H92" s="623">
        <f t="shared" si="50"/>
        <v>0.19489615198840782</v>
      </c>
      <c r="I92" s="623">
        <f t="shared" si="50"/>
        <v>5.5447012059556711E-2</v>
      </c>
      <c r="J92" s="624">
        <f>J82/I82-1</f>
        <v>5.6896127920336825E-2</v>
      </c>
      <c r="K92" s="624">
        <f t="shared" ref="K92:AE92" si="52">K82/J82-1</f>
        <v>5.5742409422489869E-2</v>
      </c>
      <c r="L92" s="624">
        <f t="shared" si="52"/>
        <v>5.447912644777464E-2</v>
      </c>
      <c r="M92" s="624">
        <f t="shared" si="52"/>
        <v>5.5439617870984392E-2</v>
      </c>
      <c r="N92" s="624">
        <f t="shared" si="52"/>
        <v>5.3592005019106992E-2</v>
      </c>
      <c r="O92" s="624">
        <f t="shared" si="52"/>
        <v>5.1794420351643389E-2</v>
      </c>
      <c r="P92" s="624">
        <f t="shared" si="52"/>
        <v>5.0048724577807624E-2</v>
      </c>
      <c r="Q92" s="624">
        <f t="shared" si="52"/>
        <v>4.8356231587406207E-2</v>
      </c>
      <c r="R92" s="624">
        <f t="shared" si="52"/>
        <v>4.6717776606991945E-2</v>
      </c>
      <c r="S92" s="624">
        <f t="shared" si="52"/>
        <v>4.5133779131039109E-2</v>
      </c>
      <c r="T92" s="624">
        <f t="shared" si="52"/>
        <v>4.3604300418724318E-2</v>
      </c>
      <c r="U92" s="624">
        <f t="shared" si="52"/>
        <v>4.0639508872968966E-2</v>
      </c>
      <c r="V92" s="624">
        <f t="shared" si="52"/>
        <v>3.7918284134351277E-2</v>
      </c>
      <c r="W92" s="624">
        <f t="shared" si="52"/>
        <v>3.5424547384154348E-2</v>
      </c>
      <c r="X92" s="625">
        <f t="shared" si="52"/>
        <v>3.3142153834118337E-2</v>
      </c>
      <c r="Y92" s="625">
        <f t="shared" si="52"/>
        <v>3.456588053821652E-2</v>
      </c>
      <c r="Z92" s="625">
        <f t="shared" si="52"/>
        <v>3.2643681019031812E-2</v>
      </c>
      <c r="AA92" s="625">
        <f t="shared" si="52"/>
        <v>3.0889995407327397E-2</v>
      </c>
      <c r="AB92" s="625">
        <f t="shared" si="52"/>
        <v>2.9290572741751619E-2</v>
      </c>
      <c r="AC92" s="625">
        <f t="shared" si="52"/>
        <v>2.7832103022428001E-2</v>
      </c>
      <c r="AD92" s="625">
        <f t="shared" si="52"/>
        <v>2.6502228266004568E-2</v>
      </c>
      <c r="AE92" s="625">
        <f t="shared" si="52"/>
        <v>2.5289529572897651E-2</v>
      </c>
      <c r="AF92" s="625">
        <f>AF82/AE82-1</f>
        <v>2.4183497496538697E-2</v>
      </c>
      <c r="AG92" s="626">
        <v>0.02</v>
      </c>
      <c r="AH92" s="589"/>
      <c r="AI92" s="589"/>
      <c r="AJ92" s="589"/>
    </row>
    <row r="93" spans="1:36" hidden="1" x14ac:dyDescent="0.25">
      <c r="A93" s="589"/>
      <c r="B93" s="589"/>
      <c r="C93" s="589"/>
      <c r="D93" s="589"/>
      <c r="E93" s="589"/>
      <c r="F93" s="589"/>
      <c r="G93" s="589"/>
      <c r="H93" s="589"/>
      <c r="I93" s="589"/>
      <c r="J93" s="589"/>
      <c r="K93" s="589"/>
      <c r="L93" s="589"/>
      <c r="M93" s="589"/>
      <c r="N93" s="589"/>
      <c r="O93" s="589"/>
      <c r="P93" s="589"/>
      <c r="Q93" s="589"/>
      <c r="R93" s="589"/>
      <c r="S93" s="589"/>
      <c r="T93" s="589"/>
      <c r="U93" s="589"/>
      <c r="V93" s="589"/>
      <c r="W93" s="589"/>
      <c r="X93" s="589"/>
      <c r="Y93" s="589"/>
      <c r="Z93" s="589"/>
      <c r="AA93" s="589"/>
      <c r="AB93" s="589"/>
      <c r="AC93" s="589"/>
      <c r="AD93" s="589"/>
      <c r="AE93" s="589"/>
      <c r="AF93" s="589"/>
      <c r="AG93" s="589"/>
      <c r="AH93" s="589"/>
      <c r="AI93" s="589"/>
      <c r="AJ93" s="589"/>
    </row>
    <row r="94" spans="1:36" hidden="1" x14ac:dyDescent="0.25"/>
    <row r="95" spans="1:36" hidden="1" x14ac:dyDescent="0.25"/>
    <row r="96" spans="1:36" hidden="1" x14ac:dyDescent="0.25"/>
    <row r="97" spans="1:29" hidden="1" x14ac:dyDescent="0.25"/>
    <row r="98" spans="1:29" s="440" customFormat="1" hidden="1" x14ac:dyDescent="0.25">
      <c r="A98" s="493" t="s">
        <v>488</v>
      </c>
      <c r="F98" s="441"/>
      <c r="G98" s="441"/>
      <c r="H98" s="441"/>
      <c r="I98" s="441"/>
      <c r="J98" s="441"/>
      <c r="K98" s="441"/>
      <c r="L98" s="441"/>
      <c r="M98" s="441"/>
      <c r="N98" s="441"/>
      <c r="O98" s="441"/>
      <c r="P98" s="441"/>
      <c r="Q98" s="441"/>
      <c r="R98" s="441"/>
      <c r="S98" s="441"/>
      <c r="T98" s="441"/>
      <c r="U98" s="441"/>
      <c r="V98" s="441"/>
      <c r="W98" s="441"/>
      <c r="X98" s="441"/>
      <c r="Y98" s="441"/>
      <c r="Z98" s="441"/>
      <c r="AA98" s="441"/>
      <c r="AB98" s="441"/>
      <c r="AC98" s="441"/>
    </row>
    <row r="99" spans="1:29" hidden="1" x14ac:dyDescent="0.25"/>
    <row r="100" spans="1:29" hidden="1" x14ac:dyDescent="0.25">
      <c r="C100" s="450"/>
    </row>
    <row r="101" spans="1:29" hidden="1" x14ac:dyDescent="0.25">
      <c r="D101" s="454">
        <v>2023</v>
      </c>
      <c r="E101" s="454">
        <f t="shared" ref="E101:J101" si="53">D101-1</f>
        <v>2022</v>
      </c>
      <c r="F101" s="454">
        <f t="shared" si="53"/>
        <v>2021</v>
      </c>
      <c r="G101" s="454">
        <f t="shared" si="53"/>
        <v>2020</v>
      </c>
      <c r="H101" s="454">
        <f t="shared" si="53"/>
        <v>2019</v>
      </c>
      <c r="I101" s="454">
        <f t="shared" si="53"/>
        <v>2018</v>
      </c>
      <c r="J101" s="454">
        <f t="shared" si="53"/>
        <v>2017</v>
      </c>
    </row>
    <row r="102" spans="1:29" hidden="1" x14ac:dyDescent="0.25">
      <c r="C102" s="455" t="s">
        <v>489</v>
      </c>
      <c r="D102" s="315">
        <f>Cifras_Originales!B8</f>
        <v>341.92200000000003</v>
      </c>
      <c r="E102" s="315">
        <f>Cifras_Originales!C8</f>
        <v>270.91199999999998</v>
      </c>
      <c r="F102" s="315">
        <f>Cifras_Originales!D8</f>
        <v>143.85300000000001</v>
      </c>
      <c r="G102" s="315">
        <f>Cifras_Originales!E8</f>
        <v>96.835999999999999</v>
      </c>
      <c r="H102" s="315">
        <f>Cifras_Originales!F8</f>
        <v>-621.774</v>
      </c>
      <c r="I102" s="315">
        <f>Cifras_Originales!G8</f>
        <v>389.67</v>
      </c>
      <c r="J102" s="315">
        <f>Cifras_Originales!H8</f>
        <v>349.31400000000002</v>
      </c>
    </row>
    <row r="103" spans="1:29" hidden="1" x14ac:dyDescent="0.25">
      <c r="C103" s="543" t="s">
        <v>487</v>
      </c>
      <c r="D103" s="461">
        <f>Cifras_Originales!B8/Cifras_Originales!B6</f>
        <v>0.23036095420834773</v>
      </c>
      <c r="E103" s="461">
        <f>Cifras_Originales!C8/Cifras_Originales!C6</f>
        <v>0.2180780200133465</v>
      </c>
      <c r="F103" s="461">
        <f>Cifras_Originales!D8/Cifras_Originales!D6</f>
        <v>0.1323758789216169</v>
      </c>
      <c r="G103" s="461">
        <f>Cifras_Originales!E8/Cifras_Originales!E6</f>
        <v>9.4481797062591411E-2</v>
      </c>
      <c r="H103" s="461">
        <f>Cifras_Originales!F8/Cifras_Originales!F6</f>
        <v>-0.51298522362569821</v>
      </c>
      <c r="I103" s="461">
        <f>Cifras_Originales!G8/Cifras_Originales!G6</f>
        <v>0.11843306193246456</v>
      </c>
      <c r="J103" s="461">
        <f>Cifras_Originales!H8/Cifras_Originales!H6</f>
        <v>0.10316798370643225</v>
      </c>
    </row>
    <row r="104" spans="1:29" hidden="1" x14ac:dyDescent="0.25"/>
    <row r="105" spans="1:29" hidden="1" x14ac:dyDescent="0.25">
      <c r="C105" s="458" t="s">
        <v>446</v>
      </c>
      <c r="D105" s="459">
        <f>AVERAGE(D103:F103)</f>
        <v>0.19360495104777034</v>
      </c>
      <c r="F105" s="505" t="s">
        <v>468</v>
      </c>
      <c r="G105" s="460">
        <v>0.22</v>
      </c>
    </row>
    <row r="106" spans="1:29" hidden="1" x14ac:dyDescent="0.25">
      <c r="F106" s="505" t="s">
        <v>510</v>
      </c>
      <c r="G106" s="460">
        <v>0.23</v>
      </c>
    </row>
    <row r="107" spans="1:29" hidden="1" x14ac:dyDescent="0.25">
      <c r="F107" s="505" t="s">
        <v>469</v>
      </c>
      <c r="G107" s="460">
        <v>0.21</v>
      </c>
    </row>
    <row r="108" spans="1:29" hidden="1" x14ac:dyDescent="0.25"/>
    <row r="109" spans="1:29" s="440" customFormat="1" hidden="1" x14ac:dyDescent="0.25">
      <c r="A109" s="493" t="s">
        <v>463</v>
      </c>
      <c r="F109" s="441"/>
      <c r="G109" s="441"/>
      <c r="H109" s="441"/>
      <c r="I109" s="441"/>
      <c r="J109" s="441"/>
      <c r="K109" s="441"/>
      <c r="L109" s="441"/>
      <c r="M109" s="441"/>
      <c r="N109" s="441"/>
      <c r="O109" s="441"/>
      <c r="P109" s="441"/>
      <c r="Q109" s="441"/>
      <c r="R109" s="441"/>
      <c r="S109" s="441"/>
      <c r="T109" s="441"/>
      <c r="U109" s="441"/>
      <c r="V109" s="441"/>
      <c r="W109" s="441"/>
      <c r="X109" s="441"/>
      <c r="Y109" s="441"/>
      <c r="Z109" s="441"/>
      <c r="AA109" s="441"/>
      <c r="AB109" s="441"/>
      <c r="AC109" s="441"/>
    </row>
    <row r="110" spans="1:29" hidden="1" x14ac:dyDescent="0.25"/>
    <row r="111" spans="1:29" hidden="1" x14ac:dyDescent="0.25"/>
    <row r="112" spans="1:29" hidden="1" x14ac:dyDescent="0.25">
      <c r="D112" s="454">
        <v>2017</v>
      </c>
      <c r="E112" s="454">
        <f t="shared" ref="E112:J112" si="54">D112+1</f>
        <v>2018</v>
      </c>
      <c r="F112" s="454">
        <f t="shared" si="54"/>
        <v>2019</v>
      </c>
      <c r="G112" s="454">
        <f t="shared" si="54"/>
        <v>2020</v>
      </c>
      <c r="H112" s="454">
        <f t="shared" si="54"/>
        <v>2021</v>
      </c>
      <c r="I112" s="454">
        <f t="shared" si="54"/>
        <v>2022</v>
      </c>
      <c r="J112" s="454">
        <f t="shared" si="54"/>
        <v>2023</v>
      </c>
    </row>
    <row r="113" spans="1:29" hidden="1" x14ac:dyDescent="0.25">
      <c r="C113" s="315" t="s">
        <v>464</v>
      </c>
      <c r="D113" s="568">
        <v>60.4</v>
      </c>
      <c r="E113" s="568">
        <v>26.5</v>
      </c>
      <c r="F113" s="568">
        <v>82</v>
      </c>
      <c r="G113" s="568">
        <v>83.1</v>
      </c>
      <c r="H113" s="568">
        <v>101.2</v>
      </c>
      <c r="I113" s="568">
        <v>59.1</v>
      </c>
      <c r="J113" s="568">
        <v>69.599999999999994</v>
      </c>
    </row>
    <row r="114" spans="1:29" hidden="1" x14ac:dyDescent="0.25">
      <c r="C114" s="531" t="s">
        <v>485</v>
      </c>
      <c r="D114" s="566">
        <f>Cifras_Originales!H25</f>
        <v>2151.6329999999998</v>
      </c>
      <c r="E114" s="566">
        <f>Cifras_Originales!G25</f>
        <v>1380.4169999999999</v>
      </c>
      <c r="F114" s="566">
        <f>Cifras_Originales!F25</f>
        <v>1278.9349999999999</v>
      </c>
      <c r="G114" s="567">
        <f>Cifras_Originales!E25</f>
        <v>1162.394</v>
      </c>
      <c r="H114" s="566">
        <f>Cifras_Originales!D25</f>
        <v>1041.251</v>
      </c>
      <c r="I114" s="566">
        <f>Cifras_Originales!C25</f>
        <v>883.86099999999999</v>
      </c>
      <c r="J114" s="566">
        <f>Cifras_Originales!B25</f>
        <v>912.97199999999998</v>
      </c>
    </row>
    <row r="115" spans="1:29" hidden="1" x14ac:dyDescent="0.25">
      <c r="C115" s="315" t="s">
        <v>466</v>
      </c>
      <c r="D115" s="569">
        <v>3033</v>
      </c>
      <c r="E115" s="566">
        <v>2860.3</v>
      </c>
      <c r="F115" s="566">
        <v>1170.2</v>
      </c>
      <c r="G115" s="566">
        <v>802</v>
      </c>
      <c r="H115" s="566">
        <v>689.6</v>
      </c>
      <c r="I115" s="566">
        <v>735.1</v>
      </c>
      <c r="J115" s="566">
        <v>830.7</v>
      </c>
    </row>
    <row r="116" spans="1:29" hidden="1" x14ac:dyDescent="0.25">
      <c r="C116" s="495" t="s">
        <v>465</v>
      </c>
      <c r="D116" s="461">
        <f>D113/(D114+D115)</f>
        <v>1.1649812050341848E-2</v>
      </c>
      <c r="E116" s="461">
        <f t="shared" ref="E116:J116" si="55">E113/(E114+E115)</f>
        <v>6.2489432801104148E-3</v>
      </c>
      <c r="F116" s="462">
        <f t="shared" si="55"/>
        <v>3.3481208671633046E-2</v>
      </c>
      <c r="G116" s="462">
        <f t="shared" si="55"/>
        <v>4.2303122489683841E-2</v>
      </c>
      <c r="H116" s="462">
        <f t="shared" si="55"/>
        <v>5.8468348806454164E-2</v>
      </c>
      <c r="I116" s="462">
        <f t="shared" si="55"/>
        <v>3.6504894188309663E-2</v>
      </c>
      <c r="J116" s="462">
        <f t="shared" si="55"/>
        <v>3.99157639739584E-2</v>
      </c>
    </row>
    <row r="117" spans="1:29" hidden="1" x14ac:dyDescent="0.25"/>
    <row r="118" spans="1:29" hidden="1" x14ac:dyDescent="0.25">
      <c r="C118" s="458" t="s">
        <v>444</v>
      </c>
      <c r="D118" s="459">
        <f>AVERAGE(D116:J116)</f>
        <v>3.2653156208641627E-2</v>
      </c>
      <c r="F118" s="447" t="s">
        <v>468</v>
      </c>
      <c r="G118" s="456">
        <v>0.04</v>
      </c>
    </row>
    <row r="119" spans="1:29" hidden="1" x14ac:dyDescent="0.25">
      <c r="C119" s="458" t="s">
        <v>467</v>
      </c>
      <c r="D119" s="459">
        <f>AVERAGE(F116:J116)</f>
        <v>4.2134667626007823E-2</v>
      </c>
      <c r="F119" s="447" t="s">
        <v>469</v>
      </c>
      <c r="G119" s="460">
        <v>0.06</v>
      </c>
    </row>
    <row r="120" spans="1:29" hidden="1" x14ac:dyDescent="0.25">
      <c r="C120" s="458" t="s">
        <v>446</v>
      </c>
      <c r="D120" s="459">
        <f>AVERAGE(H116:J116)</f>
        <v>4.4963002322907404E-2</v>
      </c>
    </row>
    <row r="121" spans="1:29" hidden="1" x14ac:dyDescent="0.25"/>
    <row r="122" spans="1:29" hidden="1" x14ac:dyDescent="0.25"/>
    <row r="123" spans="1:29" s="439" customFormat="1" hidden="1" x14ac:dyDescent="0.25">
      <c r="A123" s="493" t="s">
        <v>442</v>
      </c>
      <c r="F123" s="446"/>
      <c r="G123" s="446"/>
      <c r="H123" s="446"/>
      <c r="I123" s="446"/>
      <c r="J123" s="446"/>
      <c r="K123" s="446"/>
      <c r="L123" s="446"/>
      <c r="M123" s="446"/>
      <c r="N123" s="446"/>
      <c r="O123" s="446"/>
      <c r="P123" s="446"/>
      <c r="Q123" s="446"/>
      <c r="R123" s="446"/>
      <c r="S123" s="446"/>
      <c r="T123" s="446"/>
      <c r="U123" s="446"/>
      <c r="V123" s="446"/>
      <c r="W123" s="446"/>
      <c r="X123" s="446"/>
      <c r="Y123" s="446"/>
      <c r="Z123" s="446"/>
      <c r="AA123" s="446"/>
      <c r="AB123" s="446"/>
      <c r="AC123" s="446"/>
    </row>
    <row r="124" spans="1:29" hidden="1" x14ac:dyDescent="0.25"/>
    <row r="125" spans="1:29" hidden="1" x14ac:dyDescent="0.25">
      <c r="C125" s="464"/>
      <c r="D125" s="454">
        <v>2023</v>
      </c>
      <c r="E125" s="472">
        <f t="shared" ref="E125:J125" si="56">D125-1</f>
        <v>2022</v>
      </c>
      <c r="F125" s="473">
        <f t="shared" si="56"/>
        <v>2021</v>
      </c>
      <c r="G125" s="473">
        <f t="shared" si="56"/>
        <v>2020</v>
      </c>
      <c r="H125" s="473">
        <f t="shared" si="56"/>
        <v>2019</v>
      </c>
      <c r="I125" s="473">
        <f t="shared" si="56"/>
        <v>2018</v>
      </c>
      <c r="J125" s="473">
        <f t="shared" si="56"/>
        <v>2017</v>
      </c>
      <c r="M125" s="451"/>
      <c r="N125" s="451"/>
      <c r="O125" s="451"/>
      <c r="P125" s="451"/>
      <c r="Q125" s="451"/>
      <c r="R125" s="451"/>
      <c r="S125" s="451"/>
    </row>
    <row r="126" spans="1:29" hidden="1" x14ac:dyDescent="0.25">
      <c r="C126" s="471" t="s">
        <v>440</v>
      </c>
      <c r="D126" s="469">
        <f>G10</f>
        <v>-7.1139999999999999</v>
      </c>
      <c r="E126" s="468">
        <f>F19</f>
        <v>8.7759999999999998</v>
      </c>
      <c r="F126" s="468">
        <f>E19</f>
        <v>10.172000000000001</v>
      </c>
      <c r="G126" s="468">
        <f>D19</f>
        <v>13.298</v>
      </c>
      <c r="H126" s="468">
        <v>12.994</v>
      </c>
      <c r="I126" s="467">
        <v>10.791</v>
      </c>
      <c r="J126" s="468">
        <v>64.787999999999997</v>
      </c>
      <c r="L126" s="431"/>
    </row>
    <row r="127" spans="1:29" hidden="1" x14ac:dyDescent="0.25">
      <c r="C127" s="470" t="s">
        <v>441</v>
      </c>
      <c r="D127" s="466">
        <f>D126/G6</f>
        <v>-4.7928703863401173E-3</v>
      </c>
      <c r="E127" s="466">
        <f>E126/F6</f>
        <v>7.0644810995346427E-3</v>
      </c>
      <c r="F127" s="466">
        <f>F126/E6</f>
        <v>9.3604404523415369E-3</v>
      </c>
      <c r="G127" s="466">
        <f>D10/D6</f>
        <v>-1.2974709171571943E-2</v>
      </c>
      <c r="H127" s="466">
        <f>H126/Cifras_Originales!F6</f>
        <v>1.0720502941249268E-2</v>
      </c>
      <c r="I127" s="466">
        <f>I126/Cifras_Originales!G6</f>
        <v>3.2797268748254293E-3</v>
      </c>
      <c r="J127" s="466">
        <f>J126/Cifras_Originales!H6</f>
        <v>1.9134782254282199E-2</v>
      </c>
      <c r="L127" s="431"/>
    </row>
    <row r="128" spans="1:29" hidden="1" x14ac:dyDescent="0.25">
      <c r="D128" s="450"/>
      <c r="E128" s="465"/>
      <c r="F128" s="465"/>
      <c r="G128" s="465"/>
      <c r="H128" s="465"/>
      <c r="I128" s="465"/>
      <c r="J128" s="465"/>
      <c r="M128" s="451"/>
    </row>
    <row r="129" spans="1:29" hidden="1" x14ac:dyDescent="0.25">
      <c r="C129" s="458" t="s">
        <v>444</v>
      </c>
      <c r="D129" s="476">
        <f>AVERAGE(D127:J127)</f>
        <v>4.5417648663315735E-3</v>
      </c>
      <c r="F129" s="447" t="s">
        <v>468</v>
      </c>
      <c r="G129" s="484">
        <f>D131</f>
        <v>3.8773503885120206E-3</v>
      </c>
    </row>
    <row r="130" spans="1:29" hidden="1" x14ac:dyDescent="0.25">
      <c r="C130" s="458" t="s">
        <v>467</v>
      </c>
      <c r="D130" s="476">
        <f>AVERAGE(D127:H127)</f>
        <v>1.8755689870426772E-3</v>
      </c>
      <c r="F130" s="447" t="s">
        <v>469</v>
      </c>
      <c r="G130" s="460">
        <v>0.01</v>
      </c>
    </row>
    <row r="131" spans="1:29" hidden="1" x14ac:dyDescent="0.25">
      <c r="C131" s="474" t="s">
        <v>446</v>
      </c>
      <c r="D131" s="475">
        <f>AVERAGE(D127:F127)</f>
        <v>3.8773503885120206E-3</v>
      </c>
    </row>
    <row r="132" spans="1:29" hidden="1" x14ac:dyDescent="0.25">
      <c r="C132" s="450"/>
      <c r="D132" s="450"/>
    </row>
    <row r="133" spans="1:29" s="440" customFormat="1" hidden="1" x14ac:dyDescent="0.25">
      <c r="A133" s="493" t="s">
        <v>443</v>
      </c>
      <c r="F133" s="441"/>
      <c r="G133" s="441"/>
      <c r="H133" s="441"/>
      <c r="I133" s="441"/>
      <c r="J133" s="441"/>
      <c r="K133" s="441"/>
      <c r="L133" s="441"/>
      <c r="M133" s="441"/>
      <c r="N133" s="441"/>
      <c r="O133" s="441"/>
      <c r="P133" s="441"/>
      <c r="Q133" s="441"/>
      <c r="R133" s="441"/>
      <c r="S133" s="441"/>
      <c r="T133" s="441"/>
      <c r="U133" s="441"/>
      <c r="V133" s="441"/>
      <c r="W133" s="441"/>
      <c r="X133" s="441"/>
      <c r="Y133" s="441"/>
      <c r="Z133" s="441"/>
      <c r="AA133" s="441"/>
      <c r="AB133" s="441"/>
      <c r="AC133" s="441"/>
    </row>
    <row r="134" spans="1:29" hidden="1" x14ac:dyDescent="0.25"/>
    <row r="135" spans="1:29" hidden="1" x14ac:dyDescent="0.25">
      <c r="D135" s="454">
        <v>2024</v>
      </c>
      <c r="E135" s="472">
        <v>2023</v>
      </c>
      <c r="F135" s="473">
        <f>E135-1</f>
        <v>2022</v>
      </c>
      <c r="G135" s="473">
        <f t="shared" ref="G135:K135" si="57">F135-1</f>
        <v>2021</v>
      </c>
      <c r="H135" s="473">
        <f t="shared" si="57"/>
        <v>2020</v>
      </c>
      <c r="I135" s="473">
        <f t="shared" si="57"/>
        <v>2019</v>
      </c>
      <c r="J135" s="532">
        <f t="shared" si="57"/>
        <v>2018</v>
      </c>
      <c r="K135" s="454">
        <f t="shared" si="57"/>
        <v>2017</v>
      </c>
      <c r="M135" s="482"/>
      <c r="N135" s="482"/>
      <c r="O135" s="482"/>
    </row>
    <row r="136" spans="1:29" hidden="1" x14ac:dyDescent="0.25">
      <c r="C136" s="544" t="s">
        <v>490</v>
      </c>
      <c r="D136" s="539">
        <v>358.7</v>
      </c>
      <c r="E136" s="545">
        <v>254.5</v>
      </c>
      <c r="F136" s="492">
        <f>Cifras_Originales!C8</f>
        <v>270.91199999999998</v>
      </c>
      <c r="G136" s="492">
        <f>Cifras_Originales!D8</f>
        <v>143.85300000000001</v>
      </c>
      <c r="H136" s="492">
        <f>Cifras_Originales!E8</f>
        <v>96.835999999999999</v>
      </c>
      <c r="I136" s="492">
        <f>Cifras_Originales!F8</f>
        <v>-621.774</v>
      </c>
      <c r="J136" s="533">
        <f>Cifras_Originales!G8</f>
        <v>389.67</v>
      </c>
      <c r="K136" s="315">
        <f>Cifras_Originales!H8</f>
        <v>349.31400000000002</v>
      </c>
      <c r="M136" s="267"/>
      <c r="N136" s="267"/>
      <c r="O136" s="267"/>
    </row>
    <row r="137" spans="1:29" hidden="1" x14ac:dyDescent="0.25">
      <c r="C137" s="537" t="s">
        <v>478</v>
      </c>
      <c r="D137" s="539">
        <v>108.7</v>
      </c>
      <c r="E137" s="546">
        <v>137.6</v>
      </c>
      <c r="F137" s="506">
        <f>Cifras_en_Millones!D21</f>
        <v>184.59099999999998</v>
      </c>
      <c r="G137" s="506">
        <f>Cifras_en_Millones!E21</f>
        <v>145.6</v>
      </c>
      <c r="H137" s="506">
        <f>Cifras_en_Millones!F21</f>
        <v>-130.1</v>
      </c>
      <c r="I137" s="506">
        <f>Cifras_en_Millones!G21</f>
        <v>31.041</v>
      </c>
      <c r="J137" s="534">
        <f>Cifras_en_Millones!H21</f>
        <v>131.77099999999999</v>
      </c>
      <c r="K137" s="506">
        <f>Cifras_en_Millones!I21</f>
        <v>-91.308000000000007</v>
      </c>
      <c r="M137" s="535"/>
      <c r="N137" s="535"/>
      <c r="O137" s="535"/>
    </row>
    <row r="138" spans="1:29" hidden="1" x14ac:dyDescent="0.25">
      <c r="C138" s="538" t="s">
        <v>477</v>
      </c>
      <c r="D138" s="547">
        <f>D137/D136</f>
        <v>0.30303875104544187</v>
      </c>
      <c r="E138" s="461">
        <f t="shared" ref="E138:K138" si="58">E137/E136</f>
        <v>0.54066797642436148</v>
      </c>
      <c r="F138" s="461">
        <f t="shared" si="58"/>
        <v>0.68136885778407752</v>
      </c>
      <c r="G138" s="461">
        <f t="shared" si="58"/>
        <v>1.0121443417933584</v>
      </c>
      <c r="H138" s="461">
        <f t="shared" si="58"/>
        <v>-1.3435086124994837</v>
      </c>
      <c r="I138" s="461">
        <f t="shared" si="58"/>
        <v>-4.9923284022812146E-2</v>
      </c>
      <c r="J138" s="461">
        <f t="shared" si="58"/>
        <v>0.33816049477763233</v>
      </c>
      <c r="K138" s="461">
        <f t="shared" si="58"/>
        <v>-0.26139232896477094</v>
      </c>
      <c r="M138" s="536"/>
      <c r="N138" s="536"/>
      <c r="O138" s="536"/>
    </row>
    <row r="139" spans="1:29" hidden="1" x14ac:dyDescent="0.25">
      <c r="F139" s="267"/>
      <c r="L139" s="464"/>
    </row>
    <row r="140" spans="1:29" hidden="1" x14ac:dyDescent="0.25">
      <c r="C140" s="453" t="s">
        <v>486</v>
      </c>
      <c r="D140" s="555"/>
      <c r="F140" s="447" t="s">
        <v>450</v>
      </c>
      <c r="G140" s="460">
        <v>0.3</v>
      </c>
      <c r="O140" s="438"/>
      <c r="P140" s="438"/>
    </row>
    <row r="141" spans="1:29" hidden="1" x14ac:dyDescent="0.25">
      <c r="C141" s="457" t="s">
        <v>448</v>
      </c>
      <c r="D141" s="541">
        <v>0.3</v>
      </c>
      <c r="F141" s="447" t="s">
        <v>451</v>
      </c>
      <c r="G141" s="460">
        <v>0.3</v>
      </c>
      <c r="O141" s="267"/>
      <c r="P141" s="267"/>
    </row>
    <row r="142" spans="1:29" hidden="1" x14ac:dyDescent="0.25">
      <c r="C142" s="457" t="s">
        <v>449</v>
      </c>
      <c r="D142" s="542">
        <v>0.29499999999999998</v>
      </c>
      <c r="O142" s="267"/>
      <c r="P142" s="267"/>
    </row>
    <row r="143" spans="1:29" hidden="1" x14ac:dyDescent="0.25"/>
    <row r="144" spans="1:29" hidden="1" x14ac:dyDescent="0.25"/>
    <row r="145" spans="1:32" hidden="1" x14ac:dyDescent="0.25"/>
    <row r="146" spans="1:32" hidden="1" x14ac:dyDescent="0.25"/>
    <row r="147" spans="1:32" hidden="1" x14ac:dyDescent="0.25"/>
    <row r="148" spans="1:32" s="425" customFormat="1" hidden="1" x14ac:dyDescent="0.25">
      <c r="A148" s="428" t="s">
        <v>437</v>
      </c>
      <c r="F148" s="426"/>
      <c r="G148" s="426"/>
      <c r="H148" s="426"/>
      <c r="I148" s="426"/>
      <c r="J148" s="426"/>
      <c r="K148" s="426"/>
      <c r="L148" s="427"/>
      <c r="M148" s="427"/>
      <c r="N148" s="427"/>
      <c r="O148" s="427"/>
      <c r="P148" s="427"/>
      <c r="Q148" s="427"/>
      <c r="R148" s="427"/>
      <c r="S148" s="427"/>
      <c r="T148" s="427"/>
      <c r="U148" s="427"/>
      <c r="V148" s="427"/>
      <c r="W148" s="427"/>
      <c r="X148" s="427"/>
      <c r="Y148" s="427"/>
      <c r="Z148" s="427"/>
      <c r="AA148" s="427"/>
      <c r="AB148" s="427"/>
      <c r="AC148" s="427"/>
      <c r="AD148" s="427"/>
      <c r="AE148" s="427"/>
      <c r="AF148" s="427"/>
    </row>
    <row r="149" spans="1:32" hidden="1" x14ac:dyDescent="0.25">
      <c r="AF149" s="336"/>
    </row>
    <row r="150" spans="1:32" hidden="1" x14ac:dyDescent="0.25">
      <c r="D150" s="479">
        <v>2023</v>
      </c>
      <c r="E150" s="480">
        <v>2022</v>
      </c>
      <c r="F150" s="479">
        <v>2021</v>
      </c>
      <c r="G150" s="480">
        <v>2020</v>
      </c>
      <c r="H150" s="479">
        <v>2019</v>
      </c>
      <c r="I150" s="480">
        <v>2018</v>
      </c>
      <c r="J150" s="479">
        <v>2017</v>
      </c>
      <c r="O150" s="477"/>
    </row>
    <row r="151" spans="1:32" hidden="1" x14ac:dyDescent="0.25">
      <c r="C151" s="432" t="s">
        <v>471</v>
      </c>
      <c r="D151" s="435">
        <f>Cifras_Originales!B13</f>
        <v>-51.898000000000003</v>
      </c>
      <c r="E151" s="435">
        <f>Cifras_Originales!C13</f>
        <v>30.658000000000001</v>
      </c>
      <c r="F151" s="435">
        <f>Cifras_Originales!D13</f>
        <v>2100.3760000000002</v>
      </c>
      <c r="G151" s="435">
        <f>Cifras_Originales!E13</f>
        <v>601.94500000000005</v>
      </c>
      <c r="H151" s="435">
        <f>Cifras_Originales!F13</f>
        <v>1110.4010000000001</v>
      </c>
      <c r="I151" s="435">
        <f>Cifras_Originales!G13</f>
        <v>137.761</v>
      </c>
      <c r="J151" s="435">
        <f>Cifras_Originales!H13</f>
        <v>-264.23200000000003</v>
      </c>
    </row>
    <row r="152" spans="1:32" hidden="1" x14ac:dyDescent="0.25">
      <c r="C152" s="436" t="s">
        <v>373</v>
      </c>
      <c r="D152" s="437">
        <f>Cifras_Originales!B6</f>
        <v>1484.288</v>
      </c>
      <c r="E152" s="437">
        <f>Cifras_Originales!C6</f>
        <v>1242.271</v>
      </c>
      <c r="F152" s="437">
        <f>Cifras_Originales!D6</f>
        <v>1086.701</v>
      </c>
      <c r="G152" s="437">
        <f>Cifras_Originales!E6</f>
        <v>1024.9169999999999</v>
      </c>
      <c r="H152" s="437">
        <f>Cifras_Originales!F6</f>
        <v>1212.07</v>
      </c>
      <c r="I152" s="437">
        <f>Cifras_Originales!G6</f>
        <v>3290.2130000000002</v>
      </c>
      <c r="J152" s="437">
        <f>Cifras_Originales!H6</f>
        <v>3385.8760000000002</v>
      </c>
    </row>
    <row r="153" spans="1:32" hidden="1" x14ac:dyDescent="0.25">
      <c r="C153" s="478" t="s">
        <v>472</v>
      </c>
      <c r="D153" s="434">
        <f>D151/D152</f>
        <v>-3.4964912469817179E-2</v>
      </c>
      <c r="E153" s="434">
        <f t="shared" ref="E153:J153" si="59">E151/E152</f>
        <v>2.4678995162891192E-2</v>
      </c>
      <c r="F153" s="434">
        <f t="shared" si="59"/>
        <v>1.9328002826904551</v>
      </c>
      <c r="G153" s="434">
        <f t="shared" si="59"/>
        <v>0.58731097249826092</v>
      </c>
      <c r="H153" s="434">
        <f t="shared" si="59"/>
        <v>0.91611953105018695</v>
      </c>
      <c r="I153" s="434">
        <f t="shared" si="59"/>
        <v>4.1869933648672593E-2</v>
      </c>
      <c r="J153" s="434">
        <f t="shared" si="59"/>
        <v>-7.8039479295756845E-2</v>
      </c>
    </row>
    <row r="154" spans="1:32" hidden="1" x14ac:dyDescent="0.25"/>
    <row r="155" spans="1:32" hidden="1" x14ac:dyDescent="0.25">
      <c r="C155" s="267" t="s">
        <v>438</v>
      </c>
      <c r="D155" s="430"/>
    </row>
    <row r="156" spans="1:32" hidden="1" x14ac:dyDescent="0.25"/>
    <row r="157" spans="1:32" hidden="1" x14ac:dyDescent="0.25">
      <c r="C157" s="444" t="s">
        <v>444</v>
      </c>
      <c r="D157" s="433">
        <f>AVERAGE(D153:J153)</f>
        <v>0.48425361761212754</v>
      </c>
      <c r="E157" s="583"/>
      <c r="F157" s="447" t="s">
        <v>450</v>
      </c>
      <c r="G157" s="460">
        <v>0.08</v>
      </c>
    </row>
    <row r="158" spans="1:32" hidden="1" x14ac:dyDescent="0.25">
      <c r="C158" s="444" t="s">
        <v>445</v>
      </c>
      <c r="D158" s="433">
        <f>AVERAGE(D153:E153)</f>
        <v>-5.1429586534629933E-3</v>
      </c>
      <c r="E158" s="583"/>
      <c r="F158" s="447" t="s">
        <v>451</v>
      </c>
      <c r="G158" s="460">
        <v>0.06</v>
      </c>
    </row>
    <row r="159" spans="1:32" hidden="1" x14ac:dyDescent="0.25">
      <c r="E159" s="583"/>
      <c r="F159" s="582"/>
    </row>
    <row r="160" spans="1:32" hidden="1" x14ac:dyDescent="0.25"/>
    <row r="161" spans="1:29" s="442" customFormat="1" hidden="1" x14ac:dyDescent="0.25">
      <c r="A161" s="493" t="s">
        <v>447</v>
      </c>
      <c r="F161" s="443"/>
      <c r="G161" s="443"/>
      <c r="H161" s="443"/>
      <c r="I161" s="443"/>
      <c r="J161" s="443"/>
      <c r="K161" s="443"/>
      <c r="L161" s="443"/>
      <c r="M161" s="443"/>
      <c r="N161" s="443"/>
      <c r="O161" s="443"/>
      <c r="P161" s="443"/>
      <c r="Q161" s="443"/>
      <c r="R161" s="443"/>
      <c r="S161" s="443"/>
      <c r="T161" s="443"/>
      <c r="U161" s="443"/>
      <c r="V161" s="443"/>
      <c r="W161" s="443"/>
      <c r="X161" s="443"/>
      <c r="Y161" s="443"/>
      <c r="Z161" s="443"/>
      <c r="AA161" s="443"/>
      <c r="AB161" s="443"/>
      <c r="AC161" s="443"/>
    </row>
    <row r="162" spans="1:29" hidden="1" x14ac:dyDescent="0.25"/>
    <row r="163" spans="1:29" hidden="1" x14ac:dyDescent="0.25">
      <c r="C163" s="431"/>
      <c r="D163" s="454">
        <v>2023</v>
      </c>
      <c r="E163" s="454">
        <f t="shared" ref="E163:J163" si="60">D163-1</f>
        <v>2022</v>
      </c>
      <c r="F163" s="454">
        <f t="shared" si="60"/>
        <v>2021</v>
      </c>
      <c r="G163" s="454">
        <f t="shared" si="60"/>
        <v>2020</v>
      </c>
      <c r="H163" s="454">
        <f t="shared" si="60"/>
        <v>2019</v>
      </c>
      <c r="I163" s="454">
        <f t="shared" si="60"/>
        <v>2018</v>
      </c>
      <c r="J163" s="454">
        <f t="shared" si="60"/>
        <v>2017</v>
      </c>
      <c r="K163" s="450"/>
    </row>
    <row r="164" spans="1:29" hidden="1" x14ac:dyDescent="0.25">
      <c r="C164" s="483" t="s">
        <v>474</v>
      </c>
      <c r="D164" s="488">
        <v>11.9</v>
      </c>
      <c r="E164" s="488">
        <v>8.9</v>
      </c>
      <c r="F164" s="488">
        <v>41.9</v>
      </c>
      <c r="G164" s="488">
        <v>98.7</v>
      </c>
      <c r="H164" s="488">
        <v>121.7</v>
      </c>
      <c r="I164" s="488">
        <v>223.4</v>
      </c>
      <c r="J164" s="488">
        <v>323</v>
      </c>
    </row>
    <row r="165" spans="1:29" hidden="1" x14ac:dyDescent="0.25">
      <c r="C165" s="485" t="s">
        <v>306</v>
      </c>
      <c r="D165" s="489">
        <f>110.3+472.4</f>
        <v>582.69999999999993</v>
      </c>
      <c r="E165" s="489">
        <f>95.2+552.8</f>
        <v>648</v>
      </c>
      <c r="F165" s="490">
        <f>87.2+481.7</f>
        <v>568.9</v>
      </c>
      <c r="G165" s="489">
        <f>140.4+1374.4</f>
        <v>1514.8000000000002</v>
      </c>
      <c r="H165" s="491">
        <f>1620.3+90.2</f>
        <v>1710.5</v>
      </c>
      <c r="I165" s="491">
        <v>2695.5</v>
      </c>
      <c r="J165" s="491">
        <v>3095.3</v>
      </c>
    </row>
    <row r="166" spans="1:29" hidden="1" x14ac:dyDescent="0.25">
      <c r="C166" s="458" t="s">
        <v>482</v>
      </c>
      <c r="D166" s="487">
        <f t="shared" ref="D166:J166" si="61">D164/D165</f>
        <v>2.0422172644585554E-2</v>
      </c>
      <c r="E166" s="487">
        <f t="shared" si="61"/>
        <v>1.3734567901234569E-2</v>
      </c>
      <c r="F166" s="487">
        <f t="shared" si="61"/>
        <v>7.3650905255756724E-2</v>
      </c>
      <c r="G166" s="487">
        <f t="shared" si="61"/>
        <v>6.5157116451016628E-2</v>
      </c>
      <c r="H166" s="487">
        <f t="shared" si="61"/>
        <v>7.114878690441391E-2</v>
      </c>
      <c r="I166" s="487">
        <f t="shared" si="61"/>
        <v>8.2878872194398073E-2</v>
      </c>
      <c r="J166" s="487">
        <f t="shared" si="61"/>
        <v>0.10435175911866378</v>
      </c>
    </row>
    <row r="167" spans="1:29" hidden="1" x14ac:dyDescent="0.25">
      <c r="D167" s="450"/>
      <c r="E167" s="450"/>
      <c r="F167" s="451"/>
      <c r="G167" s="451"/>
      <c r="H167" s="451"/>
      <c r="I167" s="451"/>
      <c r="J167" s="451"/>
    </row>
    <row r="168" spans="1:29" hidden="1" x14ac:dyDescent="0.25">
      <c r="C168" s="458" t="s">
        <v>444</v>
      </c>
      <c r="D168" s="494">
        <f>AVERAGE(D166:J166)</f>
        <v>6.1620597210009898E-2</v>
      </c>
      <c r="E168" s="450"/>
      <c r="F168" s="447" t="s">
        <v>468</v>
      </c>
      <c r="G168" s="540">
        <v>0.03</v>
      </c>
      <c r="H168" s="451"/>
      <c r="I168" s="451"/>
      <c r="J168" s="451"/>
    </row>
    <row r="169" spans="1:29" hidden="1" x14ac:dyDescent="0.25">
      <c r="A169" s="481"/>
      <c r="C169" s="458" t="s">
        <v>467</v>
      </c>
      <c r="D169" s="484">
        <f>AVERAGE(D166:H166)</f>
        <v>4.8822709831401481E-2</v>
      </c>
      <c r="F169" s="447" t="s">
        <v>469</v>
      </c>
      <c r="G169" s="484">
        <v>0.05</v>
      </c>
    </row>
    <row r="170" spans="1:29" hidden="1" x14ac:dyDescent="0.25">
      <c r="C170" s="458" t="s">
        <v>446</v>
      </c>
      <c r="D170" s="484">
        <f>AVERAGE(D166:F166)</f>
        <v>3.5935881933858944E-2</v>
      </c>
    </row>
    <row r="171" spans="1:29" hidden="1" x14ac:dyDescent="0.25"/>
    <row r="172" spans="1:29" hidden="1" x14ac:dyDescent="0.25"/>
    <row r="173" spans="1:29" s="440" customFormat="1" hidden="1" x14ac:dyDescent="0.25">
      <c r="A173" s="493" t="s">
        <v>479</v>
      </c>
      <c r="F173" s="441"/>
      <c r="G173" s="441"/>
      <c r="H173" s="441"/>
      <c r="I173" s="441"/>
      <c r="J173" s="441"/>
      <c r="K173" s="441"/>
      <c r="L173" s="441"/>
      <c r="M173" s="441"/>
      <c r="N173" s="441"/>
      <c r="O173" s="441"/>
      <c r="P173" s="441"/>
      <c r="Q173" s="441"/>
      <c r="R173" s="441"/>
      <c r="S173" s="441"/>
      <c r="T173" s="441"/>
      <c r="U173" s="441"/>
      <c r="V173" s="441"/>
      <c r="W173" s="441"/>
      <c r="X173" s="441"/>
      <c r="Y173" s="441"/>
      <c r="Z173" s="441"/>
      <c r="AA173" s="441"/>
      <c r="AB173" s="441"/>
      <c r="AC173" s="441"/>
    </row>
    <row r="174" spans="1:29" hidden="1" x14ac:dyDescent="0.25"/>
    <row r="175" spans="1:29" hidden="1" x14ac:dyDescent="0.25"/>
    <row r="176" spans="1:29" hidden="1" x14ac:dyDescent="0.25">
      <c r="D176" s="454">
        <v>2023</v>
      </c>
      <c r="E176" s="454">
        <f t="shared" ref="E176:J176" si="62">D176-1</f>
        <v>2022</v>
      </c>
      <c r="F176" s="454">
        <f t="shared" si="62"/>
        <v>2021</v>
      </c>
      <c r="G176" s="454">
        <f t="shared" si="62"/>
        <v>2020</v>
      </c>
      <c r="H176" s="454">
        <f t="shared" si="62"/>
        <v>2019</v>
      </c>
      <c r="I176" s="454">
        <f t="shared" si="62"/>
        <v>2018</v>
      </c>
      <c r="J176" s="454">
        <f t="shared" si="62"/>
        <v>2017</v>
      </c>
    </row>
    <row r="177" spans="1:29" hidden="1" x14ac:dyDescent="0.25">
      <c r="C177" s="351" t="s">
        <v>480</v>
      </c>
      <c r="D177" s="349">
        <v>9.1</v>
      </c>
      <c r="E177" s="349">
        <v>7.6</v>
      </c>
      <c r="F177" s="452">
        <v>4.4000000000000004</v>
      </c>
      <c r="G177" s="452">
        <v>2.2000000000000002</v>
      </c>
      <c r="H177" s="452">
        <v>3.3</v>
      </c>
      <c r="I177" s="452">
        <v>11.9</v>
      </c>
      <c r="J177" s="452">
        <v>11.9</v>
      </c>
    </row>
    <row r="178" spans="1:29" hidden="1" x14ac:dyDescent="0.25">
      <c r="C178" s="351" t="s">
        <v>481</v>
      </c>
      <c r="D178" s="315">
        <f>Cifras_Originales!B22</f>
        <v>85.167000000000002</v>
      </c>
      <c r="E178" s="315">
        <f>Cifras_Originales!C22</f>
        <v>324.80099999999999</v>
      </c>
      <c r="F178" s="455">
        <f>Cifras_Originales!D22</f>
        <v>750.14700000000005</v>
      </c>
      <c r="G178" s="455">
        <f>Cifras_Originales!E22</f>
        <v>61.576000000000001</v>
      </c>
      <c r="H178" s="455">
        <f>Cifras_Originales!F22</f>
        <v>388.49</v>
      </c>
      <c r="I178" s="455">
        <f>Cifras_Originales!G22</f>
        <v>320.56700000000001</v>
      </c>
      <c r="J178" s="455">
        <f>Cifras_Originales!H22</f>
        <v>464.96499999999997</v>
      </c>
    </row>
    <row r="179" spans="1:29" hidden="1" x14ac:dyDescent="0.25">
      <c r="C179" s="458" t="s">
        <v>483</v>
      </c>
      <c r="D179" s="461">
        <f t="shared" ref="D179:J179" si="63">D177/D178</f>
        <v>0.10684889687320205</v>
      </c>
      <c r="E179" s="461">
        <f t="shared" si="63"/>
        <v>2.3398942737245267E-2</v>
      </c>
      <c r="F179" s="462">
        <f t="shared" si="63"/>
        <v>5.8655170253297025E-3</v>
      </c>
      <c r="G179" s="462">
        <f t="shared" si="63"/>
        <v>3.5728205794465381E-2</v>
      </c>
      <c r="H179" s="462">
        <f t="shared" si="63"/>
        <v>8.4944271409817494E-3</v>
      </c>
      <c r="I179" s="462">
        <f t="shared" si="63"/>
        <v>3.7121724943615535E-2</v>
      </c>
      <c r="J179" s="462">
        <f t="shared" si="63"/>
        <v>2.5593324228705389E-2</v>
      </c>
    </row>
    <row r="180" spans="1:29" hidden="1" x14ac:dyDescent="0.25"/>
    <row r="181" spans="1:29" hidden="1" x14ac:dyDescent="0.25">
      <c r="C181" s="458" t="s">
        <v>444</v>
      </c>
      <c r="D181" s="459">
        <f>AVERAGE(D179:J179)</f>
        <v>3.472157696336358E-2</v>
      </c>
      <c r="F181" s="447" t="s">
        <v>468</v>
      </c>
      <c r="G181" s="460">
        <v>0.04</v>
      </c>
    </row>
    <row r="182" spans="1:29" hidden="1" x14ac:dyDescent="0.25">
      <c r="C182" s="458" t="s">
        <v>467</v>
      </c>
      <c r="D182" s="459">
        <f>AVERAGE(D179:H179)</f>
        <v>3.6067197914244828E-2</v>
      </c>
      <c r="F182" s="447" t="s">
        <v>469</v>
      </c>
      <c r="G182" s="460">
        <v>0.03</v>
      </c>
    </row>
    <row r="183" spans="1:29" hidden="1" x14ac:dyDescent="0.25">
      <c r="C183" s="458" t="s">
        <v>446</v>
      </c>
      <c r="D183" s="459">
        <f>AVERAGE(D179:F179)</f>
        <v>4.5371118878592333E-2</v>
      </c>
    </row>
    <row r="184" spans="1:29" hidden="1" x14ac:dyDescent="0.25"/>
    <row r="185" spans="1:29" hidden="1" x14ac:dyDescent="0.25"/>
    <row r="186" spans="1:29" hidden="1" x14ac:dyDescent="0.25"/>
    <row r="187" spans="1:29" hidden="1" x14ac:dyDescent="0.25"/>
    <row r="188" spans="1:29" s="439" customFormat="1" ht="14.25" hidden="1" customHeight="1" x14ac:dyDescent="0.25">
      <c r="A188" s="493" t="s">
        <v>452</v>
      </c>
      <c r="F188" s="446"/>
      <c r="G188" s="446"/>
      <c r="H188" s="446"/>
      <c r="I188" s="446"/>
      <c r="J188" s="446"/>
      <c r="K188" s="446"/>
      <c r="L188" s="446"/>
      <c r="M188" s="446"/>
      <c r="N188" s="446"/>
      <c r="O188" s="446"/>
      <c r="P188" s="446"/>
      <c r="Q188" s="446"/>
      <c r="R188" s="446"/>
      <c r="S188" s="446"/>
      <c r="T188" s="446"/>
      <c r="U188" s="446"/>
      <c r="V188" s="446"/>
      <c r="W188" s="446"/>
      <c r="X188" s="446"/>
      <c r="Y188" s="446"/>
      <c r="Z188" s="446"/>
      <c r="AA188" s="446"/>
      <c r="AB188" s="446"/>
      <c r="AC188" s="446"/>
    </row>
    <row r="189" spans="1:29" hidden="1" x14ac:dyDescent="0.25"/>
    <row r="190" spans="1:29" hidden="1" x14ac:dyDescent="0.25">
      <c r="F190" s="267"/>
      <c r="G190" s="267"/>
      <c r="H190" s="267"/>
      <c r="I190" s="267"/>
      <c r="J190" s="267"/>
      <c r="K190" s="482"/>
    </row>
    <row r="191" spans="1:29" hidden="1" x14ac:dyDescent="0.25">
      <c r="D191" s="454">
        <v>2023</v>
      </c>
      <c r="E191" s="454">
        <f t="shared" ref="E191:J191" si="64">D191-1</f>
        <v>2022</v>
      </c>
      <c r="F191" s="454">
        <f t="shared" si="64"/>
        <v>2021</v>
      </c>
      <c r="G191" s="454">
        <f t="shared" si="64"/>
        <v>2020</v>
      </c>
      <c r="H191" s="454">
        <f t="shared" si="64"/>
        <v>2019</v>
      </c>
      <c r="I191" s="486">
        <f t="shared" si="64"/>
        <v>2018</v>
      </c>
      <c r="J191" s="454">
        <f t="shared" si="64"/>
        <v>2017</v>
      </c>
    </row>
    <row r="192" spans="1:29" hidden="1" x14ac:dyDescent="0.25">
      <c r="C192" s="457" t="s">
        <v>473</v>
      </c>
      <c r="D192" s="315">
        <f>Cifras_Originales!B12-Cifras_Originales!C12</f>
        <v>-41.938000000000002</v>
      </c>
      <c r="E192" s="315">
        <f>Cifras_Originales!C12-Cifras_Originales!D12</f>
        <v>178.01599999999999</v>
      </c>
      <c r="F192" s="455">
        <f>Cifras_Originales!D12-Cifras_Originales!E12</f>
        <v>119.30300000000003</v>
      </c>
      <c r="G192" s="455">
        <f>Cifras_Originales!E12-Cifras_Originales!F12</f>
        <v>-63.282000000000011</v>
      </c>
      <c r="H192" s="455">
        <f>Cifras_Originales!F12-Cifras_Originales!G12</f>
        <v>-154.59500000000003</v>
      </c>
      <c r="I192" s="455">
        <f>Cifras_Originales!G12-Cifras_Originales!H12</f>
        <v>149.18799999999999</v>
      </c>
      <c r="J192" s="455">
        <f>Cifras_Originales!H12-Cifras_Originales!I12</f>
        <v>-58.441000000000003</v>
      </c>
    </row>
    <row r="193" spans="1:29" hidden="1" x14ac:dyDescent="0.25">
      <c r="C193" s="457" t="s">
        <v>475</v>
      </c>
      <c r="D193" s="315">
        <f>Cifras_Originales!B6-Cifras_Originales!C6</f>
        <v>242.01700000000005</v>
      </c>
      <c r="E193" s="315">
        <f>Cifras_Originales!C6-Cifras_Originales!D6</f>
        <v>155.56999999999994</v>
      </c>
      <c r="F193" s="455">
        <f>Cifras_Originales!D6-Cifras_Originales!E6</f>
        <v>61.784000000000106</v>
      </c>
      <c r="G193" s="455">
        <f>Cifras_Originales!E6-Cifras_Originales!F6</f>
        <v>-187.15300000000002</v>
      </c>
      <c r="H193" s="455">
        <f>Cifras_Originales!F6-Cifras_Originales!G6</f>
        <v>-2078.143</v>
      </c>
      <c r="I193" s="455">
        <f>Cifras_Originales!G6-Cifras_Originales!H6</f>
        <v>-95.663000000000011</v>
      </c>
      <c r="J193" s="455">
        <f>Cifras_Originales!H6-Cifras_Originales!I6</f>
        <v>-858.3159999999998</v>
      </c>
    </row>
    <row r="194" spans="1:29" hidden="1" x14ac:dyDescent="0.25">
      <c r="C194" s="458" t="s">
        <v>476</v>
      </c>
      <c r="D194" s="461">
        <f t="shared" ref="D194:J194" si="65">D192/D193</f>
        <v>-0.17328534772350701</v>
      </c>
      <c r="E194" s="461">
        <f t="shared" si="65"/>
        <v>1.1442823166420264</v>
      </c>
      <c r="F194" s="462">
        <f t="shared" si="65"/>
        <v>1.9309691829599867</v>
      </c>
      <c r="G194" s="462">
        <f t="shared" si="65"/>
        <v>0.33812976548599277</v>
      </c>
      <c r="H194" s="462">
        <f t="shared" si="65"/>
        <v>7.4390934598822137E-2</v>
      </c>
      <c r="I194" s="462">
        <f t="shared" si="65"/>
        <v>-1.5595162183916453</v>
      </c>
      <c r="J194" s="462">
        <f t="shared" si="65"/>
        <v>6.8087976922252436E-2</v>
      </c>
      <c r="O194" s="451"/>
      <c r="P194" s="267"/>
      <c r="Q194" s="267"/>
    </row>
    <row r="195" spans="1:29" hidden="1" x14ac:dyDescent="0.25"/>
    <row r="196" spans="1:29" hidden="1" x14ac:dyDescent="0.25">
      <c r="C196" s="458" t="s">
        <v>444</v>
      </c>
      <c r="D196" s="496">
        <f>AVERAGE(D194:J194)</f>
        <v>0.2604369443562754</v>
      </c>
      <c r="F196" s="447" t="s">
        <v>468</v>
      </c>
      <c r="G196" s="554">
        <v>0.6</v>
      </c>
    </row>
    <row r="197" spans="1:29" hidden="1" x14ac:dyDescent="0.25">
      <c r="C197" s="458" t="s">
        <v>467</v>
      </c>
      <c r="D197" s="496">
        <f>AVERAGE(D194:H194)</f>
        <v>0.66289737039266416</v>
      </c>
      <c r="F197" s="447" t="s">
        <v>469</v>
      </c>
      <c r="G197" s="554">
        <v>0.3</v>
      </c>
    </row>
    <row r="198" spans="1:29" hidden="1" x14ac:dyDescent="0.25">
      <c r="C198" s="458" t="s">
        <v>446</v>
      </c>
      <c r="D198" s="496">
        <f>AVERAGE(D194:F194)</f>
        <v>0.96732205062616872</v>
      </c>
    </row>
    <row r="199" spans="1:29" hidden="1" x14ac:dyDescent="0.25"/>
    <row r="200" spans="1:29" hidden="1" x14ac:dyDescent="0.25"/>
    <row r="201" spans="1:29" hidden="1" x14ac:dyDescent="0.25"/>
    <row r="202" spans="1:29" s="440" customFormat="1" hidden="1" x14ac:dyDescent="0.25">
      <c r="A202" s="493" t="s">
        <v>453</v>
      </c>
      <c r="F202" s="441"/>
      <c r="G202" s="441"/>
      <c r="H202" s="441"/>
      <c r="I202" s="441"/>
      <c r="J202" s="441"/>
      <c r="K202" s="441"/>
      <c r="L202" s="441"/>
      <c r="M202" s="441"/>
      <c r="N202" s="441"/>
      <c r="O202" s="441"/>
      <c r="P202" s="441"/>
      <c r="Q202" s="441"/>
      <c r="R202" s="441"/>
      <c r="S202" s="441"/>
      <c r="T202" s="441"/>
      <c r="U202" s="441"/>
      <c r="V202" s="441"/>
      <c r="W202" s="441"/>
      <c r="X202" s="441"/>
      <c r="Y202" s="441"/>
      <c r="Z202" s="441"/>
      <c r="AA202" s="441"/>
      <c r="AB202" s="441"/>
      <c r="AC202" s="441"/>
    </row>
    <row r="203" spans="1:29" hidden="1" x14ac:dyDescent="0.25"/>
    <row r="204" spans="1:29" hidden="1" x14ac:dyDescent="0.25"/>
    <row r="205" spans="1:29" hidden="1" x14ac:dyDescent="0.25">
      <c r="D205" s="498">
        <v>2024</v>
      </c>
      <c r="E205" s="498">
        <f t="shared" ref="E205:K205" si="66">D205-1</f>
        <v>2023</v>
      </c>
      <c r="F205" s="498">
        <f t="shared" si="66"/>
        <v>2022</v>
      </c>
      <c r="G205" s="498">
        <f t="shared" si="66"/>
        <v>2021</v>
      </c>
      <c r="H205" s="498">
        <f t="shared" si="66"/>
        <v>2020</v>
      </c>
      <c r="I205" s="498">
        <f t="shared" si="66"/>
        <v>2019</v>
      </c>
      <c r="J205" s="498">
        <f t="shared" si="66"/>
        <v>2018</v>
      </c>
      <c r="K205" s="498">
        <f t="shared" si="66"/>
        <v>2017</v>
      </c>
    </row>
    <row r="206" spans="1:29" hidden="1" x14ac:dyDescent="0.25">
      <c r="C206" s="351" t="s">
        <v>119</v>
      </c>
      <c r="D206" s="499">
        <v>-1.7</v>
      </c>
      <c r="E206" s="315">
        <v>0</v>
      </c>
      <c r="F206" s="351">
        <v>0</v>
      </c>
      <c r="G206" s="351">
        <v>0</v>
      </c>
      <c r="H206" s="351">
        <v>0</v>
      </c>
      <c r="I206" s="351">
        <v>0</v>
      </c>
      <c r="J206" s="351">
        <f>Cifras_Originales!G17</f>
        <v>-11.103</v>
      </c>
      <c r="K206" s="351">
        <f>Cifras_Originales!H17</f>
        <v>-19.370999999999999</v>
      </c>
    </row>
    <row r="207" spans="1:29" hidden="1" x14ac:dyDescent="0.25"/>
    <row r="208" spans="1:29" hidden="1" x14ac:dyDescent="0.25"/>
    <row r="209" spans="1:29" s="440" customFormat="1" hidden="1" x14ac:dyDescent="0.25">
      <c r="A209" s="493" t="s">
        <v>454</v>
      </c>
      <c r="F209" s="441"/>
      <c r="G209" s="441"/>
      <c r="H209" s="441"/>
      <c r="I209" s="441"/>
      <c r="J209" s="441"/>
      <c r="K209" s="441"/>
      <c r="L209" s="441"/>
      <c r="M209" s="441"/>
      <c r="N209" s="441"/>
      <c r="O209" s="441"/>
      <c r="P209" s="441"/>
      <c r="Q209" s="441"/>
      <c r="R209" s="441"/>
      <c r="S209" s="441"/>
      <c r="T209" s="441"/>
      <c r="U209" s="441"/>
      <c r="V209" s="441"/>
      <c r="W209" s="441"/>
      <c r="X209" s="441"/>
      <c r="Y209" s="441"/>
      <c r="Z209" s="441"/>
      <c r="AA209" s="441"/>
      <c r="AB209" s="441"/>
      <c r="AC209" s="441"/>
    </row>
    <row r="210" spans="1:29" hidden="1" x14ac:dyDescent="0.25"/>
    <row r="211" spans="1:29" s="425" customFormat="1" hidden="1" x14ac:dyDescent="0.25">
      <c r="A211" s="428" t="s">
        <v>501</v>
      </c>
      <c r="F211" s="426"/>
      <c r="G211" s="426"/>
      <c r="H211" s="426"/>
      <c r="I211" s="426"/>
      <c r="J211" s="426"/>
      <c r="K211" s="426"/>
      <c r="L211" s="426"/>
      <c r="M211" s="426"/>
      <c r="N211" s="426"/>
      <c r="O211" s="426"/>
      <c r="P211" s="426"/>
      <c r="Q211" s="426"/>
      <c r="R211" s="426"/>
      <c r="S211" s="426"/>
      <c r="T211" s="426"/>
      <c r="U211" s="426"/>
      <c r="V211" s="426"/>
      <c r="W211" s="426"/>
      <c r="X211" s="426"/>
      <c r="Y211" s="426"/>
      <c r="Z211" s="426"/>
      <c r="AA211" s="426"/>
      <c r="AB211" s="426"/>
      <c r="AC211" s="426"/>
    </row>
    <row r="212" spans="1:29" hidden="1" x14ac:dyDescent="0.25"/>
    <row r="213" spans="1:29" hidden="1" x14ac:dyDescent="0.25">
      <c r="C213" s="315"/>
      <c r="D213" s="505">
        <v>2023</v>
      </c>
      <c r="E213" s="505">
        <v>2022</v>
      </c>
      <c r="F213" s="505">
        <v>2021</v>
      </c>
      <c r="G213" s="505">
        <v>2020</v>
      </c>
      <c r="H213" s="505">
        <v>2019</v>
      </c>
      <c r="I213" s="505">
        <v>2018</v>
      </c>
      <c r="J213" s="505">
        <v>2017</v>
      </c>
    </row>
    <row r="214" spans="1:29" hidden="1" x14ac:dyDescent="0.25">
      <c r="C214" s="563" t="s">
        <v>501</v>
      </c>
      <c r="D214" s="506">
        <f>Cifras_en_Millones!C54+Cifras_en_Millones!C55+Cifras_en_Millones!C51</f>
        <v>597.99400000000003</v>
      </c>
      <c r="E214" s="561">
        <f>Cifras_en_Millones!D54+Cifras_en_Millones!D55+Cifras_en_Millones!D51</f>
        <v>525.09900000000005</v>
      </c>
      <c r="F214" s="561">
        <f>Cifras_en_Millones!E54+Cifras_en_Millones!E55+Cifras_en_Millones!E51</f>
        <v>1424.4659999999999</v>
      </c>
      <c r="G214" s="561">
        <f>Cifras_en_Millones!F54+Cifras_en_Millones!F55+Cifras_en_Millones!F51</f>
        <v>1664.634</v>
      </c>
      <c r="H214" s="561">
        <f>Cifras_en_Millones!G54+Cifras_en_Millones!G55+Cifras_en_Millones!G51</f>
        <v>2599.9700000000003</v>
      </c>
      <c r="I214" s="561">
        <f>Cifras_en_Millones!H54+Cifras_en_Millones!H55+Cifras_en_Millones!H51</f>
        <v>2973.3960000000002</v>
      </c>
      <c r="J214" s="561">
        <f>Cifras_en_Millones!I54+Cifras_en_Millones!I55+Cifras_en_Millones!I51</f>
        <v>3645.1379999999999</v>
      </c>
    </row>
    <row r="215" spans="1:29" hidden="1" x14ac:dyDescent="0.25">
      <c r="C215" s="563" t="s">
        <v>502</v>
      </c>
      <c r="D215" s="506">
        <f>Cifras_en_Millones!C19</f>
        <v>402.64000000000004</v>
      </c>
      <c r="E215" s="561">
        <f>Cifras_en_Millones!D19</f>
        <v>339.54399999999998</v>
      </c>
      <c r="F215" s="561">
        <f>Cifras_en_Millones!E19</f>
        <v>467.33099999999996</v>
      </c>
      <c r="G215" s="561">
        <f>Cifras_en_Millones!F19</f>
        <v>-514.64800000000002</v>
      </c>
      <c r="H215" s="561">
        <f>Cifras_en_Millones!G19</f>
        <v>1292.682</v>
      </c>
      <c r="I215" s="561">
        <f>Cifras_en_Millones!H19</f>
        <v>997.76800000000003</v>
      </c>
      <c r="J215" s="561">
        <f>Cifras_en_Millones!I19</f>
        <v>585.45600000000013</v>
      </c>
    </row>
    <row r="216" spans="1:29" hidden="1" x14ac:dyDescent="0.25">
      <c r="C216" s="565" t="s">
        <v>503</v>
      </c>
      <c r="D216" s="562">
        <f t="shared" ref="D216:J216" si="67">D214/D215</f>
        <v>1.4851827935624875</v>
      </c>
      <c r="E216" s="562">
        <f t="shared" si="67"/>
        <v>1.5464829300473579</v>
      </c>
      <c r="F216" s="562">
        <f t="shared" si="67"/>
        <v>3.0480879719085618</v>
      </c>
      <c r="G216" s="562">
        <f t="shared" si="67"/>
        <v>-3.2345098008736066</v>
      </c>
      <c r="H216" s="562">
        <f t="shared" si="67"/>
        <v>2.0112989892332376</v>
      </c>
      <c r="I216" s="562">
        <f t="shared" si="67"/>
        <v>2.9800474659439873</v>
      </c>
      <c r="J216" s="562">
        <f t="shared" si="67"/>
        <v>6.2261519226039175</v>
      </c>
      <c r="K216" s="559"/>
    </row>
    <row r="217" spans="1:29" hidden="1" x14ac:dyDescent="0.25">
      <c r="D217" s="559"/>
      <c r="E217" s="559"/>
      <c r="F217" s="560"/>
      <c r="G217" s="560"/>
      <c r="H217" s="560"/>
      <c r="I217" s="560"/>
      <c r="J217" s="560"/>
      <c r="K217" s="560"/>
    </row>
    <row r="218" spans="1:29" hidden="1" x14ac:dyDescent="0.25">
      <c r="D218" s="267" t="s">
        <v>505</v>
      </c>
      <c r="E218" s="267" t="s">
        <v>511</v>
      </c>
      <c r="F218" s="267" t="s">
        <v>506</v>
      </c>
    </row>
    <row r="219" spans="1:29" hidden="1" x14ac:dyDescent="0.25">
      <c r="C219" s="563" t="s">
        <v>504</v>
      </c>
      <c r="D219" s="541">
        <v>1.8</v>
      </c>
      <c r="E219" s="541">
        <v>1.4</v>
      </c>
      <c r="F219" s="541">
        <v>1.1000000000000001</v>
      </c>
    </row>
    <row r="220" spans="1:29" hidden="1" x14ac:dyDescent="0.25"/>
    <row r="221" spans="1:29" s="425" customFormat="1" ht="13.9" hidden="1" customHeight="1" x14ac:dyDescent="0.25">
      <c r="A221" s="428" t="s">
        <v>507</v>
      </c>
      <c r="F221" s="426"/>
      <c r="G221" s="426"/>
      <c r="H221" s="426"/>
      <c r="I221" s="426"/>
      <c r="J221" s="426"/>
      <c r="K221" s="426"/>
      <c r="L221" s="426"/>
      <c r="M221" s="426"/>
      <c r="N221" s="426"/>
      <c r="O221" s="426"/>
      <c r="P221" s="426"/>
      <c r="Q221" s="426"/>
      <c r="R221" s="426"/>
      <c r="S221" s="426"/>
      <c r="T221" s="426"/>
      <c r="U221" s="426"/>
      <c r="V221" s="426"/>
      <c r="W221" s="426"/>
      <c r="X221" s="426"/>
      <c r="Y221" s="426"/>
      <c r="Z221" s="426"/>
      <c r="AA221" s="426"/>
      <c r="AB221" s="426"/>
      <c r="AC221" s="426"/>
    </row>
    <row r="222" spans="1:29" hidden="1" x14ac:dyDescent="0.25"/>
    <row r="223" spans="1:29" hidden="1" x14ac:dyDescent="0.25"/>
    <row r="224" spans="1:29" hidden="1" x14ac:dyDescent="0.25">
      <c r="D224" s="564">
        <v>2023</v>
      </c>
      <c r="E224" s="564">
        <v>2022</v>
      </c>
      <c r="F224" s="564">
        <v>2021</v>
      </c>
      <c r="G224" s="564">
        <v>2020</v>
      </c>
      <c r="H224" s="564">
        <v>2019</v>
      </c>
      <c r="I224" s="564">
        <v>2018</v>
      </c>
      <c r="J224" s="564">
        <v>2017</v>
      </c>
    </row>
    <row r="225" spans="3:10" hidden="1" x14ac:dyDescent="0.25">
      <c r="C225" s="563" t="s">
        <v>508</v>
      </c>
      <c r="D225" s="506">
        <f>Cifras_en_Millones!C15</f>
        <v>8.9</v>
      </c>
      <c r="E225" s="561">
        <f>Cifras_en_Millones!D15</f>
        <v>-9.5</v>
      </c>
      <c r="F225" s="561">
        <f>Cifras_en_Millones!E15</f>
        <v>-222.29999999999995</v>
      </c>
      <c r="G225" s="561">
        <f>Cifras_en_Millones!F15</f>
        <v>755</v>
      </c>
      <c r="H225" s="561">
        <f>Cifras_en_Millones!G15</f>
        <v>-1721.1</v>
      </c>
      <c r="I225" s="561">
        <f>Cifras_en_Millones!H15</f>
        <v>-368.1</v>
      </c>
      <c r="J225" s="561">
        <f>Cifras_en_Millones!I15</f>
        <v>28.599999999999994</v>
      </c>
    </row>
    <row r="226" spans="3:10" hidden="1" x14ac:dyDescent="0.25">
      <c r="C226" s="563" t="s">
        <v>373</v>
      </c>
      <c r="D226" s="506">
        <f>Cifras_en_Millones!C5</f>
        <v>1484.288</v>
      </c>
      <c r="E226" s="561">
        <f>Cifras_en_Millones!D5</f>
        <v>1242.271</v>
      </c>
      <c r="F226" s="561">
        <f>Cifras_en_Millones!E5</f>
        <v>1086.701</v>
      </c>
      <c r="G226" s="561">
        <f>Cifras_en_Millones!F5</f>
        <v>1024.9169999999999</v>
      </c>
      <c r="H226" s="561">
        <f>Cifras_en_Millones!G5</f>
        <v>1212.07</v>
      </c>
      <c r="I226" s="561">
        <f>Cifras_en_Millones!H5</f>
        <v>3290.2130000000002</v>
      </c>
      <c r="J226" s="561">
        <f>Cifras_en_Millones!I5</f>
        <v>3385.8760000000002</v>
      </c>
    </row>
    <row r="227" spans="3:10" hidden="1" x14ac:dyDescent="0.25">
      <c r="C227" s="565" t="s">
        <v>509</v>
      </c>
      <c r="D227" s="541">
        <f t="shared" ref="D227:J227" si="68">D225/D226</f>
        <v>5.9961409106588483E-3</v>
      </c>
      <c r="E227" s="541">
        <f t="shared" si="68"/>
        <v>-7.6472846906995339E-3</v>
      </c>
      <c r="F227" s="562">
        <f t="shared" si="68"/>
        <v>-0.20456408892602468</v>
      </c>
      <c r="G227" s="562">
        <f t="shared" si="68"/>
        <v>0.73664501613301381</v>
      </c>
      <c r="H227" s="562">
        <f t="shared" si="68"/>
        <v>-1.4199674936266058</v>
      </c>
      <c r="I227" s="562">
        <f t="shared" si="68"/>
        <v>-0.11187725536310263</v>
      </c>
      <c r="J227" s="562">
        <f t="shared" si="68"/>
        <v>8.4468539308586582E-3</v>
      </c>
    </row>
    <row r="228" spans="3:10" hidden="1" x14ac:dyDescent="0.25"/>
    <row r="229" spans="3:10" hidden="1" x14ac:dyDescent="0.25"/>
    <row r="230" spans="3:10" hidden="1" x14ac:dyDescent="0.25"/>
    <row r="231" spans="3:10" hidden="1" x14ac:dyDescent="0.25"/>
    <row r="232" spans="3:10" hidden="1" x14ac:dyDescent="0.25"/>
  </sheetData>
  <mergeCells count="14">
    <mergeCell ref="B78:C79"/>
    <mergeCell ref="B82:C82"/>
    <mergeCell ref="B88:C89"/>
    <mergeCell ref="B92:C92"/>
    <mergeCell ref="B80:C81"/>
    <mergeCell ref="B90:C91"/>
    <mergeCell ref="A50:A59"/>
    <mergeCell ref="A61:A66"/>
    <mergeCell ref="C1:L1"/>
    <mergeCell ref="A5:A16"/>
    <mergeCell ref="A18:A30"/>
    <mergeCell ref="A32:A34"/>
    <mergeCell ref="A36:A38"/>
    <mergeCell ref="A46:A47"/>
  </mergeCells>
  <conditionalFormatting sqref="D65">
    <cfRule type="cellIs" dxfId="1" priority="1" operator="lessThan">
      <formula>0.15</formula>
    </cfRule>
    <cfRule type="cellIs" dxfId="0" priority="2" operator="greaterThan">
      <formula>0.15</formula>
    </cfRule>
  </conditionalFormatting>
  <pageMargins left="0.7" right="0.7" top="0.75" bottom="0.75" header="0.3" footer="0.3"/>
  <pageSetup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B1:M33"/>
  <sheetViews>
    <sheetView showGridLines="0" zoomScale="55" zoomScaleNormal="55" workbookViewId="0">
      <selection activeCell="J26" sqref="J26"/>
    </sheetView>
  </sheetViews>
  <sheetFormatPr defaultColWidth="11.28515625" defaultRowHeight="12.75" x14ac:dyDescent="0.2"/>
  <cols>
    <col min="1" max="1" width="1" style="11" customWidth="1"/>
    <col min="2" max="2" width="59.28515625" style="11" customWidth="1"/>
    <col min="3" max="3" width="8.28515625" style="11" bestFit="1" customWidth="1"/>
    <col min="4" max="4" width="10.28515625" style="11" bestFit="1" customWidth="1"/>
    <col min="5" max="5" width="13" style="11" customWidth="1"/>
    <col min="6" max="6" width="10.28515625" style="11" bestFit="1" customWidth="1"/>
    <col min="7" max="7" width="9.7109375" style="11" bestFit="1" customWidth="1"/>
    <col min="8" max="8" width="121.28515625" style="11" customWidth="1"/>
    <col min="9" max="9" width="2.7109375" style="11" customWidth="1"/>
    <col min="10" max="10" width="7" style="11" customWidth="1"/>
    <col min="11" max="11" width="3.7109375" style="11" customWidth="1"/>
    <col min="12" max="12" width="13.28515625" style="11" bestFit="1" customWidth="1"/>
    <col min="13" max="13" width="18.28515625" style="11" customWidth="1"/>
    <col min="14" max="16384" width="11.28515625" style="11"/>
  </cols>
  <sheetData>
    <row r="1" spans="2:13" ht="6" customHeight="1" thickBot="1" x14ac:dyDescent="0.25"/>
    <row r="2" spans="2:13" ht="20.25" x14ac:dyDescent="0.2">
      <c r="B2" s="806" t="s">
        <v>108</v>
      </c>
      <c r="C2" s="807"/>
      <c r="D2" s="807"/>
      <c r="E2" s="807"/>
      <c r="F2" s="807"/>
      <c r="G2" s="807"/>
      <c r="H2" s="808"/>
      <c r="J2" s="803" t="s">
        <v>102</v>
      </c>
      <c r="K2" s="804"/>
      <c r="L2" s="804"/>
      <c r="M2" s="805"/>
    </row>
    <row r="3" spans="2:13" x14ac:dyDescent="0.2">
      <c r="B3" s="25"/>
      <c r="C3" s="23" t="s">
        <v>69</v>
      </c>
      <c r="D3" s="23" t="s">
        <v>70</v>
      </c>
      <c r="E3" s="23" t="s">
        <v>109</v>
      </c>
      <c r="F3" s="23" t="s">
        <v>71</v>
      </c>
      <c r="G3" s="23" t="s">
        <v>72</v>
      </c>
      <c r="H3" s="26" t="s">
        <v>98</v>
      </c>
      <c r="J3" s="809" t="s">
        <v>101</v>
      </c>
      <c r="K3" s="810"/>
      <c r="L3" s="24" t="s">
        <v>100</v>
      </c>
      <c r="M3" s="28" t="s">
        <v>99</v>
      </c>
    </row>
    <row r="4" spans="2:13" ht="15" x14ac:dyDescent="0.25">
      <c r="B4" s="27" t="s">
        <v>73</v>
      </c>
      <c r="C4" s="157"/>
      <c r="D4" s="157"/>
      <c r="E4" s="157"/>
      <c r="F4" s="157"/>
      <c r="G4" s="158"/>
      <c r="H4" s="159"/>
      <c r="J4" s="42" t="s">
        <v>412</v>
      </c>
      <c r="K4" s="43">
        <v>0</v>
      </c>
      <c r="L4" s="44" t="s">
        <v>76</v>
      </c>
      <c r="M4" s="811" t="s">
        <v>419</v>
      </c>
    </row>
    <row r="5" spans="2:13" ht="61.5" customHeight="1" x14ac:dyDescent="0.2">
      <c r="B5" s="50" t="s">
        <v>74</v>
      </c>
      <c r="C5" s="160" t="s">
        <v>434</v>
      </c>
      <c r="D5" s="160" t="s">
        <v>435</v>
      </c>
      <c r="E5" s="160" t="s">
        <v>491</v>
      </c>
      <c r="F5" s="161" t="s">
        <v>435</v>
      </c>
      <c r="G5" s="419"/>
      <c r="H5" s="650" t="s">
        <v>534</v>
      </c>
      <c r="J5" s="42" t="s">
        <v>413</v>
      </c>
      <c r="K5" s="43">
        <v>1</v>
      </c>
      <c r="L5" s="44" t="s">
        <v>416</v>
      </c>
      <c r="M5" s="811"/>
    </row>
    <row r="6" spans="2:13" s="51" customFormat="1" ht="33.6" customHeight="1" x14ac:dyDescent="0.2">
      <c r="B6" s="50" t="s">
        <v>75</v>
      </c>
      <c r="C6" s="160" t="s">
        <v>434</v>
      </c>
      <c r="D6" s="160" t="s">
        <v>435</v>
      </c>
      <c r="E6" s="160" t="s">
        <v>491</v>
      </c>
      <c r="F6" s="161" t="s">
        <v>435</v>
      </c>
      <c r="G6" s="419"/>
      <c r="H6" s="640" t="s">
        <v>539</v>
      </c>
      <c r="J6" s="52" t="s">
        <v>414</v>
      </c>
      <c r="K6" s="53">
        <v>2</v>
      </c>
      <c r="L6" s="54" t="s">
        <v>417</v>
      </c>
      <c r="M6" s="811"/>
    </row>
    <row r="7" spans="2:13" ht="43.5" thickBot="1" x14ac:dyDescent="0.25">
      <c r="B7" s="50" t="s">
        <v>77</v>
      </c>
      <c r="C7" s="160" t="s">
        <v>417</v>
      </c>
      <c r="D7" s="160" t="s">
        <v>435</v>
      </c>
      <c r="E7" s="160" t="s">
        <v>491</v>
      </c>
      <c r="F7" s="161" t="s">
        <v>435</v>
      </c>
      <c r="G7" s="419"/>
      <c r="H7" s="650" t="s">
        <v>537</v>
      </c>
      <c r="J7" s="45" t="s">
        <v>415</v>
      </c>
      <c r="K7" s="46">
        <v>3</v>
      </c>
      <c r="L7" s="47" t="s">
        <v>418</v>
      </c>
      <c r="M7" s="812"/>
    </row>
    <row r="8" spans="2:13" ht="29.25" thickBot="1" x14ac:dyDescent="0.25">
      <c r="B8" s="50" t="s">
        <v>78</v>
      </c>
      <c r="C8" s="160" t="s">
        <v>434</v>
      </c>
      <c r="D8" s="160" t="s">
        <v>435</v>
      </c>
      <c r="E8" s="160" t="s">
        <v>492</v>
      </c>
      <c r="F8" s="161" t="s">
        <v>435</v>
      </c>
      <c r="G8" s="419"/>
      <c r="H8" s="650" t="s">
        <v>535</v>
      </c>
    </row>
    <row r="9" spans="2:13" ht="34.5" customHeight="1" x14ac:dyDescent="0.2">
      <c r="B9" s="646" t="s">
        <v>79</v>
      </c>
      <c r="C9" s="160" t="s">
        <v>434</v>
      </c>
      <c r="D9" s="160" t="s">
        <v>436</v>
      </c>
      <c r="E9" s="160"/>
      <c r="F9" s="161" t="s">
        <v>436</v>
      </c>
      <c r="G9" s="420"/>
      <c r="H9" s="650" t="s">
        <v>536</v>
      </c>
      <c r="J9" s="813" t="s">
        <v>420</v>
      </c>
      <c r="K9" s="814"/>
      <c r="L9" s="815"/>
    </row>
    <row r="10" spans="2:13" ht="15" x14ac:dyDescent="0.25">
      <c r="B10" s="647" t="s">
        <v>80</v>
      </c>
      <c r="C10" s="162"/>
      <c r="D10" s="163"/>
      <c r="E10" s="163"/>
      <c r="F10" s="163"/>
      <c r="G10" s="164"/>
      <c r="H10" s="641"/>
      <c r="J10" s="794"/>
      <c r="K10" s="795"/>
      <c r="L10" s="796"/>
    </row>
    <row r="11" spans="2:13" ht="14.25" x14ac:dyDescent="0.2">
      <c r="B11" s="50" t="s">
        <v>81</v>
      </c>
      <c r="C11" s="160" t="s">
        <v>417</v>
      </c>
      <c r="D11" s="160" t="s">
        <v>436</v>
      </c>
      <c r="E11" s="160"/>
      <c r="F11" s="161" t="s">
        <v>435</v>
      </c>
      <c r="G11" s="421"/>
      <c r="H11" s="651"/>
      <c r="J11" s="797"/>
      <c r="K11" s="798"/>
      <c r="L11" s="799"/>
    </row>
    <row r="12" spans="2:13" ht="15" thickBot="1" x14ac:dyDescent="0.25">
      <c r="B12" s="50" t="s">
        <v>82</v>
      </c>
      <c r="C12" s="160" t="s">
        <v>417</v>
      </c>
      <c r="D12" s="160" t="s">
        <v>436</v>
      </c>
      <c r="E12" s="160" t="s">
        <v>493</v>
      </c>
      <c r="F12" s="165" t="s">
        <v>435</v>
      </c>
      <c r="G12" s="421"/>
      <c r="H12" s="651"/>
      <c r="J12" s="800"/>
      <c r="K12" s="801"/>
      <c r="L12" s="802"/>
    </row>
    <row r="13" spans="2:13" ht="28.5" x14ac:dyDescent="0.2">
      <c r="B13" s="645" t="s">
        <v>83</v>
      </c>
      <c r="C13" s="160" t="s">
        <v>417</v>
      </c>
      <c r="D13" s="160" t="s">
        <v>436</v>
      </c>
      <c r="E13" s="160"/>
      <c r="F13" s="161" t="s">
        <v>435</v>
      </c>
      <c r="G13" s="421"/>
      <c r="H13" s="650" t="s">
        <v>530</v>
      </c>
    </row>
    <row r="14" spans="2:13" ht="18.95" customHeight="1" x14ac:dyDescent="0.2">
      <c r="B14" s="645" t="s">
        <v>84</v>
      </c>
      <c r="C14" s="160" t="s">
        <v>434</v>
      </c>
      <c r="D14" s="160" t="s">
        <v>435</v>
      </c>
      <c r="E14" s="160" t="s">
        <v>492</v>
      </c>
      <c r="F14" s="161" t="s">
        <v>435</v>
      </c>
      <c r="G14" s="422"/>
      <c r="H14" s="650" t="s">
        <v>538</v>
      </c>
    </row>
    <row r="15" spans="2:13" ht="14.25" x14ac:dyDescent="0.2">
      <c r="B15" s="50" t="s">
        <v>85</v>
      </c>
      <c r="C15" s="160" t="s">
        <v>434</v>
      </c>
      <c r="D15" s="160" t="s">
        <v>436</v>
      </c>
      <c r="E15" s="160" t="s">
        <v>492</v>
      </c>
      <c r="F15" s="161" t="s">
        <v>435</v>
      </c>
      <c r="G15" s="423"/>
      <c r="H15" s="642"/>
    </row>
    <row r="16" spans="2:13" ht="14.25" x14ac:dyDescent="0.2">
      <c r="B16" s="50" t="s">
        <v>86</v>
      </c>
      <c r="C16" s="166" t="s">
        <v>434</v>
      </c>
      <c r="D16" s="166" t="s">
        <v>436</v>
      </c>
      <c r="E16" s="166" t="s">
        <v>492</v>
      </c>
      <c r="F16" s="166" t="s">
        <v>435</v>
      </c>
      <c r="G16" s="422"/>
      <c r="H16" s="642"/>
    </row>
    <row r="17" spans="2:8" ht="14.25" x14ac:dyDescent="0.2">
      <c r="B17" s="50" t="s">
        <v>87</v>
      </c>
      <c r="C17" s="167"/>
      <c r="D17" s="160"/>
      <c r="E17" s="160"/>
      <c r="F17" s="161"/>
      <c r="G17" s="164"/>
      <c r="H17" s="642"/>
    </row>
    <row r="18" spans="2:8" ht="14.25" x14ac:dyDescent="0.2">
      <c r="B18" s="50" t="s">
        <v>88</v>
      </c>
      <c r="C18" s="160" t="s">
        <v>417</v>
      </c>
      <c r="D18" s="160" t="s">
        <v>436</v>
      </c>
      <c r="E18" s="160"/>
      <c r="F18" s="161" t="s">
        <v>435</v>
      </c>
      <c r="G18" s="652"/>
      <c r="H18" s="650" t="s">
        <v>532</v>
      </c>
    </row>
    <row r="19" spans="2:8" ht="14.25" x14ac:dyDescent="0.2">
      <c r="B19" s="50" t="s">
        <v>89</v>
      </c>
      <c r="C19" s="160" t="s">
        <v>434</v>
      </c>
      <c r="D19" s="160" t="s">
        <v>435</v>
      </c>
      <c r="E19" s="160" t="s">
        <v>492</v>
      </c>
      <c r="F19" s="161" t="s">
        <v>435</v>
      </c>
      <c r="G19" s="422"/>
      <c r="H19" s="650" t="s">
        <v>531</v>
      </c>
    </row>
    <row r="20" spans="2:8" ht="28.5" x14ac:dyDescent="0.2">
      <c r="B20" s="50" t="s">
        <v>90</v>
      </c>
      <c r="C20" s="160" t="s">
        <v>417</v>
      </c>
      <c r="D20" s="160" t="s">
        <v>436</v>
      </c>
      <c r="E20" s="160"/>
      <c r="F20" s="161" t="s">
        <v>435</v>
      </c>
      <c r="G20" s="422"/>
      <c r="H20" s="650" t="s">
        <v>529</v>
      </c>
    </row>
    <row r="21" spans="2:8" ht="14.25" x14ac:dyDescent="0.2">
      <c r="B21" s="646" t="s">
        <v>91</v>
      </c>
      <c r="C21" s="168" t="s">
        <v>434</v>
      </c>
      <c r="D21" s="168" t="s">
        <v>436</v>
      </c>
      <c r="E21" s="168"/>
      <c r="F21" s="169" t="s">
        <v>435</v>
      </c>
      <c r="G21" s="420"/>
      <c r="H21" s="650" t="s">
        <v>533</v>
      </c>
    </row>
    <row r="22" spans="2:8" ht="15" x14ac:dyDescent="0.2">
      <c r="B22" s="648" t="s">
        <v>92</v>
      </c>
      <c r="C22" s="170"/>
      <c r="D22" s="170"/>
      <c r="E22" s="165"/>
      <c r="F22" s="170"/>
      <c r="G22" s="164"/>
      <c r="H22" s="643"/>
    </row>
    <row r="23" spans="2:8" ht="57" x14ac:dyDescent="0.2">
      <c r="B23" s="50" t="s">
        <v>93</v>
      </c>
      <c r="C23" s="548" t="s">
        <v>434</v>
      </c>
      <c r="D23" s="548" t="s">
        <v>435</v>
      </c>
      <c r="E23" s="165" t="s">
        <v>491</v>
      </c>
      <c r="F23" s="165" t="s">
        <v>435</v>
      </c>
      <c r="G23" s="549"/>
      <c r="H23" s="650" t="s">
        <v>528</v>
      </c>
    </row>
    <row r="24" spans="2:8" ht="14.25" x14ac:dyDescent="0.2">
      <c r="B24" s="50" t="s">
        <v>94</v>
      </c>
      <c r="C24" s="167"/>
      <c r="D24" s="167"/>
      <c r="E24" s="165"/>
      <c r="F24" s="165"/>
      <c r="G24" s="407"/>
      <c r="H24" s="644"/>
    </row>
    <row r="25" spans="2:8" ht="14.25" x14ac:dyDescent="0.2">
      <c r="B25" s="50" t="s">
        <v>182</v>
      </c>
      <c r="C25" s="167"/>
      <c r="D25" s="167"/>
      <c r="E25" s="165"/>
      <c r="F25" s="165"/>
      <c r="G25" s="164"/>
      <c r="H25" s="644"/>
    </row>
    <row r="26" spans="2:8" ht="14.25" x14ac:dyDescent="0.2">
      <c r="B26" s="50" t="s">
        <v>139</v>
      </c>
      <c r="C26" s="167"/>
      <c r="D26" s="167"/>
      <c r="E26" s="165"/>
      <c r="F26" s="165"/>
      <c r="G26" s="164"/>
      <c r="H26" s="644"/>
    </row>
    <row r="27" spans="2:8" ht="14.25" x14ac:dyDescent="0.2">
      <c r="B27" s="50" t="s">
        <v>95</v>
      </c>
      <c r="C27" s="167"/>
      <c r="D27" s="167"/>
      <c r="E27" s="165"/>
      <c r="F27" s="165"/>
      <c r="G27" s="407"/>
      <c r="H27" s="644"/>
    </row>
    <row r="28" spans="2:8" ht="14.25" x14ac:dyDescent="0.2">
      <c r="B28" s="50" t="s">
        <v>142</v>
      </c>
      <c r="C28" s="167"/>
      <c r="D28" s="167"/>
      <c r="E28" s="165"/>
      <c r="F28" s="165"/>
      <c r="G28" s="164"/>
      <c r="H28" s="644"/>
    </row>
    <row r="29" spans="2:8" ht="14.25" x14ac:dyDescent="0.2">
      <c r="B29" s="50" t="s">
        <v>183</v>
      </c>
      <c r="C29" s="167"/>
      <c r="D29" s="167"/>
      <c r="E29" s="165"/>
      <c r="F29" s="165"/>
      <c r="G29" s="408"/>
      <c r="H29" s="644"/>
    </row>
    <row r="30" spans="2:8" ht="14.25" x14ac:dyDescent="0.2">
      <c r="B30" s="50" t="s">
        <v>138</v>
      </c>
      <c r="C30" s="167"/>
      <c r="D30" s="167"/>
      <c r="E30" s="165"/>
      <c r="F30" s="165"/>
      <c r="G30" s="164"/>
      <c r="H30" s="644"/>
    </row>
    <row r="31" spans="2:8" ht="14.25" x14ac:dyDescent="0.2">
      <c r="B31" s="50" t="s">
        <v>96</v>
      </c>
      <c r="C31" s="167"/>
      <c r="D31" s="165" t="s">
        <v>435</v>
      </c>
      <c r="E31" s="165"/>
      <c r="F31" s="165"/>
      <c r="G31" s="407"/>
      <c r="H31" s="651" t="s">
        <v>527</v>
      </c>
    </row>
    <row r="32" spans="2:8" ht="29.25" thickBot="1" x14ac:dyDescent="0.25">
      <c r="B32" s="649" t="s">
        <v>97</v>
      </c>
      <c r="C32" s="171"/>
      <c r="D32" s="172" t="s">
        <v>435</v>
      </c>
      <c r="E32" s="173"/>
      <c r="F32" s="173"/>
      <c r="G32" s="409"/>
      <c r="H32" s="653" t="s">
        <v>526</v>
      </c>
    </row>
    <row r="33" spans="2:8" ht="15.75" customHeight="1" x14ac:dyDescent="0.25">
      <c r="B33" s="55"/>
      <c r="H33" s="92"/>
    </row>
  </sheetData>
  <mergeCells count="8">
    <mergeCell ref="J10:L10"/>
    <mergeCell ref="J11:L11"/>
    <mergeCell ref="J12:L12"/>
    <mergeCell ref="J2:M2"/>
    <mergeCell ref="B2:H2"/>
    <mergeCell ref="J3:K3"/>
    <mergeCell ref="M4:M7"/>
    <mergeCell ref="J9:L9"/>
  </mergeCells>
  <pageMargins left="0.7" right="0.7" top="0.75" bottom="0.75" header="0.3" footer="0.3"/>
  <pageSetup orientation="portrait"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IH94"/>
  <sheetViews>
    <sheetView view="pageBreakPreview" zoomScale="85" zoomScaleNormal="85" zoomScaleSheetLayoutView="85" workbookViewId="0">
      <selection activeCell="O16" sqref="N16:O16"/>
    </sheetView>
  </sheetViews>
  <sheetFormatPr defaultColWidth="11.28515625" defaultRowHeight="12" x14ac:dyDescent="0.2"/>
  <cols>
    <col min="1" max="1" width="36" style="193" customWidth="1"/>
    <col min="2" max="11" width="12.28515625" style="193" customWidth="1"/>
    <col min="12" max="13" width="12.28515625" style="249" customWidth="1"/>
    <col min="14" max="14" width="12.28515625" style="249" bestFit="1" customWidth="1"/>
    <col min="15" max="16384" width="11.28515625" style="192"/>
  </cols>
  <sheetData>
    <row r="1" spans="1:15" ht="15.75" x14ac:dyDescent="0.25">
      <c r="A1" s="816" t="e" vm="1">
        <f>Cifras_Originales!G3</f>
        <v>#VALUE!</v>
      </c>
      <c r="B1" s="816"/>
      <c r="C1" s="816"/>
      <c r="D1" s="816"/>
      <c r="E1" s="816"/>
      <c r="F1" s="816"/>
      <c r="G1" s="816"/>
      <c r="H1" s="816"/>
      <c r="I1" s="816"/>
      <c r="J1" s="816"/>
      <c r="K1" s="816"/>
      <c r="L1" s="816"/>
      <c r="M1" s="191"/>
      <c r="N1" s="191"/>
    </row>
    <row r="2" spans="1:15" ht="12" customHeight="1" x14ac:dyDescent="0.2">
      <c r="A2" s="817" t="str">
        <f>Cifras_Originales!C2</f>
        <v>Cifras en Millones de USD</v>
      </c>
      <c r="B2" s="817"/>
      <c r="C2" s="817"/>
      <c r="D2" s="817"/>
      <c r="E2" s="817"/>
      <c r="F2" s="817"/>
      <c r="G2" s="817"/>
      <c r="H2" s="817"/>
      <c r="I2" s="817"/>
      <c r="J2" s="817"/>
      <c r="K2" s="817"/>
      <c r="L2" s="817"/>
      <c r="M2" s="193"/>
      <c r="N2" s="193"/>
    </row>
    <row r="3" spans="1:15" ht="12" customHeight="1" x14ac:dyDescent="0.2">
      <c r="G3" s="194"/>
    </row>
    <row r="4" spans="1:15" x14ac:dyDescent="0.2">
      <c r="A4" s="195" t="s">
        <v>198</v>
      </c>
      <c r="B4" s="196">
        <v>2024</v>
      </c>
      <c r="C4" s="196">
        <f>Cifras_Originales!B5</f>
        <v>2023</v>
      </c>
      <c r="D4" s="196">
        <f>Cifras_Originales!C5</f>
        <v>2022</v>
      </c>
      <c r="E4" s="196">
        <f>Cifras_Originales!D5</f>
        <v>2021</v>
      </c>
      <c r="F4" s="196">
        <f>Cifras_Originales!E5</f>
        <v>2020</v>
      </c>
      <c r="G4" s="196">
        <f>Cifras_Originales!F5</f>
        <v>2019</v>
      </c>
      <c r="H4" s="196">
        <f>Cifras_Originales!G5</f>
        <v>2018</v>
      </c>
      <c r="I4" s="196">
        <f>Cifras_Originales!H5</f>
        <v>2017</v>
      </c>
      <c r="J4" s="196">
        <f>Cifras_Originales!I5</f>
        <v>2016</v>
      </c>
      <c r="K4" s="196">
        <f>Cifras_Originales!J5</f>
        <v>2015</v>
      </c>
      <c r="L4" s="196">
        <f>Cifras_Originales!K5</f>
        <v>2014</v>
      </c>
      <c r="M4" s="196">
        <f>Cifras_Originales!L5</f>
        <v>2013</v>
      </c>
      <c r="N4" s="196"/>
      <c r="O4" s="196"/>
    </row>
    <row r="5" spans="1:15" ht="12" customHeight="1" x14ac:dyDescent="0.2">
      <c r="A5" s="193" t="s">
        <v>199</v>
      </c>
      <c r="B5" s="197"/>
      <c r="C5" s="197">
        <f>Cifras_Originales!B6</f>
        <v>1484.288</v>
      </c>
      <c r="D5" s="197">
        <f>Cifras_Originales!C6</f>
        <v>1242.271</v>
      </c>
      <c r="E5" s="197">
        <f>Cifras_Originales!D6</f>
        <v>1086.701</v>
      </c>
      <c r="F5" s="197">
        <f>Cifras_Originales!E6</f>
        <v>1024.9169999999999</v>
      </c>
      <c r="G5" s="197">
        <f>Cifras_Originales!F6</f>
        <v>1212.07</v>
      </c>
      <c r="H5" s="197">
        <f>Cifras_Originales!G6</f>
        <v>3290.2130000000002</v>
      </c>
      <c r="I5" s="197">
        <f>Cifras_Originales!H6</f>
        <v>3385.8760000000002</v>
      </c>
      <c r="J5" s="197">
        <f>Cifras_Originales!I6</f>
        <v>4244.192</v>
      </c>
      <c r="K5" s="197">
        <f>Cifras_Originales!J6</f>
        <v>4291.6589999999997</v>
      </c>
      <c r="L5" s="197">
        <f>Cifras_Originales!K6</f>
        <v>4414.6819999999998</v>
      </c>
      <c r="M5" s="197">
        <f>Cifras_Originales!L6</f>
        <v>3913.8809999999999</v>
      </c>
      <c r="N5" s="197"/>
      <c r="O5" s="197"/>
    </row>
    <row r="6" spans="1:15" ht="12" customHeight="1" x14ac:dyDescent="0.2">
      <c r="A6" s="193" t="s">
        <v>200</v>
      </c>
      <c r="B6" s="198">
        <f>B5/C5-1</f>
        <v>-1</v>
      </c>
      <c r="C6" s="198">
        <f>C5/D5-1</f>
        <v>0.19481819989358207</v>
      </c>
      <c r="D6" s="198">
        <f>D5/E5-1</f>
        <v>0.14315805359523903</v>
      </c>
      <c r="E6" s="198">
        <f t="shared" ref="E6:L6" si="0">E5/F5-1</f>
        <v>6.0281954538757843E-2</v>
      </c>
      <c r="F6" s="198">
        <f t="shared" si="0"/>
        <v>-0.15440774872738372</v>
      </c>
      <c r="G6" s="198">
        <f t="shared" si="0"/>
        <v>-0.63161351559914203</v>
      </c>
      <c r="H6" s="198">
        <f t="shared" si="0"/>
        <v>-2.8253545020550108E-2</v>
      </c>
      <c r="I6" s="198">
        <f t="shared" si="0"/>
        <v>-0.20223307522374101</v>
      </c>
      <c r="J6" s="198">
        <f t="shared" si="0"/>
        <v>-1.1060291602850936E-2</v>
      </c>
      <c r="K6" s="198">
        <f t="shared" si="0"/>
        <v>-2.7866786327984672E-2</v>
      </c>
      <c r="L6" s="198">
        <f t="shared" si="0"/>
        <v>0.12795509112310777</v>
      </c>
      <c r="M6" s="198"/>
      <c r="N6" s="198"/>
      <c r="O6" s="198"/>
    </row>
    <row r="7" spans="1:15" ht="12" customHeight="1" x14ac:dyDescent="0.2">
      <c r="A7" s="193" t="s">
        <v>201</v>
      </c>
      <c r="B7" s="197"/>
      <c r="C7" s="197">
        <f>Cifras_Originales!B7</f>
        <v>394.50700000000001</v>
      </c>
      <c r="D7" s="197">
        <f>Cifras_Originales!C7</f>
        <v>334.90600000000001</v>
      </c>
      <c r="E7" s="197">
        <f>Cifras_Originales!D7</f>
        <v>272.21100000000001</v>
      </c>
      <c r="F7" s="197">
        <f>Cifras_Originales!E7</f>
        <v>222.459</v>
      </c>
      <c r="G7" s="197">
        <f>Cifras_Originales!F7</f>
        <v>262.59899999999999</v>
      </c>
      <c r="H7" s="197">
        <f>Cifras_Originales!G7</f>
        <v>593.16399999999999</v>
      </c>
      <c r="I7" s="197">
        <f>Cifras_Originales!H7</f>
        <v>564.58500000000004</v>
      </c>
      <c r="J7" s="197">
        <f>Cifras_Originales!I7</f>
        <v>628.85400000000004</v>
      </c>
      <c r="K7" s="197">
        <f>Cifras_Originales!J7</f>
        <v>531.64300000000003</v>
      </c>
      <c r="L7" s="197">
        <f>Cifras_Originales!K7</f>
        <v>576.50300000000004</v>
      </c>
      <c r="M7" s="197">
        <f>Cifras_Originales!L7</f>
        <v>495.43200000000002</v>
      </c>
      <c r="N7" s="197"/>
      <c r="O7" s="197"/>
    </row>
    <row r="8" spans="1:15" ht="12" customHeight="1" x14ac:dyDescent="0.2">
      <c r="A8" s="193" t="s">
        <v>202</v>
      </c>
      <c r="B8" s="198" t="e">
        <f>B7/B5</f>
        <v>#DIV/0!</v>
      </c>
      <c r="C8" s="198">
        <f>C7/C5</f>
        <v>0.26578871485857192</v>
      </c>
      <c r="D8" s="198">
        <f>D7/D5</f>
        <v>0.26959173964457034</v>
      </c>
      <c r="E8" s="198">
        <f t="shared" ref="E8:M8" si="1">E7/E5</f>
        <v>0.25049300589582602</v>
      </c>
      <c r="F8" s="198">
        <f t="shared" si="1"/>
        <v>0.2170507465482571</v>
      </c>
      <c r="G8" s="198">
        <f t="shared" si="1"/>
        <v>0.21665332860313349</v>
      </c>
      <c r="H8" s="198">
        <f t="shared" si="1"/>
        <v>0.18028133740885466</v>
      </c>
      <c r="I8" s="198">
        <f t="shared" si="1"/>
        <v>0.16674709883055375</v>
      </c>
      <c r="J8" s="198">
        <f t="shared" si="1"/>
        <v>0.14816813188470268</v>
      </c>
      <c r="K8" s="198">
        <f t="shared" si="1"/>
        <v>0.12387820187950628</v>
      </c>
      <c r="L8" s="198">
        <f t="shared" si="1"/>
        <v>0.13058766180667147</v>
      </c>
      <c r="M8" s="198">
        <f t="shared" si="1"/>
        <v>0.12658330695286854</v>
      </c>
      <c r="N8" s="198"/>
      <c r="O8" s="198"/>
    </row>
    <row r="9" spans="1:15" ht="12" customHeight="1" x14ac:dyDescent="0.2">
      <c r="A9" s="193" t="s">
        <v>203</v>
      </c>
      <c r="B9" s="197">
        <f>B5-B11</f>
        <v>0</v>
      </c>
      <c r="C9" s="197">
        <f>C5-C11</f>
        <v>1142.366</v>
      </c>
      <c r="D9" s="197">
        <f>D5-D11</f>
        <v>971.35899999999992</v>
      </c>
      <c r="E9" s="197">
        <f t="shared" ref="E9:M9" si="2">E5-E11</f>
        <v>942.84799999999996</v>
      </c>
      <c r="F9" s="197">
        <f t="shared" si="2"/>
        <v>928.0809999999999</v>
      </c>
      <c r="G9" s="197">
        <f t="shared" si="2"/>
        <v>1833.8440000000001</v>
      </c>
      <c r="H9" s="197">
        <f t="shared" si="2"/>
        <v>2900.5430000000001</v>
      </c>
      <c r="I9" s="197">
        <f t="shared" si="2"/>
        <v>3036.5620000000004</v>
      </c>
      <c r="J9" s="197">
        <f t="shared" si="2"/>
        <v>3837.8339999999998</v>
      </c>
      <c r="K9" s="197">
        <f t="shared" si="2"/>
        <v>3954.7019999999998</v>
      </c>
      <c r="L9" s="197">
        <f t="shared" si="2"/>
        <v>3989.3939999999998</v>
      </c>
      <c r="M9" s="197">
        <f t="shared" si="2"/>
        <v>3559.6459999999997</v>
      </c>
      <c r="N9" s="197"/>
      <c r="O9" s="197"/>
    </row>
    <row r="10" spans="1:15" ht="12" customHeight="1" x14ac:dyDescent="0.2">
      <c r="A10" s="193" t="s">
        <v>202</v>
      </c>
      <c r="B10" s="198" t="e">
        <f>B9/B5</f>
        <v>#DIV/0!</v>
      </c>
      <c r="C10" s="198">
        <f>C9/C5</f>
        <v>0.76963904579165232</v>
      </c>
      <c r="D10" s="198">
        <f>D9/D5</f>
        <v>0.78192197998665347</v>
      </c>
      <c r="E10" s="198">
        <f t="shared" ref="E10:M10" si="3">E9/E5</f>
        <v>0.86762412107838305</v>
      </c>
      <c r="F10" s="198">
        <f t="shared" si="3"/>
        <v>0.90551820293740859</v>
      </c>
      <c r="G10" s="198">
        <f t="shared" si="3"/>
        <v>1.5129852236256982</v>
      </c>
      <c r="H10" s="198">
        <f t="shared" si="3"/>
        <v>0.88156693806753539</v>
      </c>
      <c r="I10" s="198">
        <f t="shared" si="3"/>
        <v>0.89683201629356779</v>
      </c>
      <c r="J10" s="198">
        <f t="shared" si="3"/>
        <v>0.90425550964706591</v>
      </c>
      <c r="K10" s="198">
        <f t="shared" si="3"/>
        <v>0.92148560731409468</v>
      </c>
      <c r="L10" s="198">
        <f t="shared" si="3"/>
        <v>0.90366508844804672</v>
      </c>
      <c r="M10" s="198">
        <f t="shared" si="3"/>
        <v>0.90949264936772478</v>
      </c>
      <c r="N10" s="198"/>
      <c r="O10" s="198"/>
    </row>
    <row r="11" spans="1:15" ht="12" customHeight="1" x14ac:dyDescent="0.2">
      <c r="A11" s="193" t="s">
        <v>204</v>
      </c>
      <c r="B11" s="197"/>
      <c r="C11" s="197">
        <f>Cifras_Originales!B8</f>
        <v>341.92200000000003</v>
      </c>
      <c r="D11" s="197">
        <f>Cifras_Originales!C8</f>
        <v>270.91199999999998</v>
      </c>
      <c r="E11" s="197">
        <f>Cifras_Originales!D8</f>
        <v>143.85300000000001</v>
      </c>
      <c r="F11" s="197">
        <f>Cifras_Originales!E8</f>
        <v>96.835999999999999</v>
      </c>
      <c r="G11" s="197">
        <f>Cifras_Originales!F8</f>
        <v>-621.774</v>
      </c>
      <c r="H11" s="197">
        <f>Cifras_Originales!G8</f>
        <v>389.67</v>
      </c>
      <c r="I11" s="197">
        <f>Cifras_Originales!H8</f>
        <v>349.31400000000002</v>
      </c>
      <c r="J11" s="197">
        <f>Cifras_Originales!I8</f>
        <v>406.358</v>
      </c>
      <c r="K11" s="197">
        <f>Cifras_Originales!J8</f>
        <v>336.95699999999999</v>
      </c>
      <c r="L11" s="197">
        <f>Cifras_Originales!K8</f>
        <v>425.28800000000001</v>
      </c>
      <c r="M11" s="197">
        <f>Cifras_Originales!L8</f>
        <v>354.23500000000001</v>
      </c>
      <c r="N11" s="197"/>
      <c r="O11" s="197"/>
    </row>
    <row r="12" spans="1:15" ht="12" customHeight="1" x14ac:dyDescent="0.2">
      <c r="A12" s="193" t="s">
        <v>202</v>
      </c>
      <c r="B12" s="198" t="e">
        <f>B11/B5</f>
        <v>#DIV/0!</v>
      </c>
      <c r="C12" s="198">
        <f>C11/C5</f>
        <v>0.23036095420834773</v>
      </c>
      <c r="D12" s="198">
        <f>D11/D5</f>
        <v>0.2180780200133465</v>
      </c>
      <c r="E12" s="198">
        <f t="shared" ref="E12:M12" si="4">E11/E5</f>
        <v>0.1323758789216169</v>
      </c>
      <c r="F12" s="198">
        <f t="shared" si="4"/>
        <v>9.4481797062591411E-2</v>
      </c>
      <c r="G12" s="198">
        <f t="shared" si="4"/>
        <v>-0.51298522362569821</v>
      </c>
      <c r="H12" s="198">
        <f t="shared" si="4"/>
        <v>0.11843306193246456</v>
      </c>
      <c r="I12" s="198">
        <f t="shared" si="4"/>
        <v>0.10316798370643225</v>
      </c>
      <c r="J12" s="198">
        <f t="shared" si="4"/>
        <v>9.5744490352934086E-2</v>
      </c>
      <c r="K12" s="198">
        <f t="shared" si="4"/>
        <v>7.851439268590539E-2</v>
      </c>
      <c r="L12" s="198">
        <f t="shared" si="4"/>
        <v>9.6334911551953242E-2</v>
      </c>
      <c r="M12" s="198">
        <f t="shared" si="4"/>
        <v>9.0507350632275232E-2</v>
      </c>
      <c r="N12" s="198"/>
      <c r="O12" s="198"/>
    </row>
    <row r="13" spans="1:15" ht="12" customHeight="1" x14ac:dyDescent="0.2">
      <c r="A13" s="193" t="s">
        <v>205</v>
      </c>
      <c r="B13" s="199">
        <f>B11/C11-1</f>
        <v>-1</v>
      </c>
      <c r="C13" s="199">
        <f>C11/D11-1</f>
        <v>0.26211463501063093</v>
      </c>
      <c r="D13" s="199">
        <f>D11/E11-1</f>
        <v>0.88325582365331257</v>
      </c>
      <c r="E13" s="199">
        <f t="shared" ref="E13:L13" si="5">E11/F11-1</f>
        <v>0.48553224007600493</v>
      </c>
      <c r="F13" s="199">
        <f t="shared" si="5"/>
        <v>-1.1557414751983839</v>
      </c>
      <c r="G13" s="199">
        <f t="shared" si="5"/>
        <v>-2.5956424667025946</v>
      </c>
      <c r="H13" s="199">
        <f t="shared" si="5"/>
        <v>0.11552929456019512</v>
      </c>
      <c r="I13" s="199">
        <f t="shared" si="5"/>
        <v>-0.1403786808676093</v>
      </c>
      <c r="J13" s="199">
        <f t="shared" si="5"/>
        <v>0.20596396572856479</v>
      </c>
      <c r="K13" s="199">
        <f t="shared" si="5"/>
        <v>-0.20769690186414858</v>
      </c>
      <c r="L13" s="199">
        <f t="shared" si="5"/>
        <v>0.20058153485680408</v>
      </c>
      <c r="M13" s="199"/>
      <c r="N13" s="199"/>
      <c r="O13" s="199"/>
    </row>
    <row r="14" spans="1:15" ht="12" customHeight="1" x14ac:dyDescent="0.2">
      <c r="A14" s="193" t="s">
        <v>206</v>
      </c>
      <c r="B14" s="197"/>
      <c r="C14" s="197">
        <f>Cifras_Originales!B9</f>
        <v>87.6</v>
      </c>
      <c r="D14" s="197">
        <f>Cifras_Originales!C9</f>
        <v>26.250999999999998</v>
      </c>
      <c r="E14" s="197">
        <f>Cifras_Originales!D9</f>
        <v>28.096999999999998</v>
      </c>
      <c r="F14" s="197">
        <f>Cifras_Originales!E9</f>
        <v>85.225000000000009</v>
      </c>
      <c r="G14" s="197">
        <f>Cifras_Originales!F9</f>
        <v>129.84800000000001</v>
      </c>
      <c r="H14" s="197">
        <f>Cifras_Originales!G9</f>
        <v>255.958</v>
      </c>
      <c r="I14" s="197">
        <f>Cifras_Originales!H9</f>
        <v>320.536</v>
      </c>
      <c r="J14" s="197">
        <f>Cifras_Originales!I9</f>
        <v>335.76599999999996</v>
      </c>
      <c r="K14" s="197">
        <f>Cifras_Originales!J9</f>
        <v>533.91399999999999</v>
      </c>
      <c r="L14" s="197">
        <f>Cifras_Originales!K9</f>
        <v>473.93200000000002</v>
      </c>
      <c r="M14" s="197">
        <f>Cifras_Originales!L9</f>
        <v>331.49100000000004</v>
      </c>
      <c r="N14" s="197"/>
      <c r="O14" s="197"/>
    </row>
    <row r="15" spans="1:15" ht="12" customHeight="1" x14ac:dyDescent="0.2">
      <c r="A15" s="193" t="s">
        <v>207</v>
      </c>
      <c r="B15" s="197"/>
      <c r="C15" s="197">
        <f>Cifras_Originales!B10</f>
        <v>8.9</v>
      </c>
      <c r="D15" s="197">
        <f>Cifras_Originales!C10</f>
        <v>-9.5</v>
      </c>
      <c r="E15" s="197">
        <f>Cifras_Originales!D10</f>
        <v>-222.29999999999995</v>
      </c>
      <c r="F15" s="197">
        <f>Cifras_Originales!E10</f>
        <v>755</v>
      </c>
      <c r="G15" s="197">
        <f>Cifras_Originales!F10</f>
        <v>-1721.1</v>
      </c>
      <c r="H15" s="197">
        <f>Cifras_Originales!G10</f>
        <v>-368.1</v>
      </c>
      <c r="I15" s="197">
        <f>Cifras_Originales!H10</f>
        <v>28.599999999999994</v>
      </c>
      <c r="J15" s="197">
        <f>Cifras_Originales!I10</f>
        <v>-366.3</v>
      </c>
      <c r="K15" s="197">
        <f>Cifras_Originales!J10</f>
        <v>1.5999999999999956</v>
      </c>
      <c r="L15" s="197">
        <f>Cifras_Originales!K10</f>
        <v>148.70000000000002</v>
      </c>
      <c r="M15" s="197">
        <f>Cifras_Originales!L10</f>
        <v>15.699999999999998</v>
      </c>
      <c r="N15" s="197"/>
      <c r="O15" s="197"/>
    </row>
    <row r="16" spans="1:15" ht="12" customHeight="1" x14ac:dyDescent="0.2">
      <c r="A16" s="193" t="s">
        <v>208</v>
      </c>
      <c r="B16" s="197">
        <f>B11-B14-B15</f>
        <v>0</v>
      </c>
      <c r="C16" s="197">
        <f>C11-C14-C15</f>
        <v>245.42200000000003</v>
      </c>
      <c r="D16" s="197">
        <f>D11-D14-D15</f>
        <v>254.16099999999997</v>
      </c>
      <c r="E16" s="197">
        <f t="shared" ref="E16:M16" si="6">E11-E14-E15</f>
        <v>338.05599999999998</v>
      </c>
      <c r="F16" s="197">
        <f t="shared" si="6"/>
        <v>-743.38900000000001</v>
      </c>
      <c r="G16" s="197">
        <f t="shared" si="6"/>
        <v>969.47799999999984</v>
      </c>
      <c r="H16" s="197">
        <f t="shared" si="6"/>
        <v>501.81200000000001</v>
      </c>
      <c r="I16" s="197">
        <f t="shared" si="6"/>
        <v>0.17800000000002569</v>
      </c>
      <c r="J16" s="197">
        <f t="shared" si="6"/>
        <v>436.89200000000005</v>
      </c>
      <c r="K16" s="197">
        <f t="shared" si="6"/>
        <v>-198.55699999999999</v>
      </c>
      <c r="L16" s="197">
        <f t="shared" si="6"/>
        <v>-197.34400000000002</v>
      </c>
      <c r="M16" s="197">
        <f t="shared" si="6"/>
        <v>7.0439999999999738</v>
      </c>
      <c r="N16" s="197"/>
      <c r="O16" s="197"/>
    </row>
    <row r="17" spans="1:15" ht="12" customHeight="1" x14ac:dyDescent="0.2">
      <c r="A17" s="193" t="s">
        <v>209</v>
      </c>
      <c r="B17" s="197"/>
      <c r="C17" s="197">
        <f>Cifras_Originales!B11</f>
        <v>69.617999999999995</v>
      </c>
      <c r="D17" s="197">
        <f>Cifras_Originales!C11</f>
        <v>59.131999999999998</v>
      </c>
      <c r="E17" s="197">
        <f>Cifras_Originales!D11</f>
        <v>101.178</v>
      </c>
      <c r="F17" s="197">
        <f>Cifras_Originales!E11</f>
        <v>143.51599999999999</v>
      </c>
      <c r="G17" s="197">
        <f>Cifras_Originales!F11</f>
        <v>193.35599999999999</v>
      </c>
      <c r="H17" s="197">
        <f>Cifras_Originales!G11</f>
        <v>239.99799999999999</v>
      </c>
      <c r="I17" s="197">
        <f>Cifras_Originales!H11</f>
        <v>264.74200000000002</v>
      </c>
      <c r="J17" s="197">
        <f>Cifras_Originales!I11</f>
        <v>264.87900000000002</v>
      </c>
      <c r="K17" s="197">
        <f>Cifras_Originales!J11</f>
        <v>282.94600000000003</v>
      </c>
      <c r="L17" s="197">
        <f>Cifras_Originales!K11</f>
        <v>288.33100000000002</v>
      </c>
      <c r="M17" s="197">
        <f>Cifras_Originales!L11</f>
        <v>0</v>
      </c>
      <c r="N17" s="197"/>
      <c r="O17" s="197"/>
    </row>
    <row r="18" spans="1:15" ht="12" customHeight="1" x14ac:dyDescent="0.2">
      <c r="A18" s="193" t="s">
        <v>210</v>
      </c>
      <c r="B18" s="197"/>
      <c r="C18" s="197">
        <f>Cifras_Originales!B12</f>
        <v>-43.795999999999999</v>
      </c>
      <c r="D18" s="197">
        <f>Cifras_Originales!C12</f>
        <v>-1.8580000000000001</v>
      </c>
      <c r="E18" s="197">
        <f>Cifras_Originales!D12</f>
        <v>-179.874</v>
      </c>
      <c r="F18" s="197">
        <f>Cifras_Originales!E12</f>
        <v>-299.17700000000002</v>
      </c>
      <c r="G18" s="197">
        <f>Cifras_Originales!F12</f>
        <v>-235.89500000000001</v>
      </c>
      <c r="H18" s="197">
        <f>Cifras_Originales!G12</f>
        <v>-81.3</v>
      </c>
      <c r="I18" s="197">
        <f>Cifras_Originales!H12</f>
        <v>-230.488</v>
      </c>
      <c r="J18" s="197">
        <f>Cifras_Originales!I12</f>
        <v>-172.047</v>
      </c>
      <c r="K18" s="197">
        <f>Cifras_Originales!J12</f>
        <v>-212.58199999999999</v>
      </c>
      <c r="L18" s="197">
        <f>Cifras_Originales!K12</f>
        <v>-130.70500000000001</v>
      </c>
      <c r="M18" s="197">
        <f>Cifras_Originales!L12</f>
        <v>-119.06</v>
      </c>
      <c r="N18" s="197"/>
      <c r="O18" s="197"/>
    </row>
    <row r="19" spans="1:15" ht="12" customHeight="1" x14ac:dyDescent="0.2">
      <c r="A19" s="193" t="s">
        <v>211</v>
      </c>
      <c r="B19" s="197">
        <f>B11-B15+B17</f>
        <v>0</v>
      </c>
      <c r="C19" s="197">
        <f>C11-C15+C17</f>
        <v>402.64000000000004</v>
      </c>
      <c r="D19" s="197">
        <f>D11-D15+D17</f>
        <v>339.54399999999998</v>
      </c>
      <c r="E19" s="197">
        <f t="shared" ref="E19:M19" si="7">E11-E15+E17</f>
        <v>467.33099999999996</v>
      </c>
      <c r="F19" s="197">
        <f>F11-F15+F17</f>
        <v>-514.64800000000002</v>
      </c>
      <c r="G19" s="197">
        <f t="shared" si="7"/>
        <v>1292.682</v>
      </c>
      <c r="H19" s="197">
        <f t="shared" si="7"/>
        <v>997.76800000000003</v>
      </c>
      <c r="I19" s="197">
        <f t="shared" si="7"/>
        <v>585.45600000000013</v>
      </c>
      <c r="J19" s="197">
        <f t="shared" si="7"/>
        <v>1037.537</v>
      </c>
      <c r="K19" s="197">
        <f t="shared" si="7"/>
        <v>618.303</v>
      </c>
      <c r="L19" s="197">
        <f t="shared" si="7"/>
        <v>564.91899999999998</v>
      </c>
      <c r="M19" s="197">
        <f t="shared" si="7"/>
        <v>338.53500000000003</v>
      </c>
      <c r="N19" s="197"/>
      <c r="O19" s="197"/>
    </row>
    <row r="20" spans="1:15" ht="12.75" x14ac:dyDescent="0.2">
      <c r="A20" s="193" t="s">
        <v>202</v>
      </c>
      <c r="B20" s="198" t="e">
        <f>B19/B5</f>
        <v>#DIV/0!</v>
      </c>
      <c r="C20" s="198">
        <f>C19/C5</f>
        <v>0.27126810969299764</v>
      </c>
      <c r="D20" s="198">
        <f>D19/D5</f>
        <v>0.27332522452830338</v>
      </c>
      <c r="E20" s="198">
        <f t="shared" ref="E20:M20" si="8">E19/E5</f>
        <v>0.43004561512320311</v>
      </c>
      <c r="F20" s="198">
        <f t="shared" si="8"/>
        <v>-0.50213627054678578</v>
      </c>
      <c r="G20" s="198">
        <f t="shared" si="8"/>
        <v>1.0665077099507454</v>
      </c>
      <c r="H20" s="198">
        <f t="shared" si="8"/>
        <v>0.30325331521089971</v>
      </c>
      <c r="I20" s="198">
        <f t="shared" si="8"/>
        <v>0.17291123478827933</v>
      </c>
      <c r="J20" s="198">
        <f t="shared" si="8"/>
        <v>0.24446042968838358</v>
      </c>
      <c r="K20" s="198">
        <f t="shared" si="8"/>
        <v>0.14407085931104965</v>
      </c>
      <c r="L20" s="198">
        <f t="shared" si="8"/>
        <v>0.12796369024994325</v>
      </c>
      <c r="M20" s="198">
        <f t="shared" si="8"/>
        <v>8.6495986975587663E-2</v>
      </c>
      <c r="N20" s="198"/>
      <c r="O20" s="198"/>
    </row>
    <row r="21" spans="1:15" ht="12" customHeight="1" x14ac:dyDescent="0.2">
      <c r="A21" s="193" t="s">
        <v>212</v>
      </c>
      <c r="B21" s="197"/>
      <c r="C21" s="197">
        <f>Cifras_Originales!B15</f>
        <v>137.803</v>
      </c>
      <c r="D21" s="197">
        <f>Cifras_Originales!C15</f>
        <v>184.59099999999998</v>
      </c>
      <c r="E21" s="197">
        <f>Cifras_Originales!D15</f>
        <v>145.6</v>
      </c>
      <c r="F21" s="197">
        <f>Cifras_Originales!E15</f>
        <v>-130.1</v>
      </c>
      <c r="G21" s="197">
        <f>Cifras_Originales!F15</f>
        <v>31.041</v>
      </c>
      <c r="H21" s="197">
        <f>Cifras_Originales!G15</f>
        <v>131.77099999999999</v>
      </c>
      <c r="I21" s="197">
        <f>Cifras_Originales!H15</f>
        <v>-91.308000000000007</v>
      </c>
      <c r="J21" s="197">
        <f>Cifras_Originales!I15</f>
        <v>65.001000000000005</v>
      </c>
      <c r="K21" s="197">
        <f>Cifras_Originales!J15</f>
        <v>117.73</v>
      </c>
      <c r="L21" s="197">
        <f>Cifras_Originales!K15</f>
        <v>-39.06</v>
      </c>
      <c r="M21" s="197">
        <f>Cifras_Originales!L15</f>
        <v>76.745999999999995</v>
      </c>
      <c r="N21" s="197"/>
      <c r="O21" s="197"/>
    </row>
    <row r="22" spans="1:15" ht="12" customHeight="1" x14ac:dyDescent="0.2">
      <c r="A22" s="193" t="s">
        <v>213</v>
      </c>
      <c r="B22" s="200" t="e">
        <f>+B21/B16</f>
        <v>#DIV/0!</v>
      </c>
      <c r="C22" s="200">
        <f>+C21/C16</f>
        <v>0.56149407958536712</v>
      </c>
      <c r="D22" s="200">
        <f>+D21/D16</f>
        <v>0.72627586451107762</v>
      </c>
      <c r="E22" s="200">
        <f t="shared" ref="E22:M22" si="9">+E21/E16</f>
        <v>0.4306978725418274</v>
      </c>
      <c r="F22" s="200">
        <f t="shared" si="9"/>
        <v>0.17500931544588363</v>
      </c>
      <c r="G22" s="200">
        <f t="shared" si="9"/>
        <v>3.2018261373646439E-2</v>
      </c>
      <c r="H22" s="200">
        <f t="shared" si="9"/>
        <v>0.26259037249009587</v>
      </c>
      <c r="I22" s="200">
        <f t="shared" si="9"/>
        <v>-512.96629213475751</v>
      </c>
      <c r="J22" s="200">
        <f t="shared" si="9"/>
        <v>0.14878047663953561</v>
      </c>
      <c r="K22" s="200">
        <f t="shared" si="9"/>
        <v>-0.59292797534209329</v>
      </c>
      <c r="L22" s="200">
        <f t="shared" si="9"/>
        <v>0.19792849035187285</v>
      </c>
      <c r="M22" s="200">
        <f t="shared" si="9"/>
        <v>10.895229982964265</v>
      </c>
      <c r="N22" s="200"/>
      <c r="O22" s="200"/>
    </row>
    <row r="23" spans="1:15" ht="12" customHeight="1" x14ac:dyDescent="0.2">
      <c r="A23" s="193" t="s">
        <v>41</v>
      </c>
      <c r="B23" s="197"/>
      <c r="C23" s="197">
        <f>Cifras_Originales!B16</f>
        <v>107.59</v>
      </c>
      <c r="D23" s="197">
        <f>Cifras_Originales!C16</f>
        <v>69.572999999999993</v>
      </c>
      <c r="E23" s="197">
        <f>Cifras_Originales!D16</f>
        <v>192.446</v>
      </c>
      <c r="F23" s="197">
        <f>Cifras_Originales!E16</f>
        <v>-613.33100000000002</v>
      </c>
      <c r="G23" s="197">
        <f>Cifras_Originales!F16</f>
        <v>938.48400000000004</v>
      </c>
      <c r="H23" s="197">
        <f>Cifras_Originales!G16</f>
        <v>370.06700000000001</v>
      </c>
      <c r="I23" s="197">
        <f>Cifras_Originales!H16</f>
        <v>91.465000000000003</v>
      </c>
      <c r="J23" s="197">
        <f>Cifras_Originales!I16</f>
        <v>371.84699999999998</v>
      </c>
      <c r="K23" s="197">
        <f>Cifras_Originales!J16</f>
        <v>-316.24799999999999</v>
      </c>
      <c r="L23" s="197">
        <f>Cifras_Originales!K16</f>
        <v>-158.291</v>
      </c>
      <c r="M23" s="197">
        <f>Cifras_Originales!L16</f>
        <v>-69.7</v>
      </c>
      <c r="N23" s="197"/>
      <c r="O23" s="197"/>
    </row>
    <row r="24" spans="1:15" ht="12" customHeight="1" x14ac:dyDescent="0.2">
      <c r="A24" s="193" t="s">
        <v>202</v>
      </c>
      <c r="B24" s="198" t="e">
        <f>B23/B5</f>
        <v>#DIV/0!</v>
      </c>
      <c r="C24" s="198">
        <f>C23/C5</f>
        <v>7.2485932649189372E-2</v>
      </c>
      <c r="D24" s="198">
        <f>D23/D5</f>
        <v>5.6004688188004061E-2</v>
      </c>
      <c r="E24" s="198">
        <f t="shared" ref="E24:M24" si="10">E23/E5</f>
        <v>0.17709195077578838</v>
      </c>
      <c r="F24" s="198">
        <f t="shared" si="10"/>
        <v>-0.59842016475480464</v>
      </c>
      <c r="G24" s="198">
        <f t="shared" si="10"/>
        <v>0.77428201341506686</v>
      </c>
      <c r="H24" s="198">
        <f t="shared" si="10"/>
        <v>0.11247508899879734</v>
      </c>
      <c r="I24" s="198">
        <f t="shared" si="10"/>
        <v>2.7013688628880678E-2</v>
      </c>
      <c r="J24" s="198">
        <f t="shared" si="10"/>
        <v>8.7613142854988654E-2</v>
      </c>
      <c r="K24" s="198">
        <f t="shared" si="10"/>
        <v>-7.3688986007508991E-2</v>
      </c>
      <c r="L24" s="198">
        <f t="shared" si="10"/>
        <v>-3.5855583709087091E-2</v>
      </c>
      <c r="M24" s="198">
        <f t="shared" si="10"/>
        <v>-1.7808410628733985E-2</v>
      </c>
      <c r="N24" s="198"/>
      <c r="O24" s="198"/>
    </row>
    <row r="25" spans="1:15" ht="12" customHeight="1" x14ac:dyDescent="0.2">
      <c r="A25" s="201" t="s">
        <v>214</v>
      </c>
      <c r="B25" s="202">
        <f>B23/C23-1</f>
        <v>-1</v>
      </c>
      <c r="C25" s="202">
        <f>C23/D23-1</f>
        <v>0.54643324278096417</v>
      </c>
      <c r="D25" s="202">
        <f>D23/E23-1</f>
        <v>-0.63848040489280111</v>
      </c>
      <c r="E25" s="202">
        <f t="shared" ref="E25:L25" si="11">E23/F23-1</f>
        <v>-1.3137718458711527</v>
      </c>
      <c r="F25" s="202">
        <f t="shared" si="11"/>
        <v>-1.65353378427336</v>
      </c>
      <c r="G25" s="202">
        <f t="shared" si="11"/>
        <v>1.5359840245144798</v>
      </c>
      <c r="H25" s="202">
        <f t="shared" si="11"/>
        <v>3.0459957360739081</v>
      </c>
      <c r="I25" s="202">
        <f t="shared" si="11"/>
        <v>-0.754025177021732</v>
      </c>
      <c r="J25" s="202">
        <f t="shared" si="11"/>
        <v>-2.175808226455187</v>
      </c>
      <c r="K25" s="202">
        <f t="shared" si="11"/>
        <v>0.99788996215830328</v>
      </c>
      <c r="L25" s="202">
        <f t="shared" si="11"/>
        <v>1.2710329985652797</v>
      </c>
      <c r="M25" s="202"/>
      <c r="N25" s="198"/>
      <c r="O25" s="198"/>
    </row>
    <row r="26" spans="1:15" ht="12" customHeight="1" x14ac:dyDescent="0.2">
      <c r="A26" s="193" t="s">
        <v>215</v>
      </c>
      <c r="B26" s="197">
        <f>B40-C40</f>
        <v>-85.167000000000002</v>
      </c>
      <c r="C26" s="197">
        <f>C40-D40</f>
        <v>-239.63399999999999</v>
      </c>
      <c r="D26" s="197">
        <f>D40-E40</f>
        <v>-425.34600000000006</v>
      </c>
      <c r="E26" s="197">
        <f t="shared" ref="E26:M26" si="12">E40-F40</f>
        <v>688.57100000000003</v>
      </c>
      <c r="F26" s="197">
        <f t="shared" si="12"/>
        <v>-326.91399999999999</v>
      </c>
      <c r="G26" s="197">
        <f t="shared" si="12"/>
        <v>67.923000000000002</v>
      </c>
      <c r="H26" s="197">
        <f t="shared" si="12"/>
        <v>-144.39799999999997</v>
      </c>
      <c r="I26" s="197">
        <f t="shared" si="12"/>
        <v>6.2919999999999732</v>
      </c>
      <c r="J26" s="197">
        <f t="shared" si="12"/>
        <v>-2.9110000000000014</v>
      </c>
      <c r="K26" s="197">
        <f t="shared" si="12"/>
        <v>-98.315999999999974</v>
      </c>
      <c r="L26" s="197">
        <f t="shared" si="12"/>
        <v>559.9</v>
      </c>
      <c r="M26" s="197">
        <f t="shared" si="12"/>
        <v>0</v>
      </c>
      <c r="N26" s="198"/>
      <c r="O26" s="198"/>
    </row>
    <row r="27" spans="1:15" ht="12" customHeight="1" x14ac:dyDescent="0.2">
      <c r="A27" s="203" t="s">
        <v>216</v>
      </c>
      <c r="B27" s="204"/>
      <c r="C27" s="204">
        <f>Cifras_Originales!B17</f>
        <v>0</v>
      </c>
      <c r="D27" s="204">
        <f>Cifras_Originales!C17</f>
        <v>0</v>
      </c>
      <c r="E27" s="204">
        <f>Cifras_Originales!D17</f>
        <v>0</v>
      </c>
      <c r="F27" s="204">
        <f>Cifras_Originales!E17</f>
        <v>0</v>
      </c>
      <c r="G27" s="204">
        <f>Cifras_Originales!F17</f>
        <v>0</v>
      </c>
      <c r="H27" s="204">
        <f>Cifras_Originales!G17</f>
        <v>-11.103</v>
      </c>
      <c r="I27" s="204">
        <f>Cifras_Originales!H17</f>
        <v>-19.370999999999999</v>
      </c>
      <c r="J27" s="204">
        <f>Cifras_Originales!I17</f>
        <v>-2.1589999999999998</v>
      </c>
      <c r="K27" s="204">
        <f>Cifras_Originales!J17</f>
        <v>-23.053999999999998</v>
      </c>
      <c r="L27" s="204">
        <f>Cifras_Originales!K17</f>
        <v>-8.3810000000000002</v>
      </c>
      <c r="M27" s="204">
        <f>Cifras_Originales!L17</f>
        <v>0</v>
      </c>
      <c r="N27" s="198"/>
      <c r="O27" s="198"/>
    </row>
    <row r="28" spans="1:15" ht="12" customHeight="1" x14ac:dyDescent="0.2">
      <c r="A28" s="365"/>
      <c r="B28" s="366" t="e">
        <f>B27/C27-1</f>
        <v>#DIV/0!</v>
      </c>
      <c r="C28" s="366" t="e">
        <f>C27/D27-1</f>
        <v>#DIV/0!</v>
      </c>
      <c r="D28" s="366" t="e">
        <f t="shared" ref="D28:L28" si="13">D27/E27-1</f>
        <v>#DIV/0!</v>
      </c>
      <c r="E28" s="366" t="e">
        <f t="shared" si="13"/>
        <v>#DIV/0!</v>
      </c>
      <c r="F28" s="366" t="e">
        <f t="shared" si="13"/>
        <v>#DIV/0!</v>
      </c>
      <c r="G28" s="366">
        <f t="shared" si="13"/>
        <v>-1</v>
      </c>
      <c r="H28" s="366">
        <f t="shared" si="13"/>
        <v>-0.42682360229208605</v>
      </c>
      <c r="I28" s="366">
        <f t="shared" si="13"/>
        <v>7.9722093561834182</v>
      </c>
      <c r="J28" s="366">
        <f t="shared" si="13"/>
        <v>-0.90635030797258609</v>
      </c>
      <c r="K28" s="366">
        <f t="shared" si="13"/>
        <v>1.7507457343992363</v>
      </c>
      <c r="L28" s="366" t="e">
        <f t="shared" si="13"/>
        <v>#DIV/0!</v>
      </c>
      <c r="M28" s="197"/>
      <c r="N28" s="198"/>
      <c r="O28" s="198"/>
    </row>
    <row r="29" spans="1:15" ht="12" customHeight="1" x14ac:dyDescent="0.2">
      <c r="A29" s="205" t="s">
        <v>217</v>
      </c>
      <c r="B29" s="206"/>
      <c r="C29" s="206">
        <f>Cifras_Originales!B18</f>
        <v>-112.47799999999999</v>
      </c>
      <c r="D29" s="206">
        <f>Cifras_Originales!C18</f>
        <v>-535.33899999999994</v>
      </c>
      <c r="E29" s="206">
        <f>Cifras_Originales!D18</f>
        <v>-380.505</v>
      </c>
      <c r="F29" s="206">
        <f>Cifras_Originales!E18</f>
        <v>-264.02999999999997</v>
      </c>
      <c r="G29" s="206">
        <f>Cifras_Originales!F18</f>
        <v>-99.253</v>
      </c>
      <c r="H29" s="206">
        <f>Cifras_Originales!G18</f>
        <v>0</v>
      </c>
      <c r="I29" s="206">
        <f>Cifras_Originales!H18</f>
        <v>0</v>
      </c>
      <c r="J29" s="206">
        <f>Cifras_Originales!I18</f>
        <v>0</v>
      </c>
      <c r="K29" s="206">
        <f>Cifras_Originales!J18</f>
        <v>0</v>
      </c>
      <c r="L29" s="206">
        <f>Cifras_Originales!K18</f>
        <v>0</v>
      </c>
      <c r="M29" s="206">
        <f>Cifras_Originales!L18</f>
        <v>0</v>
      </c>
      <c r="N29" s="198"/>
      <c r="O29" s="198"/>
    </row>
    <row r="30" spans="1:15" ht="12" customHeight="1" x14ac:dyDescent="0.2">
      <c r="A30" s="193" t="s">
        <v>12</v>
      </c>
      <c r="B30" s="197" t="e">
        <f>SUM(B26:B29)</f>
        <v>#DIV/0!</v>
      </c>
      <c r="C30" s="197" t="e">
        <f>SUM(C26:C29)</f>
        <v>#DIV/0!</v>
      </c>
      <c r="D30" s="197" t="e">
        <f>SUM(D26:D29)</f>
        <v>#DIV/0!</v>
      </c>
      <c r="E30" s="197" t="e">
        <f t="shared" ref="E30:M30" si="14">SUM(E26:E29)</f>
        <v>#DIV/0!</v>
      </c>
      <c r="F30" s="197" t="e">
        <f t="shared" si="14"/>
        <v>#DIV/0!</v>
      </c>
      <c r="G30" s="197">
        <f t="shared" si="14"/>
        <v>-32.33</v>
      </c>
      <c r="H30" s="197">
        <f t="shared" si="14"/>
        <v>-155.92782360229205</v>
      </c>
      <c r="I30" s="197">
        <f t="shared" si="14"/>
        <v>-5.1067906438166073</v>
      </c>
      <c r="J30" s="197">
        <f t="shared" si="14"/>
        <v>-5.976350307972587</v>
      </c>
      <c r="K30" s="197">
        <f t="shared" si="14"/>
        <v>-119.61925426560074</v>
      </c>
      <c r="L30" s="197" t="e">
        <f t="shared" si="14"/>
        <v>#DIV/0!</v>
      </c>
      <c r="M30" s="197">
        <f t="shared" si="14"/>
        <v>0</v>
      </c>
      <c r="N30" s="198"/>
      <c r="O30" s="198"/>
    </row>
    <row r="31" spans="1:15" ht="12" customHeight="1" x14ac:dyDescent="0.2">
      <c r="A31" s="207" t="s">
        <v>218</v>
      </c>
      <c r="B31" s="208" t="e">
        <f>B30-(B60-C60)</f>
        <v>#DIV/0!</v>
      </c>
      <c r="C31" s="208" t="e">
        <f>C30-(C60-D60)</f>
        <v>#DIV/0!</v>
      </c>
      <c r="D31" s="208" t="e">
        <f>D30-(D60-E60)</f>
        <v>#DIV/0!</v>
      </c>
      <c r="E31" s="208" t="e">
        <f t="shared" ref="E31:M31" si="15">E30-(E60-F60)</f>
        <v>#DIV/0!</v>
      </c>
      <c r="F31" s="208" t="e">
        <f t="shared" si="15"/>
        <v>#DIV/0!</v>
      </c>
      <c r="G31" s="208">
        <f t="shared" si="15"/>
        <v>341.09599999999995</v>
      </c>
      <c r="H31" s="208">
        <f t="shared" si="15"/>
        <v>515.81417639770768</v>
      </c>
      <c r="I31" s="208">
        <f t="shared" si="15"/>
        <v>861.04320935618307</v>
      </c>
      <c r="J31" s="208">
        <f t="shared" si="15"/>
        <v>-167.97635030797258</v>
      </c>
      <c r="K31" s="208">
        <f t="shared" si="15"/>
        <v>-349.93725426560002</v>
      </c>
      <c r="L31" s="208" t="e">
        <f t="shared" si="15"/>
        <v>#DIV/0!</v>
      </c>
      <c r="M31" s="208">
        <f t="shared" si="15"/>
        <v>0</v>
      </c>
      <c r="N31" s="208"/>
      <c r="O31" s="208"/>
    </row>
    <row r="32" spans="1:15" ht="12" customHeight="1" x14ac:dyDescent="0.2">
      <c r="A32" s="209" t="s">
        <v>219</v>
      </c>
      <c r="B32" s="210" t="e">
        <f>B31+B34</f>
        <v>#DIV/0!</v>
      </c>
      <c r="C32" s="210" t="e">
        <f>C31+C34</f>
        <v>#DIV/0!</v>
      </c>
      <c r="D32" s="210" t="e">
        <f>D31+D34</f>
        <v>#DIV/0!</v>
      </c>
      <c r="E32" s="210" t="e">
        <f t="shared" ref="E32:M32" si="16">E31+E34</f>
        <v>#DIV/0!</v>
      </c>
      <c r="F32" s="210" t="e">
        <f t="shared" si="16"/>
        <v>#DIV/0!</v>
      </c>
      <c r="G32" s="210">
        <f t="shared" si="16"/>
        <v>339.89099999999996</v>
      </c>
      <c r="H32" s="210">
        <f t="shared" si="16"/>
        <v>498.79517639770768</v>
      </c>
      <c r="I32" s="210">
        <f t="shared" si="16"/>
        <v>860.20820935618303</v>
      </c>
      <c r="J32" s="210">
        <f t="shared" si="16"/>
        <v>-167.97635030797258</v>
      </c>
      <c r="K32" s="210">
        <f t="shared" si="16"/>
        <v>-357.91725426560004</v>
      </c>
      <c r="L32" s="210" t="e">
        <f t="shared" si="16"/>
        <v>#DIV/0!</v>
      </c>
      <c r="M32" s="210">
        <f t="shared" si="16"/>
        <v>0</v>
      </c>
      <c r="N32" s="197"/>
      <c r="O32" s="197"/>
    </row>
    <row r="33" spans="1:15" ht="12" customHeight="1" x14ac:dyDescent="0.2">
      <c r="A33" s="193" t="s">
        <v>117</v>
      </c>
      <c r="B33" s="197"/>
      <c r="C33" s="197">
        <f>Cifras_Originales!B13</f>
        <v>-51.898000000000003</v>
      </c>
      <c r="D33" s="197">
        <f>Cifras_Originales!C13</f>
        <v>30.658000000000001</v>
      </c>
      <c r="E33" s="197">
        <f>Cifras_Originales!D13</f>
        <v>2100.3760000000002</v>
      </c>
      <c r="F33" s="197">
        <f>Cifras_Originales!E13</f>
        <v>601.94500000000005</v>
      </c>
      <c r="G33" s="197">
        <f>Cifras_Originales!F13</f>
        <v>1110.4010000000001</v>
      </c>
      <c r="H33" s="197">
        <f>Cifras_Originales!G13</f>
        <v>137.761</v>
      </c>
      <c r="I33" s="197">
        <f>Cifras_Originales!H13</f>
        <v>-264.23200000000003</v>
      </c>
      <c r="J33" s="197">
        <f>Cifras_Originales!I13</f>
        <v>314.18299999999999</v>
      </c>
      <c r="K33" s="197">
        <f>Cifras_Originales!J13</f>
        <v>-139.97999999999999</v>
      </c>
      <c r="L33" s="197">
        <f>Cifras_Originales!K13</f>
        <v>-412.18099999999998</v>
      </c>
      <c r="M33" s="197">
        <f>Cifras_Originales!L13</f>
        <v>0</v>
      </c>
      <c r="N33" s="198"/>
      <c r="O33" s="198"/>
    </row>
    <row r="34" spans="1:15" ht="12" customHeight="1" x14ac:dyDescent="0.2">
      <c r="A34" s="211" t="s">
        <v>19</v>
      </c>
      <c r="B34" s="197"/>
      <c r="C34" s="197">
        <f>Cifras_Originales!B14</f>
        <v>0</v>
      </c>
      <c r="D34" s="197">
        <f>Cifras_Originales!C14</f>
        <v>0</v>
      </c>
      <c r="E34" s="197">
        <f>Cifras_Originales!D14</f>
        <v>0</v>
      </c>
      <c r="F34" s="197">
        <f>Cifras_Originales!E14</f>
        <v>0</v>
      </c>
      <c r="G34" s="197">
        <f>Cifras_Originales!F14</f>
        <v>-1.2050000000000001</v>
      </c>
      <c r="H34" s="197">
        <f>Cifras_Originales!G14</f>
        <v>-17.018999999999998</v>
      </c>
      <c r="I34" s="197">
        <f>Cifras_Originales!H14</f>
        <v>-0.83499999999999996</v>
      </c>
      <c r="J34" s="197">
        <f>Cifras_Originales!I14</f>
        <v>0</v>
      </c>
      <c r="K34" s="197">
        <f>Cifras_Originales!J14</f>
        <v>-7.98</v>
      </c>
      <c r="L34" s="197">
        <f>Cifras_Originales!K14</f>
        <v>-287.94499999999999</v>
      </c>
      <c r="M34" s="197">
        <f>Cifras_Originales!L14</f>
        <v>0</v>
      </c>
      <c r="N34" s="198"/>
      <c r="O34" s="198"/>
    </row>
    <row r="35" spans="1:15" ht="12" customHeight="1" x14ac:dyDescent="0.2">
      <c r="A35" s="211" t="s">
        <v>220</v>
      </c>
      <c r="B35" s="197">
        <f t="shared" ref="B35:M35" si="17">+B34+B33</f>
        <v>0</v>
      </c>
      <c r="C35" s="197">
        <f t="shared" si="17"/>
        <v>-51.898000000000003</v>
      </c>
      <c r="D35" s="197">
        <f t="shared" si="17"/>
        <v>30.658000000000001</v>
      </c>
      <c r="E35" s="197">
        <f t="shared" si="17"/>
        <v>2100.3760000000002</v>
      </c>
      <c r="F35" s="197">
        <f t="shared" si="17"/>
        <v>601.94500000000005</v>
      </c>
      <c r="G35" s="197">
        <f t="shared" si="17"/>
        <v>1109.1960000000001</v>
      </c>
      <c r="H35" s="197">
        <f t="shared" si="17"/>
        <v>120.74199999999999</v>
      </c>
      <c r="I35" s="197">
        <f t="shared" si="17"/>
        <v>-265.06700000000001</v>
      </c>
      <c r="J35" s="197">
        <f t="shared" si="17"/>
        <v>314.18299999999999</v>
      </c>
      <c r="K35" s="197">
        <f t="shared" si="17"/>
        <v>-147.95999999999998</v>
      </c>
      <c r="L35" s="197">
        <f t="shared" si="17"/>
        <v>-700.12599999999998</v>
      </c>
      <c r="M35" s="197">
        <f t="shared" si="17"/>
        <v>0</v>
      </c>
      <c r="N35" s="197"/>
      <c r="O35" s="197"/>
    </row>
    <row r="36" spans="1:15" ht="12" customHeight="1" x14ac:dyDescent="0.2">
      <c r="A36" s="211"/>
      <c r="B36" s="198" t="e">
        <f>+B35/B5</f>
        <v>#DIV/0!</v>
      </c>
      <c r="C36" s="198">
        <f>+C35/C5</f>
        <v>-3.4964912469817179E-2</v>
      </c>
      <c r="D36" s="198">
        <f t="shared" ref="D36:M36" si="18">+D35/D5</f>
        <v>2.4678995162891192E-2</v>
      </c>
      <c r="E36" s="198">
        <f t="shared" si="18"/>
        <v>1.9328002826904551</v>
      </c>
      <c r="F36" s="198">
        <f t="shared" si="18"/>
        <v>0.58731097249826092</v>
      </c>
      <c r="G36" s="198">
        <f t="shared" si="18"/>
        <v>0.91512536404663114</v>
      </c>
      <c r="H36" s="198">
        <f t="shared" si="18"/>
        <v>3.6697320203889529E-2</v>
      </c>
      <c r="I36" s="198">
        <f t="shared" si="18"/>
        <v>-7.8286091989192744E-2</v>
      </c>
      <c r="J36" s="198">
        <f t="shared" si="18"/>
        <v>7.4026575612036405E-2</v>
      </c>
      <c r="K36" s="198">
        <f t="shared" si="18"/>
        <v>-3.4476178093366693E-2</v>
      </c>
      <c r="L36" s="198">
        <f t="shared" si="18"/>
        <v>-0.15859035826363033</v>
      </c>
      <c r="M36" s="198">
        <f t="shared" si="18"/>
        <v>0</v>
      </c>
      <c r="N36" s="197"/>
      <c r="O36" s="197"/>
    </row>
    <row r="37" spans="1:15" ht="12" customHeight="1" x14ac:dyDescent="0.2">
      <c r="A37" s="211" t="s">
        <v>221</v>
      </c>
      <c r="B37" s="197" t="e">
        <f t="shared" ref="B37:M37" si="19">SUM(B27:B29)</f>
        <v>#DIV/0!</v>
      </c>
      <c r="C37" s="197" t="e">
        <f t="shared" si="19"/>
        <v>#DIV/0!</v>
      </c>
      <c r="D37" s="197" t="e">
        <f t="shared" si="19"/>
        <v>#DIV/0!</v>
      </c>
      <c r="E37" s="197" t="e">
        <f t="shared" si="19"/>
        <v>#DIV/0!</v>
      </c>
      <c r="F37" s="197" t="e">
        <f t="shared" si="19"/>
        <v>#DIV/0!</v>
      </c>
      <c r="G37" s="197">
        <f t="shared" si="19"/>
        <v>-100.253</v>
      </c>
      <c r="H37" s="197">
        <f t="shared" si="19"/>
        <v>-11.529823602292085</v>
      </c>
      <c r="I37" s="197">
        <f t="shared" si="19"/>
        <v>-11.39879064381658</v>
      </c>
      <c r="J37" s="197">
        <f t="shared" si="19"/>
        <v>-3.0653503079725857</v>
      </c>
      <c r="K37" s="197">
        <f t="shared" si="19"/>
        <v>-21.303254265600764</v>
      </c>
      <c r="L37" s="197" t="e">
        <f t="shared" si="19"/>
        <v>#DIV/0!</v>
      </c>
      <c r="M37" s="197">
        <f t="shared" si="19"/>
        <v>0</v>
      </c>
      <c r="N37" s="197"/>
      <c r="O37" s="197"/>
    </row>
    <row r="38" spans="1:15" ht="12" customHeight="1" x14ac:dyDescent="0.2">
      <c r="A38" s="196"/>
      <c r="B38" s="190"/>
      <c r="C38" s="190"/>
      <c r="D38" s="190"/>
      <c r="E38" s="190"/>
      <c r="F38" s="190"/>
      <c r="G38" s="190"/>
      <c r="H38" s="190"/>
      <c r="I38" s="190"/>
      <c r="J38" s="190"/>
      <c r="K38" s="190"/>
      <c r="L38" s="190"/>
      <c r="M38" s="190"/>
      <c r="N38" s="190"/>
      <c r="O38" s="190"/>
    </row>
    <row r="39" spans="1:15" ht="12" customHeight="1" x14ac:dyDescent="0.2">
      <c r="A39" s="212" t="s">
        <v>222</v>
      </c>
      <c r="B39" s="213"/>
      <c r="C39" s="213"/>
      <c r="D39" s="213"/>
      <c r="E39" s="213"/>
      <c r="F39" s="213"/>
      <c r="G39" s="213"/>
      <c r="H39" s="213"/>
      <c r="I39" s="213"/>
      <c r="J39" s="213"/>
      <c r="K39" s="213"/>
      <c r="L39" s="213"/>
      <c r="M39" s="213"/>
      <c r="N39" s="213"/>
      <c r="O39" s="213"/>
    </row>
    <row r="40" spans="1:15" ht="12" customHeight="1" x14ac:dyDescent="0.2">
      <c r="A40" s="193" t="s">
        <v>223</v>
      </c>
      <c r="B40" s="197"/>
      <c r="C40" s="197">
        <f>Cifras_Originales!B22</f>
        <v>85.167000000000002</v>
      </c>
      <c r="D40" s="197">
        <f>Cifras_Originales!C22</f>
        <v>324.80099999999999</v>
      </c>
      <c r="E40" s="197">
        <f>Cifras_Originales!D22</f>
        <v>750.14700000000005</v>
      </c>
      <c r="F40" s="197">
        <f>Cifras_Originales!E22</f>
        <v>61.576000000000001</v>
      </c>
      <c r="G40" s="197">
        <f>Cifras_Originales!F22</f>
        <v>388.49</v>
      </c>
      <c r="H40" s="197">
        <f>Cifras_Originales!G22</f>
        <v>320.56700000000001</v>
      </c>
      <c r="I40" s="197">
        <f>Cifras_Originales!H22</f>
        <v>464.96499999999997</v>
      </c>
      <c r="J40" s="197">
        <f>Cifras_Originales!I22</f>
        <v>458.673</v>
      </c>
      <c r="K40" s="197">
        <f>Cifras_Originales!J22</f>
        <v>461.584</v>
      </c>
      <c r="L40" s="197">
        <f>Cifras_Originales!K22</f>
        <v>559.9</v>
      </c>
      <c r="M40" s="197">
        <f>Cifras_Originales!L22</f>
        <v>0</v>
      </c>
      <c r="N40" s="197"/>
      <c r="O40" s="197"/>
    </row>
    <row r="41" spans="1:15" ht="12" customHeight="1" x14ac:dyDescent="0.2">
      <c r="A41" s="193" t="s">
        <v>224</v>
      </c>
      <c r="B41" s="197"/>
      <c r="C41" s="197">
        <f>Cifras_Originales!B23</f>
        <v>71.222999999999999</v>
      </c>
      <c r="D41" s="197">
        <f>Cifras_Originales!C23</f>
        <v>55.761000000000003</v>
      </c>
      <c r="E41" s="197">
        <f>Cifras_Originales!D23</f>
        <v>62.043999999999997</v>
      </c>
      <c r="F41" s="197">
        <f>Cifras_Originales!E23</f>
        <v>62.667000000000002</v>
      </c>
      <c r="G41" s="197">
        <f>Cifras_Originales!F23</f>
        <v>237.673</v>
      </c>
      <c r="H41" s="197">
        <f>Cifras_Originales!G23</f>
        <v>295.89</v>
      </c>
      <c r="I41" s="197">
        <f>Cifras_Originales!H23</f>
        <v>304.14699999999999</v>
      </c>
      <c r="J41" s="197">
        <f>Cifras_Originales!I23</f>
        <v>283.04500000000002</v>
      </c>
      <c r="K41" s="197">
        <f>Cifras_Originales!J23</f>
        <v>287.745</v>
      </c>
      <c r="L41" s="197">
        <f>Cifras_Originales!K23</f>
        <v>266.96800000000002</v>
      </c>
      <c r="M41" s="197">
        <f>Cifras_Originales!L23</f>
        <v>0</v>
      </c>
      <c r="N41" s="197"/>
      <c r="O41" s="197"/>
    </row>
    <row r="42" spans="1:15" ht="12" customHeight="1" x14ac:dyDescent="0.2">
      <c r="A42" s="193" t="s">
        <v>225</v>
      </c>
      <c r="B42" s="197"/>
      <c r="C42" s="197">
        <f>Cifras_Originales!B24</f>
        <v>0</v>
      </c>
      <c r="D42" s="197">
        <f>Cifras_Originales!C24</f>
        <v>0</v>
      </c>
      <c r="E42" s="197">
        <f>Cifras_Originales!D24</f>
        <v>0</v>
      </c>
      <c r="F42" s="197">
        <f>Cifras_Originales!E24</f>
        <v>0</v>
      </c>
      <c r="G42" s="197">
        <f>Cifras_Originales!F24</f>
        <v>0</v>
      </c>
      <c r="H42" s="197">
        <f>Cifras_Originales!G24</f>
        <v>0</v>
      </c>
      <c r="I42" s="197">
        <f>Cifras_Originales!H24</f>
        <v>0</v>
      </c>
      <c r="J42" s="197">
        <f>Cifras_Originales!I24</f>
        <v>0</v>
      </c>
      <c r="K42" s="197">
        <f>Cifras_Originales!J24</f>
        <v>1.8280000000000001</v>
      </c>
      <c r="L42" s="197">
        <f>Cifras_Originales!K24</f>
        <v>3.36</v>
      </c>
      <c r="M42" s="197">
        <f>Cifras_Originales!L24</f>
        <v>0</v>
      </c>
      <c r="N42" s="197"/>
      <c r="O42" s="197"/>
    </row>
    <row r="43" spans="1:15" ht="12" customHeight="1" x14ac:dyDescent="0.2">
      <c r="A43" s="193" t="s">
        <v>226</v>
      </c>
      <c r="B43" s="197"/>
      <c r="C43" s="197">
        <f>Cifras_Originales!B25</f>
        <v>912.97199999999998</v>
      </c>
      <c r="D43" s="197">
        <f>Cifras_Originales!C25</f>
        <v>883.86099999999999</v>
      </c>
      <c r="E43" s="197">
        <f>Cifras_Originales!D25</f>
        <v>1041.251</v>
      </c>
      <c r="F43" s="197">
        <f>Cifras_Originales!E25</f>
        <v>1162.394</v>
      </c>
      <c r="G43" s="197">
        <f>Cifras_Originales!F25</f>
        <v>1278.9349999999999</v>
      </c>
      <c r="H43" s="197">
        <f>Cifras_Originales!G25</f>
        <v>1380.4169999999999</v>
      </c>
      <c r="I43" s="197">
        <f>Cifras_Originales!H25</f>
        <v>2151.6329999999998</v>
      </c>
      <c r="J43" s="197">
        <f>Cifras_Originales!I25</f>
        <v>2290.9</v>
      </c>
      <c r="K43" s="197">
        <f>Cifras_Originales!J25</f>
        <v>2514.319</v>
      </c>
      <c r="L43" s="197">
        <f>Cifras_Originales!K25</f>
        <v>2656.7260000000001</v>
      </c>
      <c r="M43" s="197">
        <f>Cifras_Originales!L25</f>
        <v>0</v>
      </c>
      <c r="N43" s="197"/>
      <c r="O43" s="197"/>
    </row>
    <row r="44" spans="1:15" ht="12" customHeight="1" x14ac:dyDescent="0.2">
      <c r="A44" s="193" t="s">
        <v>227</v>
      </c>
      <c r="B44" s="197">
        <f>B45-SUM(B40:B43)</f>
        <v>0</v>
      </c>
      <c r="C44" s="197">
        <f>Cifras_Originales!B26</f>
        <v>902.875</v>
      </c>
      <c r="D44" s="197">
        <f>Cifras_Originales!C26</f>
        <v>946.88699999999994</v>
      </c>
      <c r="E44" s="197">
        <f>Cifras_Originales!D26</f>
        <v>3117.4520000000002</v>
      </c>
      <c r="F44" s="197">
        <f>Cifras_Originales!E26</f>
        <v>5209.7860000000001</v>
      </c>
      <c r="G44" s="197">
        <f>Cifras_Originales!F26</f>
        <v>4864.5380000000005</v>
      </c>
      <c r="H44" s="197">
        <f>Cifras_Originales!G26</f>
        <v>5394.4110000000001</v>
      </c>
      <c r="I44" s="197">
        <f>Cifras_Originales!H26</f>
        <v>4141.7250000000004</v>
      </c>
      <c r="J44" s="197">
        <f>Cifras_Originales!I26</f>
        <v>4406.4979999999996</v>
      </c>
      <c r="K44" s="197">
        <f>Cifras_Originales!J26</f>
        <v>5172.7420000000011</v>
      </c>
      <c r="L44" s="197">
        <f>Cifras_Originales!K26</f>
        <v>4968.1260000000002</v>
      </c>
      <c r="M44" s="197">
        <f>Cifras_Originales!L26</f>
        <v>0</v>
      </c>
      <c r="N44" s="197"/>
      <c r="O44" s="197"/>
    </row>
    <row r="45" spans="1:15" ht="12" customHeight="1" x14ac:dyDescent="0.2">
      <c r="A45" s="193" t="s">
        <v>228</v>
      </c>
      <c r="B45" s="676"/>
      <c r="C45" s="676">
        <f>Cifras_Originales!B27</f>
        <v>1972.2370000000001</v>
      </c>
      <c r="D45" s="676">
        <f>Cifras_Originales!C27</f>
        <v>2211.31</v>
      </c>
      <c r="E45" s="676">
        <f>Cifras_Originales!D27</f>
        <v>4970.8940000000002</v>
      </c>
      <c r="F45" s="676">
        <f>Cifras_Originales!E27</f>
        <v>6496.4229999999998</v>
      </c>
      <c r="G45" s="676">
        <f>Cifras_Originales!F27</f>
        <v>6769.6360000000004</v>
      </c>
      <c r="H45" s="676">
        <f>Cifras_Originales!G27</f>
        <v>7391.2849999999999</v>
      </c>
      <c r="I45" s="676">
        <f>Cifras_Originales!H27</f>
        <v>7062.47</v>
      </c>
      <c r="J45" s="676">
        <f>Cifras_Originales!I27</f>
        <v>7439.116</v>
      </c>
      <c r="K45" s="676">
        <f>Cifras_Originales!J27</f>
        <v>8438.2180000000008</v>
      </c>
      <c r="L45" s="676">
        <f>Cifras_Originales!K27</f>
        <v>8455.08</v>
      </c>
      <c r="M45" s="214">
        <f>Cifras_Originales!L27</f>
        <v>0</v>
      </c>
      <c r="N45" s="214"/>
      <c r="O45" s="214"/>
    </row>
    <row r="46" spans="1:15" ht="12" customHeight="1" x14ac:dyDescent="0.2">
      <c r="B46" s="189"/>
      <c r="C46" s="189"/>
      <c r="D46" s="189"/>
      <c r="E46" s="189"/>
      <c r="F46" s="189"/>
      <c r="G46" s="189"/>
      <c r="H46" s="189"/>
      <c r="I46" s="189"/>
      <c r="J46" s="678"/>
      <c r="K46" s="678"/>
      <c r="L46" s="678"/>
      <c r="M46" s="189"/>
      <c r="N46" s="189"/>
      <c r="O46" s="189"/>
    </row>
    <row r="47" spans="1:15" ht="12" customHeight="1" x14ac:dyDescent="0.2">
      <c r="B47" s="189"/>
      <c r="C47" s="189"/>
      <c r="D47" s="189"/>
      <c r="E47" s="189"/>
      <c r="F47" s="189"/>
      <c r="G47" s="189"/>
      <c r="H47" s="189"/>
      <c r="I47" s="189"/>
      <c r="J47" s="678"/>
      <c r="K47" s="678"/>
      <c r="L47" s="678"/>
      <c r="M47" s="189"/>
      <c r="N47" s="189"/>
      <c r="O47" s="189"/>
    </row>
    <row r="48" spans="1:15" ht="12" customHeight="1" x14ac:dyDescent="0.2">
      <c r="A48" s="212" t="s">
        <v>229</v>
      </c>
      <c r="B48" s="213"/>
      <c r="C48" s="213"/>
      <c r="D48" s="213"/>
      <c r="E48" s="213"/>
      <c r="F48" s="213"/>
      <c r="G48" s="213"/>
      <c r="H48" s="213"/>
      <c r="I48" s="213"/>
      <c r="J48" s="679"/>
      <c r="K48" s="679"/>
      <c r="L48" s="679"/>
      <c r="M48" s="213"/>
      <c r="N48" s="213"/>
      <c r="O48" s="213"/>
    </row>
    <row r="49" spans="1:15" ht="12" customHeight="1" x14ac:dyDescent="0.2">
      <c r="A49" s="193" t="s">
        <v>230</v>
      </c>
      <c r="B49" s="197"/>
      <c r="C49" s="197">
        <f>Cifras_Originales!B31</f>
        <v>381.387</v>
      </c>
      <c r="D49" s="197">
        <f>Cifras_Originales!C31</f>
        <v>371.928</v>
      </c>
      <c r="E49" s="197">
        <f>Cifras_Originales!D31</f>
        <v>804.55499999999995</v>
      </c>
      <c r="F49" s="197">
        <f>Cifras_Originales!E31</f>
        <v>1045.0550000000001</v>
      </c>
      <c r="G49" s="197">
        <f>Cifras_Originales!F31</f>
        <v>1190.087</v>
      </c>
      <c r="H49" s="197">
        <f>Cifras_Originales!G31</f>
        <v>1374.5889999999999</v>
      </c>
      <c r="I49" s="197">
        <f>Cifras_Originales!H31</f>
        <v>1440.232</v>
      </c>
      <c r="J49" s="675">
        <f>Cifras_Originales!I31</f>
        <v>0</v>
      </c>
      <c r="K49" s="675">
        <f>Cifras_Originales!J31</f>
        <v>0</v>
      </c>
      <c r="L49" s="675">
        <f>Cifras_Originales!K31</f>
        <v>1596.404</v>
      </c>
      <c r="M49" s="197">
        <f>Cifras_Originales!L31</f>
        <v>0</v>
      </c>
      <c r="N49" s="197"/>
      <c r="O49" s="197"/>
    </row>
    <row r="50" spans="1:15" ht="12" customHeight="1" x14ac:dyDescent="0.2">
      <c r="A50" s="193" t="s">
        <v>231</v>
      </c>
      <c r="B50" s="197"/>
      <c r="C50" s="197">
        <f>Cifras_Originales!B32</f>
        <v>0</v>
      </c>
      <c r="D50" s="197">
        <f>Cifras_Originales!C32</f>
        <v>0</v>
      </c>
      <c r="E50" s="197">
        <f>Cifras_Originales!D32</f>
        <v>0</v>
      </c>
      <c r="F50" s="197">
        <f>Cifras_Originales!E32</f>
        <v>0</v>
      </c>
      <c r="G50" s="197">
        <f>Cifras_Originales!F32</f>
        <v>0</v>
      </c>
      <c r="H50" s="197">
        <f>Cifras_Originales!G32</f>
        <v>0</v>
      </c>
      <c r="I50" s="197">
        <f>Cifras_Originales!H32</f>
        <v>0</v>
      </c>
      <c r="J50" s="675">
        <f>Cifras_Originales!I32</f>
        <v>180.851</v>
      </c>
      <c r="K50" s="675">
        <f>Cifras_Originales!J32</f>
        <v>0</v>
      </c>
      <c r="L50" s="675">
        <f>Cifras_Originales!K32</f>
        <v>0</v>
      </c>
      <c r="M50" s="197">
        <f>Cifras_Originales!L32</f>
        <v>0</v>
      </c>
      <c r="N50" s="197"/>
      <c r="O50" s="197"/>
    </row>
    <row r="51" spans="1:15" ht="12" customHeight="1" x14ac:dyDescent="0.2">
      <c r="A51" s="193" t="s">
        <v>232</v>
      </c>
      <c r="B51" s="197"/>
      <c r="C51" s="197">
        <f>Cifras_Originales!B33</f>
        <v>45.167000000000002</v>
      </c>
      <c r="D51" s="197">
        <f>Cifras_Originales!C33</f>
        <v>43.406999999999996</v>
      </c>
      <c r="E51" s="197">
        <f>Cifras_Originales!D33</f>
        <v>50.061</v>
      </c>
      <c r="F51" s="197">
        <f>Cifras_Originales!E33</f>
        <v>44.353000000000002</v>
      </c>
      <c r="G51" s="197">
        <f>Cifras_Originales!F33</f>
        <v>6.3849999999999998</v>
      </c>
      <c r="H51" s="197">
        <f>Cifras_Originales!G33</f>
        <v>0</v>
      </c>
      <c r="I51" s="197">
        <f>Cifras_Originales!H33</f>
        <v>15.763</v>
      </c>
      <c r="J51" s="675">
        <f>Cifras_Originales!I33</f>
        <v>11.503</v>
      </c>
      <c r="K51" s="675">
        <f>Cifras_Originales!J33</f>
        <v>15.707000000000001</v>
      </c>
      <c r="L51" s="675">
        <f>Cifras_Originales!K33</f>
        <v>0</v>
      </c>
      <c r="M51" s="197">
        <f>Cifras_Originales!L33</f>
        <v>0</v>
      </c>
      <c r="N51" s="197"/>
      <c r="O51" s="197"/>
    </row>
    <row r="52" spans="1:15" ht="12" customHeight="1" x14ac:dyDescent="0.2">
      <c r="A52" s="193" t="s">
        <v>233</v>
      </c>
      <c r="B52" s="197"/>
      <c r="C52" s="197">
        <f>Cifras_Originales!B34</f>
        <v>336.22</v>
      </c>
      <c r="D52" s="197">
        <f>Cifras_Originales!C34</f>
        <v>328.52100000000002</v>
      </c>
      <c r="E52" s="197">
        <f>Cifras_Originales!D34</f>
        <v>754.49399999999991</v>
      </c>
      <c r="F52" s="197">
        <f>Cifras_Originales!E34</f>
        <v>1000.7020000000001</v>
      </c>
      <c r="G52" s="197">
        <f>Cifras_Originales!F34</f>
        <v>1183.702</v>
      </c>
      <c r="H52" s="197">
        <f>Cifras_Originales!G34</f>
        <v>1374.5889999999999</v>
      </c>
      <c r="I52" s="197">
        <f>Cifras_Originales!H34</f>
        <v>1424.4690000000001</v>
      </c>
      <c r="J52" s="675">
        <f>Cifras_Originales!I34</f>
        <v>-192.35399999999998</v>
      </c>
      <c r="K52" s="675">
        <f>Cifras_Originales!J34</f>
        <v>-15.707000000000001</v>
      </c>
      <c r="L52" s="675">
        <f>Cifras_Originales!K34</f>
        <v>1596.404</v>
      </c>
      <c r="M52" s="197">
        <f>Cifras_Originales!L34</f>
        <v>0</v>
      </c>
      <c r="N52" s="197"/>
      <c r="O52" s="197"/>
    </row>
    <row r="53" spans="1:15" ht="12" customHeight="1" x14ac:dyDescent="0.2">
      <c r="A53" s="193" t="s">
        <v>234</v>
      </c>
      <c r="B53" s="197"/>
      <c r="C53" s="197">
        <f>Cifras_Originales!B35</f>
        <v>815.09500000000003</v>
      </c>
      <c r="D53" s="197">
        <f>Cifras_Originales!C35</f>
        <v>698.11</v>
      </c>
      <c r="E53" s="197">
        <f>Cifras_Originales!D35</f>
        <v>1900.681</v>
      </c>
      <c r="F53" s="197">
        <f>Cifras_Originales!E35</f>
        <v>2634.922</v>
      </c>
      <c r="G53" s="197">
        <f>Cifras_Originales!F35</f>
        <v>3514.2069999999999</v>
      </c>
      <c r="H53" s="197">
        <f>Cifras_Originales!G35</f>
        <v>4015.4169999999999</v>
      </c>
      <c r="I53" s="197">
        <f>Cifras_Originales!H35</f>
        <v>0</v>
      </c>
      <c r="J53" s="675">
        <f>Cifras_Originales!I35</f>
        <v>0</v>
      </c>
      <c r="K53" s="675">
        <f>Cifras_Originales!J35</f>
        <v>5668.4790000000003</v>
      </c>
      <c r="L53" s="675">
        <f>Cifras_Originales!K35</f>
        <v>5307.3739999999998</v>
      </c>
      <c r="M53" s="197">
        <f>Cifras_Originales!L35</f>
        <v>0</v>
      </c>
      <c r="N53" s="197"/>
      <c r="O53" s="197"/>
    </row>
    <row r="54" spans="1:15" ht="12" customHeight="1" x14ac:dyDescent="0.2">
      <c r="A54" s="193" t="s">
        <v>235</v>
      </c>
      <c r="B54" s="197"/>
      <c r="C54" s="197">
        <f>Cifras_Originales!B36</f>
        <v>133.916</v>
      </c>
      <c r="D54" s="197">
        <f>Cifras_Originales!C36</f>
        <v>64.721999999999994</v>
      </c>
      <c r="E54" s="197">
        <f>Cifras_Originales!D36</f>
        <v>852.68899999999996</v>
      </c>
      <c r="F54" s="197">
        <f>Cifras_Originales!E36</f>
        <v>1077.5139999999999</v>
      </c>
      <c r="G54" s="197">
        <f>Cifras_Originales!F36</f>
        <v>2480.328</v>
      </c>
      <c r="H54" s="197">
        <f>Cifras_Originales!G36</f>
        <v>2973.3960000000002</v>
      </c>
      <c r="I54" s="197">
        <f>Cifras_Originales!H36</f>
        <v>3394.2959999999998</v>
      </c>
      <c r="J54" s="675">
        <f>Cifras_Originales!I36</f>
        <v>4083.181</v>
      </c>
      <c r="K54" s="675">
        <f>Cifras_Originales!J36</f>
        <v>4045.1889999999999</v>
      </c>
      <c r="L54" s="675">
        <f>Cifras_Originales!K36</f>
        <v>4118.97</v>
      </c>
      <c r="M54" s="197">
        <f>Cifras_Originales!L36</f>
        <v>0</v>
      </c>
      <c r="N54" s="197"/>
      <c r="O54" s="197"/>
    </row>
    <row r="55" spans="1:15" ht="12" customHeight="1" x14ac:dyDescent="0.2">
      <c r="A55" s="193" t="s">
        <v>236</v>
      </c>
      <c r="B55" s="197"/>
      <c r="C55" s="197">
        <f>Cifras_Originales!B37</f>
        <v>418.911</v>
      </c>
      <c r="D55" s="197">
        <f>Cifras_Originales!C37</f>
        <v>416.97</v>
      </c>
      <c r="E55" s="197">
        <f>Cifras_Originales!D37</f>
        <v>521.71600000000001</v>
      </c>
      <c r="F55" s="197">
        <f>Cifras_Originales!E37</f>
        <v>542.76700000000005</v>
      </c>
      <c r="G55" s="197">
        <f>Cifras_Originales!F37</f>
        <v>113.25700000000001</v>
      </c>
      <c r="H55" s="197">
        <f>Cifras_Originales!G37</f>
        <v>0</v>
      </c>
      <c r="I55" s="197">
        <f>Cifras_Originales!H37</f>
        <v>235.07900000000001</v>
      </c>
      <c r="J55" s="675">
        <f>Cifras_Originales!I37</f>
        <v>235.75299999999999</v>
      </c>
      <c r="K55" s="675">
        <f>Cifras_Originales!J37</f>
        <v>288.392</v>
      </c>
      <c r="L55" s="675">
        <f>Cifras_Originales!K37</f>
        <v>0</v>
      </c>
      <c r="M55" s="197">
        <f>Cifras_Originales!L37</f>
        <v>0</v>
      </c>
      <c r="N55" s="197"/>
      <c r="O55" s="197"/>
    </row>
    <row r="56" spans="1:15" ht="12" customHeight="1" x14ac:dyDescent="0.2">
      <c r="A56" s="193" t="s">
        <v>237</v>
      </c>
      <c r="B56" s="197">
        <f>B53-SUM(B54:B55)</f>
        <v>0</v>
      </c>
      <c r="C56" s="197">
        <f>Cifras_Originales!B38</f>
        <v>262.26800000000009</v>
      </c>
      <c r="D56" s="197">
        <f>Cifras_Originales!C38</f>
        <v>216.41800000000001</v>
      </c>
      <c r="E56" s="197">
        <f>Cifras_Originales!D38</f>
        <v>526.27600000000018</v>
      </c>
      <c r="F56" s="197">
        <f>Cifras_Originales!E38</f>
        <v>1014.6410000000001</v>
      </c>
      <c r="G56" s="197">
        <f>Cifras_Originales!F38</f>
        <v>920.62199999999984</v>
      </c>
      <c r="H56" s="197">
        <f>Cifras_Originales!G38</f>
        <v>1042.0209999999997</v>
      </c>
      <c r="I56" s="197">
        <f>Cifras_Originales!H38</f>
        <v>-3629.375</v>
      </c>
      <c r="J56" s="675">
        <f>Cifras_Originales!I38</f>
        <v>-4318.9340000000002</v>
      </c>
      <c r="K56" s="675">
        <f>Cifras_Originales!J38</f>
        <v>1334.8980000000004</v>
      </c>
      <c r="L56" s="675">
        <f>Cifras_Originales!K38</f>
        <v>1188.4039999999995</v>
      </c>
      <c r="M56" s="197">
        <f>Cifras_Originales!L38</f>
        <v>0</v>
      </c>
      <c r="N56" s="197"/>
      <c r="O56" s="197"/>
    </row>
    <row r="57" spans="1:15" ht="12" customHeight="1" x14ac:dyDescent="0.2">
      <c r="A57" s="193" t="s">
        <v>238</v>
      </c>
      <c r="B57" s="214"/>
      <c r="C57" s="214">
        <f>Cifras_Originales!B39</f>
        <v>1196.482</v>
      </c>
      <c r="D57" s="214">
        <f>Cifras_Originales!C39</f>
        <v>1070.038</v>
      </c>
      <c r="E57" s="214">
        <f>Cifras_Originales!D39</f>
        <v>2705.2359999999999</v>
      </c>
      <c r="F57" s="214">
        <f>Cifras_Originales!E39</f>
        <v>3679.9769999999999</v>
      </c>
      <c r="G57" s="214">
        <f>Cifras_Originales!F39</f>
        <v>4704.2939999999999</v>
      </c>
      <c r="H57" s="214">
        <f>Cifras_Originales!G39</f>
        <v>5390.0059999999994</v>
      </c>
      <c r="I57" s="214">
        <f>Cifras_Originales!H39</f>
        <v>1440.232</v>
      </c>
      <c r="J57" s="676">
        <f>Cifras_Originales!I39</f>
        <v>0</v>
      </c>
      <c r="K57" s="676">
        <f>Cifras_Originales!J39</f>
        <v>5668.4790000000003</v>
      </c>
      <c r="L57" s="676">
        <f>Cifras_Originales!K39</f>
        <v>6903.7780000000002</v>
      </c>
      <c r="M57" s="214">
        <f>Cifras_Originales!L39</f>
        <v>0</v>
      </c>
      <c r="N57" s="214"/>
      <c r="O57" s="214"/>
    </row>
    <row r="58" spans="1:15" ht="12" customHeight="1" x14ac:dyDescent="0.2">
      <c r="B58" s="189"/>
      <c r="C58" s="189"/>
      <c r="D58" s="189"/>
      <c r="E58" s="189"/>
      <c r="F58" s="189"/>
      <c r="G58" s="189"/>
      <c r="H58" s="189"/>
      <c r="I58" s="189"/>
      <c r="J58" s="678"/>
      <c r="K58" s="678"/>
      <c r="L58" s="678"/>
      <c r="M58" s="189"/>
      <c r="N58" s="189"/>
      <c r="O58" s="189"/>
    </row>
    <row r="59" spans="1:15" ht="12" customHeight="1" x14ac:dyDescent="0.2">
      <c r="A59" s="193" t="s">
        <v>355</v>
      </c>
      <c r="B59" s="197">
        <f>B60-B40</f>
        <v>0</v>
      </c>
      <c r="C59" s="197">
        <f t="shared" ref="C59:M59" si="20">C60-C40</f>
        <v>512.827</v>
      </c>
      <c r="D59" s="197">
        <f t="shared" si="20"/>
        <v>200.29800000000006</v>
      </c>
      <c r="E59" s="197">
        <f t="shared" si="20"/>
        <v>674.31899999999985</v>
      </c>
      <c r="F59" s="197">
        <f t="shared" si="20"/>
        <v>1603.058</v>
      </c>
      <c r="G59" s="197">
        <f t="shared" si="20"/>
        <v>2211.4800000000005</v>
      </c>
      <c r="H59" s="197">
        <f t="shared" si="20"/>
        <v>2652.8290000000002</v>
      </c>
      <c r="I59" s="197">
        <f t="shared" si="20"/>
        <v>3180.1729999999998</v>
      </c>
      <c r="J59" s="675">
        <f t="shared" si="20"/>
        <v>4052.6149999999998</v>
      </c>
      <c r="K59" s="675">
        <f t="shared" si="20"/>
        <v>3887.7039999999997</v>
      </c>
      <c r="L59" s="675">
        <f t="shared" si="20"/>
        <v>3559.07</v>
      </c>
      <c r="M59" s="197">
        <f t="shared" si="20"/>
        <v>0</v>
      </c>
      <c r="N59" s="189"/>
      <c r="O59" s="189"/>
    </row>
    <row r="60" spans="1:15" ht="12" customHeight="1" x14ac:dyDescent="0.2">
      <c r="A60" s="677" t="s">
        <v>17</v>
      </c>
      <c r="B60" s="675">
        <f>B50+B51+B54+B55</f>
        <v>0</v>
      </c>
      <c r="C60" s="675">
        <f t="shared" ref="C60:M60" si="21">C50+C51+C54+C55</f>
        <v>597.99400000000003</v>
      </c>
      <c r="D60" s="675">
        <f t="shared" si="21"/>
        <v>525.09900000000005</v>
      </c>
      <c r="E60" s="675">
        <f t="shared" si="21"/>
        <v>1424.4659999999999</v>
      </c>
      <c r="F60" s="675">
        <f t="shared" si="21"/>
        <v>1664.634</v>
      </c>
      <c r="G60" s="675">
        <f t="shared" si="21"/>
        <v>2599.9700000000003</v>
      </c>
      <c r="H60" s="675">
        <f t="shared" si="21"/>
        <v>2973.3960000000002</v>
      </c>
      <c r="I60" s="675">
        <f t="shared" si="21"/>
        <v>3645.1379999999999</v>
      </c>
      <c r="J60" s="675">
        <f t="shared" si="21"/>
        <v>4511.2879999999996</v>
      </c>
      <c r="K60" s="675">
        <f t="shared" si="21"/>
        <v>4349.2879999999996</v>
      </c>
      <c r="L60" s="675">
        <f t="shared" si="21"/>
        <v>4118.97</v>
      </c>
      <c r="M60" s="197">
        <f t="shared" si="21"/>
        <v>0</v>
      </c>
      <c r="N60" s="197"/>
      <c r="O60" s="197"/>
    </row>
    <row r="61" spans="1:15" ht="12" customHeight="1" x14ac:dyDescent="0.2">
      <c r="B61" s="199" t="e">
        <f>B60/B45</f>
        <v>#DIV/0!</v>
      </c>
      <c r="C61" s="199">
        <f>C60/C45</f>
        <v>0.30320595344271506</v>
      </c>
      <c r="D61" s="199">
        <f>D60/D45</f>
        <v>0.2374606002776635</v>
      </c>
      <c r="E61" s="199">
        <f t="shared" ref="E61:M61" si="22">E60/E45</f>
        <v>0.28656133081896329</v>
      </c>
      <c r="F61" s="199">
        <f t="shared" si="22"/>
        <v>0.25623854850584699</v>
      </c>
      <c r="G61" s="199">
        <f t="shared" si="22"/>
        <v>0.38406348583587063</v>
      </c>
      <c r="H61" s="199">
        <f t="shared" si="22"/>
        <v>0.4022840412729316</v>
      </c>
      <c r="I61" s="199">
        <f t="shared" si="22"/>
        <v>0.5161279269150878</v>
      </c>
      <c r="J61" s="199">
        <f t="shared" si="22"/>
        <v>0.6064279680542688</v>
      </c>
      <c r="K61" s="199">
        <f t="shared" si="22"/>
        <v>0.5154273094153291</v>
      </c>
      <c r="L61" s="199">
        <f t="shared" si="22"/>
        <v>0.48715919896677506</v>
      </c>
      <c r="M61" s="199" t="e">
        <f t="shared" si="22"/>
        <v>#DIV/0!</v>
      </c>
      <c r="N61" s="199"/>
      <c r="O61" s="199"/>
    </row>
    <row r="62" spans="1:15" ht="12" customHeight="1" x14ac:dyDescent="0.2">
      <c r="B62" s="189"/>
      <c r="C62" s="189"/>
      <c r="D62" s="189"/>
      <c r="E62" s="189"/>
      <c r="F62" s="189"/>
      <c r="G62" s="189"/>
      <c r="H62" s="189"/>
      <c r="I62" s="189"/>
      <c r="J62" s="189"/>
      <c r="K62" s="189"/>
      <c r="L62" s="189"/>
      <c r="M62" s="189"/>
      <c r="N62" s="189"/>
      <c r="O62" s="189"/>
    </row>
    <row r="63" spans="1:15" s="215" customFormat="1" ht="12" customHeight="1" x14ac:dyDescent="0.2">
      <c r="A63" s="212" t="s">
        <v>239</v>
      </c>
      <c r="B63" s="214">
        <v>0</v>
      </c>
      <c r="C63" s="214">
        <f>Cifras_Originales!B42</f>
        <v>0</v>
      </c>
      <c r="D63" s="214">
        <f>Cifras_Originales!C42</f>
        <v>0</v>
      </c>
      <c r="E63" s="214">
        <f>Cifras_Originales!D42</f>
        <v>0</v>
      </c>
      <c r="F63" s="214">
        <f>Cifras_Originales!E42</f>
        <v>0</v>
      </c>
      <c r="G63" s="214">
        <f>Cifras_Originales!F42</f>
        <v>0</v>
      </c>
      <c r="H63" s="214">
        <f>Cifras_Originales!G42</f>
        <v>0</v>
      </c>
      <c r="I63" s="214">
        <f>Cifras_Originales!H42</f>
        <v>0</v>
      </c>
      <c r="J63" s="214">
        <f>Cifras_Originales!I42</f>
        <v>0</v>
      </c>
      <c r="K63" s="214">
        <f>Cifras_Originales!J42</f>
        <v>0</v>
      </c>
      <c r="L63" s="214">
        <f>Cifras_Originales!K42</f>
        <v>0</v>
      </c>
      <c r="M63" s="214">
        <f>Cifras_Originales!L42</f>
        <v>0</v>
      </c>
      <c r="N63" s="214"/>
      <c r="O63" s="214"/>
    </row>
    <row r="64" spans="1:15" ht="12" customHeight="1" x14ac:dyDescent="0.2">
      <c r="B64" s="189"/>
      <c r="C64" s="189"/>
      <c r="D64" s="189"/>
      <c r="E64" s="189"/>
      <c r="F64" s="189"/>
      <c r="G64" s="189"/>
      <c r="H64" s="189"/>
      <c r="I64" s="189"/>
      <c r="J64" s="189"/>
      <c r="K64" s="189"/>
      <c r="L64" s="189"/>
      <c r="M64" s="189"/>
      <c r="N64" s="189"/>
      <c r="O64" s="189"/>
    </row>
    <row r="65" spans="1:242" ht="12" customHeight="1" x14ac:dyDescent="0.2">
      <c r="B65" s="189"/>
      <c r="C65" s="189"/>
      <c r="D65" s="189"/>
      <c r="E65" s="189"/>
      <c r="F65" s="189"/>
      <c r="G65" s="189"/>
      <c r="H65" s="189"/>
      <c r="I65" s="189"/>
      <c r="J65" s="189"/>
      <c r="K65" s="189"/>
      <c r="L65" s="189"/>
      <c r="M65" s="189"/>
      <c r="N65" s="189"/>
      <c r="O65" s="189"/>
    </row>
    <row r="66" spans="1:242" ht="12" customHeight="1" x14ac:dyDescent="0.2">
      <c r="A66" s="212" t="s">
        <v>240</v>
      </c>
      <c r="B66" s="197">
        <f>B45-B57-B63</f>
        <v>0</v>
      </c>
      <c r="C66" s="197">
        <f>C45-C57-C63</f>
        <v>775.75500000000011</v>
      </c>
      <c r="D66" s="197">
        <f>D45-D57-D63</f>
        <v>1141.2719999999999</v>
      </c>
      <c r="E66" s="197">
        <f t="shared" ref="E66:M66" si="23">E45-E57-E63</f>
        <v>2265.6580000000004</v>
      </c>
      <c r="F66" s="197">
        <f t="shared" si="23"/>
        <v>2816.4459999999999</v>
      </c>
      <c r="G66" s="197">
        <f t="shared" si="23"/>
        <v>2065.3420000000006</v>
      </c>
      <c r="H66" s="197">
        <f t="shared" si="23"/>
        <v>2001.2790000000005</v>
      </c>
      <c r="I66" s="197">
        <f t="shared" si="23"/>
        <v>5622.2380000000003</v>
      </c>
      <c r="J66" s="197">
        <f t="shared" si="23"/>
        <v>7439.116</v>
      </c>
      <c r="K66" s="197">
        <f t="shared" si="23"/>
        <v>2769.7390000000005</v>
      </c>
      <c r="L66" s="197">
        <f t="shared" si="23"/>
        <v>1551.3019999999997</v>
      </c>
      <c r="M66" s="197">
        <f t="shared" si="23"/>
        <v>0</v>
      </c>
      <c r="N66" s="197"/>
      <c r="O66" s="197"/>
    </row>
    <row r="67" spans="1:242" ht="12" customHeight="1" x14ac:dyDescent="0.2">
      <c r="L67" s="193"/>
      <c r="M67" s="193"/>
      <c r="N67" s="193"/>
      <c r="O67" s="193"/>
    </row>
    <row r="68" spans="1:242" ht="12" customHeight="1" x14ac:dyDescent="0.2">
      <c r="L68" s="193"/>
      <c r="M68" s="193"/>
      <c r="N68" s="193"/>
      <c r="O68" s="193"/>
    </row>
    <row r="69" spans="1:242" ht="12" customHeight="1" x14ac:dyDescent="0.2">
      <c r="A69" s="196" t="s">
        <v>241</v>
      </c>
      <c r="B69" s="196"/>
      <c r="C69" s="196"/>
      <c r="D69" s="196"/>
      <c r="E69" s="196"/>
      <c r="F69" s="196"/>
      <c r="G69" s="196"/>
      <c r="H69" s="196"/>
      <c r="I69" s="196"/>
      <c r="J69" s="196"/>
      <c r="K69" s="196"/>
      <c r="L69" s="196"/>
      <c r="M69" s="196"/>
      <c r="N69" s="196"/>
      <c r="O69" s="196"/>
    </row>
    <row r="70" spans="1:242" ht="12" customHeight="1" x14ac:dyDescent="0.2">
      <c r="A70" s="193" t="s">
        <v>242</v>
      </c>
      <c r="B70" s="197"/>
      <c r="C70" s="197">
        <f>Cifras_Originales!B47</f>
        <v>4400</v>
      </c>
      <c r="D70" s="197">
        <f>Cifras_Originales!C47</f>
        <v>1800</v>
      </c>
      <c r="E70" s="197">
        <f>Cifras_Originales!D47</f>
        <v>3000</v>
      </c>
      <c r="F70" s="197">
        <f>Cifras_Originales!E47</f>
        <v>5000</v>
      </c>
      <c r="G70" s="197">
        <f>Cifras_Originales!F47</f>
        <v>6000</v>
      </c>
      <c r="H70" s="197">
        <f>Cifras_Originales!G47</f>
        <v>9000</v>
      </c>
      <c r="I70" s="197">
        <f>Cifras_Originales!H47</f>
        <v>9000</v>
      </c>
      <c r="J70" s="197">
        <f>Cifras_Originales!I47</f>
        <v>19900</v>
      </c>
      <c r="K70" s="197" t="str">
        <f>Cifras_Originales!J47</f>
        <v>—</v>
      </c>
      <c r="L70" s="197" t="str">
        <f>Cifras_Originales!K47</f>
        <v>—</v>
      </c>
      <c r="M70" s="197">
        <f>Cifras_Originales!L47</f>
        <v>0</v>
      </c>
      <c r="N70" s="197"/>
      <c r="O70" s="197"/>
    </row>
    <row r="71" spans="1:242" ht="12" customHeight="1" x14ac:dyDescent="0.2">
      <c r="A71" s="193" t="s">
        <v>243</v>
      </c>
      <c r="B71" s="197"/>
      <c r="C71" s="197">
        <f>+Cifras_Originales!B48</f>
        <v>157.37</v>
      </c>
      <c r="D71" s="197">
        <f>+Cifras_Originales!C48</f>
        <v>156</v>
      </c>
      <c r="E71" s="197">
        <f>+Cifras_Originales!D48</f>
        <v>181</v>
      </c>
      <c r="F71" s="197">
        <f>+Cifras_Originales!E48</f>
        <v>119</v>
      </c>
      <c r="G71" s="197">
        <f>+Cifras_Originales!F48</f>
        <v>127</v>
      </c>
      <c r="H71" s="197">
        <f>+Cifras_Originales!G48</f>
        <v>91</v>
      </c>
      <c r="I71" s="197">
        <f>+Cifras_Originales!H48</f>
        <v>55</v>
      </c>
      <c r="J71" s="197">
        <f>+Cifras_Originales!I48</f>
        <v>0</v>
      </c>
      <c r="K71" s="197">
        <f>+Cifras_Originales!J48</f>
        <v>0</v>
      </c>
      <c r="L71" s="197">
        <f>+Cifras_Originales!K48</f>
        <v>0</v>
      </c>
      <c r="M71" s="197">
        <f>+Cifras_Originales!L48</f>
        <v>0</v>
      </c>
      <c r="N71" s="197"/>
      <c r="O71" s="197"/>
    </row>
    <row r="72" spans="1:242" ht="12" customHeight="1" x14ac:dyDescent="0.2">
      <c r="A72" s="193" t="s">
        <v>170</v>
      </c>
      <c r="B72" s="199"/>
      <c r="C72" s="199">
        <f>Cifras_Originales!B49</f>
        <v>0.91439000000000004</v>
      </c>
      <c r="D72" s="199">
        <f>Cifras_Originales!C49</f>
        <v>0.91579999999999995</v>
      </c>
      <c r="E72" s="199">
        <f>Cifras_Originales!D49</f>
        <v>0.7641</v>
      </c>
      <c r="F72" s="199">
        <f>Cifras_Originales!E49</f>
        <v>0.90529999999999999</v>
      </c>
      <c r="G72" s="199">
        <f>Cifras_Originales!F49</f>
        <v>0.89029999999999998</v>
      </c>
      <c r="H72" s="199">
        <f>Cifras_Originales!G49</f>
        <v>0.84857000000000005</v>
      </c>
      <c r="I72" s="199">
        <f>Cifras_Originales!H49</f>
        <v>0.93069999999999997</v>
      </c>
      <c r="J72" s="199">
        <f>Cifras_Originales!I49</f>
        <v>0</v>
      </c>
      <c r="K72" s="199">
        <f>Cifras_Originales!J49</f>
        <v>0</v>
      </c>
      <c r="L72" s="199">
        <f>Cifras_Originales!K49</f>
        <v>0</v>
      </c>
      <c r="M72" s="199">
        <f>Cifras_Originales!L49</f>
        <v>0</v>
      </c>
      <c r="N72" s="199"/>
      <c r="O72" s="199"/>
    </row>
    <row r="73" spans="1:242" ht="12" customHeight="1" x14ac:dyDescent="0.2">
      <c r="A73" s="193" t="s">
        <v>244</v>
      </c>
      <c r="B73" s="198"/>
      <c r="C73" s="198">
        <f>Cifras_Originales!B50</f>
        <v>2.3199999999999998E-2</v>
      </c>
      <c r="D73" s="198">
        <f>Cifras_Originales!C50</f>
        <v>2.1999999999999999E-2</v>
      </c>
      <c r="E73" s="198">
        <f>Cifras_Originales!D50</f>
        <v>7.7999999999999996E-3</v>
      </c>
      <c r="F73" s="198">
        <f>Cifras_Originales!E50</f>
        <v>1.2999999999999999E-2</v>
      </c>
      <c r="G73" s="198">
        <f>Cifras_Originales!F50</f>
        <v>2.9000000000000001E-2</v>
      </c>
      <c r="H73" s="198">
        <f>Cifras_Originales!G50</f>
        <v>1.9E-2</v>
      </c>
      <c r="I73" s="198">
        <f>Cifras_Originales!H50</f>
        <v>2.5999999999999999E-2</v>
      </c>
      <c r="J73" s="198">
        <f>Cifras_Originales!I50</f>
        <v>0</v>
      </c>
      <c r="K73" s="198">
        <f>Cifras_Originales!J50</f>
        <v>0</v>
      </c>
      <c r="L73" s="198">
        <f>Cifras_Originales!K50</f>
        <v>0</v>
      </c>
      <c r="M73" s="198">
        <f>Cifras_Originales!L50</f>
        <v>0</v>
      </c>
      <c r="N73" s="198"/>
      <c r="O73" s="198"/>
    </row>
    <row r="74" spans="1:242" ht="12" customHeight="1" x14ac:dyDescent="0.2">
      <c r="A74" s="193" t="s">
        <v>245</v>
      </c>
      <c r="B74" s="197"/>
      <c r="C74" s="197">
        <f>+Cifras_Originales!B51</f>
        <v>0</v>
      </c>
      <c r="D74" s="197">
        <f>+Cifras_Originales!C51</f>
        <v>0</v>
      </c>
      <c r="E74" s="197">
        <f>+Cifras_Originales!D51</f>
        <v>0</v>
      </c>
      <c r="F74" s="197">
        <f>+Cifras_Originales!E51</f>
        <v>0</v>
      </c>
      <c r="G74" s="197">
        <f>+Cifras_Originales!F51</f>
        <v>0</v>
      </c>
      <c r="H74" s="197">
        <f>+Cifras_Originales!G51</f>
        <v>0</v>
      </c>
      <c r="I74" s="197">
        <f>+Cifras_Originales!H51</f>
        <v>0</v>
      </c>
      <c r="J74" s="197">
        <f>+Cifras_Originales!I51</f>
        <v>0</v>
      </c>
      <c r="K74" s="197">
        <f>+Cifras_Originales!J51</f>
        <v>0</v>
      </c>
      <c r="L74" s="197">
        <f>+Cifras_Originales!K51</f>
        <v>0</v>
      </c>
      <c r="M74" s="197">
        <f>+Cifras_Originales!L51</f>
        <v>0</v>
      </c>
      <c r="N74" s="197"/>
      <c r="O74" s="197"/>
    </row>
    <row r="75" spans="1:242" ht="12" customHeight="1" x14ac:dyDescent="0.2">
      <c r="A75" s="193" t="str">
        <f>Cifras_Originales!A52</f>
        <v>Vol. Diario en Millones USD</v>
      </c>
      <c r="B75" s="197"/>
      <c r="C75" s="197">
        <f>Cifras_Originales!B52</f>
        <v>13203.2</v>
      </c>
      <c r="D75" s="197">
        <f>Cifras_Originales!C52</f>
        <v>27539.599999999999</v>
      </c>
      <c r="E75" s="197">
        <f>Cifras_Originales!D52</f>
        <v>32727.3</v>
      </c>
      <c r="F75" s="197">
        <f>Cifras_Originales!E52</f>
        <v>11364.4</v>
      </c>
      <c r="G75" s="197">
        <f>Cifras_Originales!F52</f>
        <v>29945.9</v>
      </c>
      <c r="H75" s="197">
        <f>Cifras_Originales!G52</f>
        <v>26416.3</v>
      </c>
      <c r="I75" s="197">
        <f>Cifras_Originales!H52</f>
        <v>13758.5</v>
      </c>
      <c r="J75" s="197">
        <f>Cifras_Originales!I52</f>
        <v>0</v>
      </c>
      <c r="K75" s="197">
        <f>Cifras_Originales!J52</f>
        <v>0</v>
      </c>
      <c r="L75" s="197">
        <f>Cifras_Originales!K52</f>
        <v>0</v>
      </c>
      <c r="M75" s="197">
        <f>Cifras_Originales!L52</f>
        <v>0</v>
      </c>
      <c r="N75" s="197"/>
      <c r="O75" s="197"/>
      <c r="IH75" s="193">
        <f>Cifras_Originales!GM52</f>
        <v>0</v>
      </c>
    </row>
    <row r="76" spans="1:242" ht="12" customHeight="1" x14ac:dyDescent="0.2">
      <c r="C76" s="216"/>
      <c r="D76" s="216"/>
      <c r="E76" s="216"/>
      <c r="F76" s="216"/>
      <c r="G76" s="216"/>
      <c r="H76" s="216"/>
      <c r="I76" s="216"/>
      <c r="J76" s="216"/>
      <c r="K76" s="216"/>
      <c r="L76" s="216"/>
      <c r="M76" s="216"/>
      <c r="N76" s="216"/>
      <c r="IH76" s="193"/>
    </row>
    <row r="77" spans="1:242" ht="12" customHeight="1" x14ac:dyDescent="0.2">
      <c r="B77" s="196">
        <f>+Cifras_Originales!B53</f>
        <v>2021</v>
      </c>
      <c r="C77" s="196">
        <f>+Cifras_Originales!C53</f>
        <v>2022</v>
      </c>
      <c r="D77" s="196">
        <f>+Cifras_Originales!D53</f>
        <v>2023</v>
      </c>
      <c r="H77" s="196"/>
      <c r="I77" s="216"/>
      <c r="J77" s="216"/>
      <c r="K77" s="216"/>
      <c r="L77" s="216"/>
      <c r="M77" s="216"/>
      <c r="N77" s="216"/>
      <c r="IH77" s="193"/>
    </row>
    <row r="78" spans="1:242" ht="12" customHeight="1" x14ac:dyDescent="0.2">
      <c r="A78" s="193" t="str">
        <f>Cifras_Originales!A54</f>
        <v>Posicion en Corto (%)</v>
      </c>
      <c r="B78" s="198">
        <f>Cifras_Originales!B54</f>
        <v>8.6199999999999992E-3</v>
      </c>
      <c r="C78" s="217"/>
      <c r="D78" s="217"/>
      <c r="H78" s="216"/>
      <c r="I78" s="216"/>
      <c r="J78" s="216"/>
      <c r="K78" s="216"/>
      <c r="L78" s="216"/>
      <c r="M78" s="216"/>
      <c r="N78" s="216"/>
      <c r="IH78" s="193"/>
    </row>
    <row r="79" spans="1:242" ht="12" customHeight="1" x14ac:dyDescent="0.2">
      <c r="A79" s="193" t="str">
        <f>Cifras_Originales!A55</f>
        <v>EPS</v>
      </c>
      <c r="B79" s="217">
        <f>Cifras_Originales!B55</f>
        <v>1.01</v>
      </c>
      <c r="C79" s="217">
        <f>Cifras_Originales!C55</f>
        <v>0.42</v>
      </c>
      <c r="D79" s="217">
        <f>Cifras_Originales!D55</f>
        <v>0.68</v>
      </c>
    </row>
    <row r="80" spans="1:242" ht="12" customHeight="1" x14ac:dyDescent="0.2"/>
    <row r="81" spans="1:8" x14ac:dyDescent="0.2">
      <c r="A81" s="212" t="str">
        <f>+Cifras_Originales!A57</f>
        <v>BONOS DE LA EMISORA A 3, 5 Y 10</v>
      </c>
      <c r="B81" s="196" t="s">
        <v>246</v>
      </c>
      <c r="C81" s="196" t="s">
        <v>247</v>
      </c>
      <c r="D81" s="196" t="s">
        <v>248</v>
      </c>
      <c r="E81" s="196" t="s">
        <v>249</v>
      </c>
      <c r="H81" s="196"/>
    </row>
    <row r="82" spans="1:8" ht="12.75" x14ac:dyDescent="0.2">
      <c r="A82" s="193">
        <f>+Cifras_Originales!A58</f>
        <v>0</v>
      </c>
      <c r="B82" s="217">
        <f>+Cifras_Originales!B58</f>
        <v>0</v>
      </c>
      <c r="C82" s="188">
        <f>+Cifras_Originales!C58</f>
        <v>0</v>
      </c>
      <c r="D82" s="198">
        <f>+Cifras_Originales!D58</f>
        <v>0</v>
      </c>
      <c r="E82" s="188">
        <f>+Cifras_Originales!E58</f>
        <v>0</v>
      </c>
    </row>
    <row r="83" spans="1:8" ht="12.75" x14ac:dyDescent="0.2">
      <c r="A83" s="193">
        <f>+Cifras_Originales!A59</f>
        <v>0</v>
      </c>
      <c r="B83" s="217">
        <f>+Cifras_Originales!B59</f>
        <v>0</v>
      </c>
      <c r="C83" s="188">
        <f>+Cifras_Originales!C59</f>
        <v>0</v>
      </c>
      <c r="D83" s="198">
        <f>+Cifras_Originales!D59</f>
        <v>0</v>
      </c>
      <c r="E83" s="188">
        <f>+Cifras_Originales!E59</f>
        <v>0</v>
      </c>
    </row>
    <row r="84" spans="1:8" ht="12.75" x14ac:dyDescent="0.2">
      <c r="A84" s="193">
        <f>+Cifras_Originales!A60</f>
        <v>0</v>
      </c>
      <c r="B84" s="217">
        <f>+Cifras_Originales!B60</f>
        <v>0</v>
      </c>
      <c r="C84" s="188">
        <f>+Cifras_Originales!C60</f>
        <v>0</v>
      </c>
      <c r="D84" s="198">
        <f>+Cifras_Originales!D60</f>
        <v>0</v>
      </c>
      <c r="E84" s="188">
        <f>+Cifras_Originales!E60</f>
        <v>0</v>
      </c>
    </row>
    <row r="85" spans="1:8" ht="12.75" x14ac:dyDescent="0.2">
      <c r="A85" s="193">
        <f>+Cifras_Originales!A61</f>
        <v>0</v>
      </c>
      <c r="B85" s="217">
        <f>+Cifras_Originales!B61</f>
        <v>0</v>
      </c>
      <c r="C85" s="188">
        <f>+Cifras_Originales!C61</f>
        <v>0</v>
      </c>
      <c r="D85" s="198">
        <f>+Cifras_Originales!D61</f>
        <v>0</v>
      </c>
      <c r="E85" s="188">
        <f>+Cifras_Originales!E61</f>
        <v>0</v>
      </c>
    </row>
    <row r="86" spans="1:8" ht="12.75" x14ac:dyDescent="0.2">
      <c r="C86" s="217"/>
      <c r="D86" s="217"/>
      <c r="E86" s="188"/>
      <c r="F86" s="218"/>
      <c r="G86" s="188"/>
    </row>
    <row r="87" spans="1:8" ht="12.75" x14ac:dyDescent="0.2">
      <c r="C87" s="217"/>
      <c r="D87" s="217"/>
      <c r="E87" s="188"/>
      <c r="F87" s="218"/>
      <c r="G87" s="188"/>
    </row>
    <row r="88" spans="1:8" ht="12.75" x14ac:dyDescent="0.2">
      <c r="C88" s="217"/>
      <c r="D88" s="217"/>
      <c r="E88" s="188"/>
      <c r="F88" s="218"/>
      <c r="G88" s="188"/>
    </row>
    <row r="89" spans="1:8" ht="12.75" x14ac:dyDescent="0.2">
      <c r="C89" s="217"/>
      <c r="D89" s="217"/>
      <c r="E89" s="188"/>
      <c r="F89" s="218"/>
      <c r="G89" s="188"/>
    </row>
    <row r="90" spans="1:8" ht="12.75" x14ac:dyDescent="0.2">
      <c r="C90" s="217"/>
      <c r="D90" s="217"/>
      <c r="E90" s="188"/>
      <c r="F90" s="218"/>
      <c r="G90" s="188"/>
    </row>
    <row r="91" spans="1:8" ht="12.75" x14ac:dyDescent="0.2">
      <c r="C91" s="217"/>
      <c r="D91" s="217"/>
      <c r="E91" s="188"/>
      <c r="F91" s="218"/>
      <c r="G91" s="188"/>
    </row>
    <row r="92" spans="1:8" ht="12.75" x14ac:dyDescent="0.2">
      <c r="C92" s="217"/>
      <c r="D92" s="217"/>
      <c r="E92" s="188"/>
      <c r="F92" s="218"/>
      <c r="G92" s="188"/>
    </row>
    <row r="93" spans="1:8" ht="12.75" x14ac:dyDescent="0.2">
      <c r="C93" s="217"/>
      <c r="D93" s="217"/>
      <c r="E93" s="188"/>
      <c r="F93" s="218"/>
      <c r="G93" s="188"/>
    </row>
    <row r="94" spans="1:8" ht="12.75" x14ac:dyDescent="0.2">
      <c r="C94" s="217"/>
      <c r="D94" s="217"/>
      <c r="E94" s="188"/>
      <c r="F94" s="218"/>
      <c r="G94" s="188"/>
    </row>
  </sheetData>
  <mergeCells count="2">
    <mergeCell ref="A1:L1"/>
    <mergeCell ref="A2:L2"/>
  </mergeCells>
  <printOptions horizontalCentered="1" verticalCentered="1"/>
  <pageMargins left="0.25" right="0.25" top="0.75" bottom="0.75" header="0.3" footer="0.3"/>
  <pageSetup paperSize="122" scale="5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BB63"/>
  <sheetViews>
    <sheetView zoomScale="70" zoomScaleNormal="70" workbookViewId="0">
      <pane xSplit="1" ySplit="2" topLeftCell="B15" activePane="bottomRight" state="frozen"/>
      <selection pane="topRight" activeCell="B1" sqref="B1"/>
      <selection pane="bottomLeft" activeCell="A3" sqref="A3"/>
      <selection pane="bottomRight" activeCell="G25" sqref="G25"/>
    </sheetView>
  </sheetViews>
  <sheetFormatPr defaultColWidth="8.7109375" defaultRowHeight="12.75" x14ac:dyDescent="0.2"/>
  <cols>
    <col min="1" max="2" width="13.7109375" customWidth="1"/>
    <col min="3" max="3" width="8.7109375" customWidth="1"/>
    <col min="4" max="5" width="8.28515625" customWidth="1"/>
    <col min="6" max="12" width="7.28515625" customWidth="1"/>
  </cols>
  <sheetData>
    <row r="2" spans="1:54" x14ac:dyDescent="0.2">
      <c r="B2" s="97" t="s">
        <v>399</v>
      </c>
      <c r="C2" s="97" t="s">
        <v>398</v>
      </c>
      <c r="D2" s="97" t="s">
        <v>397</v>
      </c>
      <c r="E2" s="97" t="s">
        <v>395</v>
      </c>
      <c r="F2" s="97" t="s">
        <v>394</v>
      </c>
      <c r="G2" t="s">
        <v>393</v>
      </c>
      <c r="H2" t="s">
        <v>392</v>
      </c>
      <c r="I2" t="s">
        <v>388</v>
      </c>
      <c r="J2" t="s">
        <v>389</v>
      </c>
      <c r="K2" t="s">
        <v>390</v>
      </c>
      <c r="L2" t="s">
        <v>391</v>
      </c>
      <c r="M2" t="s">
        <v>369</v>
      </c>
      <c r="N2" t="s">
        <v>370</v>
      </c>
      <c r="O2" t="s">
        <v>371</v>
      </c>
      <c r="P2" t="s">
        <v>372</v>
      </c>
      <c r="Q2" t="s">
        <v>365</v>
      </c>
      <c r="R2" t="s">
        <v>366</v>
      </c>
      <c r="S2" t="s">
        <v>367</v>
      </c>
      <c r="T2" t="s">
        <v>368</v>
      </c>
      <c r="U2" t="s">
        <v>364</v>
      </c>
      <c r="V2" t="s">
        <v>363</v>
      </c>
      <c r="W2" t="s">
        <v>362</v>
      </c>
      <c r="X2" s="97" t="s">
        <v>400</v>
      </c>
      <c r="Y2" s="97"/>
      <c r="Z2" s="97">
        <v>2019</v>
      </c>
      <c r="AA2" s="97">
        <v>2020</v>
      </c>
      <c r="AB2" s="97">
        <v>2021</v>
      </c>
      <c r="AC2">
        <v>2022</v>
      </c>
      <c r="AD2">
        <v>2023</v>
      </c>
      <c r="AE2">
        <v>2024</v>
      </c>
      <c r="AF2">
        <v>2025</v>
      </c>
      <c r="AG2">
        <v>2026</v>
      </c>
      <c r="AH2">
        <v>2027</v>
      </c>
      <c r="AI2">
        <v>2028</v>
      </c>
      <c r="AJ2">
        <v>2029</v>
      </c>
      <c r="AK2">
        <v>2030</v>
      </c>
      <c r="AL2">
        <v>2031</v>
      </c>
      <c r="AM2">
        <v>2032</v>
      </c>
      <c r="AN2">
        <v>2033</v>
      </c>
      <c r="AO2">
        <v>2034</v>
      </c>
      <c r="AP2">
        <v>2035</v>
      </c>
      <c r="AQ2">
        <v>2036</v>
      </c>
      <c r="AR2">
        <v>2037</v>
      </c>
      <c r="AS2">
        <v>2038</v>
      </c>
      <c r="AT2">
        <v>2039</v>
      </c>
      <c r="AU2">
        <v>2040</v>
      </c>
      <c r="AV2">
        <v>2041</v>
      </c>
      <c r="AW2">
        <v>2042</v>
      </c>
      <c r="AX2">
        <v>2043</v>
      </c>
      <c r="AY2">
        <v>2044</v>
      </c>
      <c r="AZ2">
        <v>2045</v>
      </c>
      <c r="BA2">
        <v>2046</v>
      </c>
      <c r="BB2">
        <v>2047</v>
      </c>
    </row>
    <row r="3" spans="1:54" x14ac:dyDescent="0.2">
      <c r="A3" s="97" t="s">
        <v>396</v>
      </c>
      <c r="B3" s="97"/>
      <c r="C3" s="97"/>
      <c r="D3" s="97"/>
      <c r="E3" s="97"/>
      <c r="F3" s="97"/>
    </row>
    <row r="4" spans="1:54" x14ac:dyDescent="0.2">
      <c r="A4" s="97" t="s">
        <v>401</v>
      </c>
      <c r="B4" s="97"/>
      <c r="C4" s="97"/>
      <c r="D4" s="97"/>
      <c r="E4" s="97"/>
      <c r="F4" s="97"/>
    </row>
    <row r="5" spans="1:54" x14ac:dyDescent="0.2">
      <c r="A5" s="97" t="s">
        <v>402</v>
      </c>
      <c r="B5" s="97"/>
      <c r="C5" s="97"/>
      <c r="D5" s="97"/>
      <c r="E5" s="97"/>
      <c r="F5" s="97"/>
      <c r="AE5" s="246">
        <v>4.4999999999999998E-2</v>
      </c>
      <c r="AF5" s="246">
        <f>0.987*AE5</f>
        <v>4.4414999999999996E-2</v>
      </c>
      <c r="AG5" s="246">
        <f t="shared" ref="AG5:BB5" si="0">0.987*AF5</f>
        <v>4.3837604999999995E-2</v>
      </c>
      <c r="AH5" s="246">
        <f t="shared" si="0"/>
        <v>4.3267716134999995E-2</v>
      </c>
      <c r="AI5" s="246">
        <f t="shared" si="0"/>
        <v>4.2705235825244992E-2</v>
      </c>
      <c r="AJ5" s="246">
        <f t="shared" si="0"/>
        <v>4.2150067759516803E-2</v>
      </c>
      <c r="AK5" s="246">
        <f t="shared" si="0"/>
        <v>4.1602116878643083E-2</v>
      </c>
      <c r="AL5" s="246">
        <f t="shared" si="0"/>
        <v>4.1061289359220723E-2</v>
      </c>
      <c r="AM5" s="246">
        <f t="shared" si="0"/>
        <v>4.0527492597550854E-2</v>
      </c>
      <c r="AN5" s="246">
        <f t="shared" si="0"/>
        <v>4.0000635193782691E-2</v>
      </c>
      <c r="AO5" s="246">
        <f t="shared" si="0"/>
        <v>3.9480626936263516E-2</v>
      </c>
      <c r="AP5" s="246">
        <f t="shared" si="0"/>
        <v>3.8967378786092091E-2</v>
      </c>
      <c r="AQ5" s="246">
        <f t="shared" si="0"/>
        <v>3.8460802861872895E-2</v>
      </c>
      <c r="AR5" s="246">
        <f t="shared" si="0"/>
        <v>3.7960812424668547E-2</v>
      </c>
      <c r="AS5" s="246">
        <f t="shared" si="0"/>
        <v>3.7467321863147857E-2</v>
      </c>
      <c r="AT5" s="246">
        <f t="shared" si="0"/>
        <v>3.6980246678926937E-2</v>
      </c>
      <c r="AU5" s="246">
        <f t="shared" si="0"/>
        <v>3.6499503472100889E-2</v>
      </c>
      <c r="AV5" s="246">
        <f t="shared" si="0"/>
        <v>3.6025009926963579E-2</v>
      </c>
      <c r="AW5" s="246">
        <f t="shared" si="0"/>
        <v>3.5556684797913053E-2</v>
      </c>
      <c r="AX5" s="246">
        <f t="shared" si="0"/>
        <v>3.5094447895540185E-2</v>
      </c>
      <c r="AY5" s="246">
        <f t="shared" si="0"/>
        <v>3.4638220072898164E-2</v>
      </c>
      <c r="AZ5" s="246">
        <f t="shared" si="0"/>
        <v>3.4187923211950487E-2</v>
      </c>
      <c r="BA5" s="246">
        <f t="shared" si="0"/>
        <v>3.3743480210195131E-2</v>
      </c>
      <c r="BB5" s="246">
        <f t="shared" si="0"/>
        <v>3.3304814967462591E-2</v>
      </c>
    </row>
    <row r="6" spans="1:54" x14ac:dyDescent="0.2">
      <c r="A6" s="97" t="s">
        <v>403</v>
      </c>
      <c r="B6" s="97"/>
      <c r="C6" s="97"/>
      <c r="D6" s="97"/>
      <c r="E6" s="97"/>
      <c r="F6" s="97"/>
      <c r="AE6" s="116">
        <v>0.09</v>
      </c>
      <c r="AF6">
        <f>AE6*0.975</f>
        <v>8.7749999999999995E-2</v>
      </c>
      <c r="AG6">
        <f t="shared" ref="AG6:BB6" si="1">AF6*0.975</f>
        <v>8.5556249999999986E-2</v>
      </c>
      <c r="AH6">
        <f t="shared" si="1"/>
        <v>8.3417343749999984E-2</v>
      </c>
      <c r="AI6">
        <f t="shared" si="1"/>
        <v>8.1331910156249979E-2</v>
      </c>
      <c r="AJ6">
        <f t="shared" si="1"/>
        <v>7.9298612402343732E-2</v>
      </c>
      <c r="AK6">
        <f t="shared" si="1"/>
        <v>7.731614709228514E-2</v>
      </c>
      <c r="AL6">
        <f t="shared" si="1"/>
        <v>7.5383243414978013E-2</v>
      </c>
      <c r="AM6">
        <f t="shared" si="1"/>
        <v>7.3498662329603559E-2</v>
      </c>
      <c r="AN6">
        <f t="shared" si="1"/>
        <v>7.166119577136347E-2</v>
      </c>
      <c r="AO6">
        <f t="shared" si="1"/>
        <v>6.9869665877079379E-2</v>
      </c>
      <c r="AP6">
        <f t="shared" si="1"/>
        <v>6.8122924230152399E-2</v>
      </c>
      <c r="AQ6">
        <f t="shared" si="1"/>
        <v>6.6419851124398591E-2</v>
      </c>
      <c r="AR6">
        <f t="shared" si="1"/>
        <v>6.4759354846288628E-2</v>
      </c>
      <c r="AS6">
        <f t="shared" si="1"/>
        <v>6.3140370975131407E-2</v>
      </c>
      <c r="AT6">
        <f>AS6*0.975</f>
        <v>6.1561861700753118E-2</v>
      </c>
      <c r="AU6">
        <f t="shared" si="1"/>
        <v>6.0022815158234287E-2</v>
      </c>
      <c r="AV6">
        <f t="shared" si="1"/>
        <v>5.8522244779278428E-2</v>
      </c>
      <c r="AW6">
        <f t="shared" si="1"/>
        <v>5.7059188659796464E-2</v>
      </c>
      <c r="AX6">
        <f t="shared" si="1"/>
        <v>5.5632708943301551E-2</v>
      </c>
      <c r="AY6">
        <f t="shared" si="1"/>
        <v>5.4241891219719014E-2</v>
      </c>
      <c r="AZ6">
        <f t="shared" si="1"/>
        <v>5.2885843939226039E-2</v>
      </c>
      <c r="BA6">
        <f t="shared" si="1"/>
        <v>5.1563697840745389E-2</v>
      </c>
      <c r="BB6">
        <f t="shared" si="1"/>
        <v>5.0274605394726751E-2</v>
      </c>
    </row>
    <row r="7" spans="1:54" x14ac:dyDescent="0.2">
      <c r="A7" s="97"/>
      <c r="B7" s="97"/>
      <c r="C7" s="97"/>
      <c r="D7" s="97"/>
      <c r="E7" s="97"/>
      <c r="F7" s="97"/>
      <c r="AE7" s="116"/>
    </row>
    <row r="8" spans="1:54" x14ac:dyDescent="0.2">
      <c r="A8" s="97" t="s">
        <v>376</v>
      </c>
      <c r="B8" s="97"/>
      <c r="C8" s="97"/>
      <c r="D8" s="97"/>
      <c r="E8" s="97"/>
      <c r="F8" s="97"/>
      <c r="AE8" s="116"/>
    </row>
    <row r="9" spans="1:54" x14ac:dyDescent="0.2">
      <c r="A9" s="97" t="s">
        <v>402</v>
      </c>
      <c r="B9" s="97"/>
      <c r="C9" s="97"/>
      <c r="D9" s="97"/>
      <c r="E9" s="97"/>
      <c r="F9" s="97"/>
      <c r="Z9">
        <f t="shared" ref="Z9:AD10" si="2">Z30/Z26</f>
        <v>0.67792204148997348</v>
      </c>
      <c r="AA9">
        <f t="shared" si="2"/>
        <v>0.68533660706600774</v>
      </c>
      <c r="AB9">
        <f t="shared" si="2"/>
        <v>0.64650696723516432</v>
      </c>
      <c r="AC9">
        <f t="shared" si="2"/>
        <v>0.63716520292600543</v>
      </c>
      <c r="AD9">
        <f t="shared" si="2"/>
        <v>0.63586480102249077</v>
      </c>
      <c r="AE9">
        <f>AD9*1.001</f>
        <v>0.63650066582351317</v>
      </c>
      <c r="AF9">
        <f t="shared" ref="AF9:BB9" si="3">AE9*1.001</f>
        <v>0.6371371664893366</v>
      </c>
      <c r="AG9">
        <f t="shared" si="3"/>
        <v>0.63777430365582588</v>
      </c>
      <c r="AH9">
        <f t="shared" si="3"/>
        <v>0.63841207795948163</v>
      </c>
      <c r="AI9">
        <f t="shared" si="3"/>
        <v>0.63905049003744108</v>
      </c>
      <c r="AJ9">
        <f t="shared" si="3"/>
        <v>0.6396895405274784</v>
      </c>
      <c r="AK9">
        <f t="shared" si="3"/>
        <v>0.64032923006800579</v>
      </c>
      <c r="AL9">
        <f t="shared" si="3"/>
        <v>0.64096955929807375</v>
      </c>
      <c r="AM9">
        <f t="shared" si="3"/>
        <v>0.6416105288573718</v>
      </c>
      <c r="AN9">
        <f t="shared" si="3"/>
        <v>0.64225213938622905</v>
      </c>
      <c r="AO9">
        <f t="shared" si="3"/>
        <v>0.64289439152561523</v>
      </c>
      <c r="AP9">
        <f t="shared" si="3"/>
        <v>0.64353728591714077</v>
      </c>
      <c r="AQ9">
        <f t="shared" si="3"/>
        <v>0.64418082320305781</v>
      </c>
      <c r="AR9">
        <f t="shared" si="3"/>
        <v>0.64482500402626075</v>
      </c>
      <c r="AS9">
        <f t="shared" si="3"/>
        <v>0.64546982903028693</v>
      </c>
      <c r="AT9">
        <f t="shared" si="3"/>
        <v>0.64611529885931718</v>
      </c>
      <c r="AU9">
        <f t="shared" si="3"/>
        <v>0.64676141415817645</v>
      </c>
      <c r="AV9">
        <f t="shared" si="3"/>
        <v>0.64740817557233454</v>
      </c>
      <c r="AW9">
        <f t="shared" si="3"/>
        <v>0.64805558374790684</v>
      </c>
      <c r="AX9">
        <f t="shared" si="3"/>
        <v>0.64870363933165465</v>
      </c>
      <c r="AY9">
        <f t="shared" si="3"/>
        <v>0.64935234297098621</v>
      </c>
      <c r="AZ9">
        <f t="shared" si="3"/>
        <v>0.65000169531395713</v>
      </c>
      <c r="BA9">
        <f t="shared" si="3"/>
        <v>0.65065169700927106</v>
      </c>
      <c r="BB9">
        <f t="shared" si="3"/>
        <v>0.65130234870628023</v>
      </c>
    </row>
    <row r="10" spans="1:54" x14ac:dyDescent="0.2">
      <c r="A10" s="97" t="s">
        <v>403</v>
      </c>
      <c r="B10" s="97"/>
      <c r="C10" s="97"/>
      <c r="D10" s="97"/>
      <c r="E10" s="97"/>
      <c r="F10" s="97"/>
      <c r="Z10">
        <f t="shared" si="2"/>
        <v>0.36261908362316647</v>
      </c>
      <c r="AA10">
        <f t="shared" si="2"/>
        <v>0.33984898080642761</v>
      </c>
      <c r="AB10">
        <f t="shared" si="2"/>
        <v>0.30274022652539279</v>
      </c>
      <c r="AC10">
        <f t="shared" si="2"/>
        <v>0.28254553366867619</v>
      </c>
      <c r="AD10">
        <f t="shared" si="2"/>
        <v>0.29105248779560761</v>
      </c>
      <c r="AE10">
        <f>AD10*1.001</f>
        <v>0.2913435402834032</v>
      </c>
      <c r="AF10">
        <f t="shared" ref="AF10:BB10" si="4">AE10*1.001</f>
        <v>0.29163488382368657</v>
      </c>
      <c r="AG10">
        <f t="shared" si="4"/>
        <v>0.29192651870751024</v>
      </c>
      <c r="AH10">
        <f t="shared" si="4"/>
        <v>0.2922184452262177</v>
      </c>
      <c r="AI10">
        <f t="shared" si="4"/>
        <v>0.2925106636714439</v>
      </c>
      <c r="AJ10">
        <f t="shared" si="4"/>
        <v>0.29280317433511532</v>
      </c>
      <c r="AK10">
        <f t="shared" si="4"/>
        <v>0.29309597750945043</v>
      </c>
      <c r="AL10">
        <f t="shared" si="4"/>
        <v>0.29338907348695986</v>
      </c>
      <c r="AM10">
        <f t="shared" si="4"/>
        <v>0.29368246256044678</v>
      </c>
      <c r="AN10">
        <f t="shared" si="4"/>
        <v>0.29397614502300717</v>
      </c>
      <c r="AO10">
        <f t="shared" si="4"/>
        <v>0.29427012116803014</v>
      </c>
      <c r="AP10">
        <f t="shared" si="4"/>
        <v>0.29456439128919815</v>
      </c>
      <c r="AQ10">
        <f t="shared" si="4"/>
        <v>0.29485895568048731</v>
      </c>
      <c r="AR10">
        <f t="shared" si="4"/>
        <v>0.29515381463616774</v>
      </c>
      <c r="AS10">
        <f t="shared" si="4"/>
        <v>0.29544896845080387</v>
      </c>
      <c r="AT10">
        <f t="shared" si="4"/>
        <v>0.29574441741925467</v>
      </c>
      <c r="AU10">
        <f t="shared" si="4"/>
        <v>0.29604016183667387</v>
      </c>
      <c r="AV10">
        <f t="shared" si="4"/>
        <v>0.29633620199851052</v>
      </c>
      <c r="AW10">
        <f t="shared" si="4"/>
        <v>0.296632538200509</v>
      </c>
      <c r="AX10">
        <f t="shared" si="4"/>
        <v>0.2969291707387095</v>
      </c>
      <c r="AY10">
        <f t="shared" si="4"/>
        <v>0.2972260999094482</v>
      </c>
      <c r="AZ10">
        <f t="shared" si="4"/>
        <v>0.2975233260093576</v>
      </c>
      <c r="BA10">
        <f t="shared" si="4"/>
        <v>0.29782084933536696</v>
      </c>
      <c r="BB10">
        <f t="shared" si="4"/>
        <v>0.29811867018470228</v>
      </c>
    </row>
    <row r="11" spans="1:54" x14ac:dyDescent="0.2">
      <c r="A11" s="97"/>
      <c r="B11" s="97"/>
      <c r="C11" s="97"/>
      <c r="D11" s="97"/>
      <c r="E11" s="97"/>
      <c r="F11" s="97"/>
    </row>
    <row r="12" spans="1:54" x14ac:dyDescent="0.2">
      <c r="A12" s="97" t="s">
        <v>377</v>
      </c>
      <c r="B12" s="97"/>
      <c r="C12" s="97"/>
      <c r="D12" s="97"/>
      <c r="E12" s="97"/>
      <c r="F12" s="97"/>
      <c r="Z12">
        <f>Z33/Z25</f>
        <v>6.233136285716482E-2</v>
      </c>
      <c r="AA12">
        <f t="shared" ref="AA12:AD12" si="5">AA33/AA25</f>
        <v>6.8309564140393061E-2</v>
      </c>
      <c r="AB12">
        <f t="shared" si="5"/>
        <v>5.9904269074427925E-2</v>
      </c>
      <c r="AC12">
        <f t="shared" si="5"/>
        <v>6.657148363798665E-2</v>
      </c>
      <c r="AD12">
        <f t="shared" si="5"/>
        <v>7.8317483273248417E-2</v>
      </c>
      <c r="AE12" s="97">
        <f>1.01*AD12</f>
        <v>7.9100658105980909E-2</v>
      </c>
      <c r="AF12" s="97">
        <f t="shared" ref="AF12:BB12" si="6">1.01*AE12</f>
        <v>7.9891664687040717E-2</v>
      </c>
      <c r="AG12" s="97">
        <f t="shared" si="6"/>
        <v>8.0690581333911118E-2</v>
      </c>
      <c r="AH12" s="97">
        <f t="shared" si="6"/>
        <v>8.1497487147250233E-2</v>
      </c>
      <c r="AI12" s="97">
        <f t="shared" si="6"/>
        <v>8.2312462018722735E-2</v>
      </c>
      <c r="AJ12" s="97">
        <f t="shared" si="6"/>
        <v>8.3135586638909964E-2</v>
      </c>
      <c r="AK12" s="97">
        <f t="shared" si="6"/>
        <v>8.3966942505299069E-2</v>
      </c>
      <c r="AL12" s="97">
        <f t="shared" si="6"/>
        <v>8.4806611930352063E-2</v>
      </c>
      <c r="AM12" s="97">
        <f t="shared" si="6"/>
        <v>8.5654678049655583E-2</v>
      </c>
      <c r="AN12" s="97">
        <f t="shared" si="6"/>
        <v>8.6511224830152139E-2</v>
      </c>
      <c r="AO12" s="97">
        <f t="shared" si="6"/>
        <v>8.7376337078453659E-2</v>
      </c>
      <c r="AP12" s="97">
        <f t="shared" si="6"/>
        <v>8.82501004492382E-2</v>
      </c>
      <c r="AQ12" s="97">
        <f t="shared" si="6"/>
        <v>8.9132601453730587E-2</v>
      </c>
      <c r="AR12" s="97">
        <f t="shared" si="6"/>
        <v>9.0023927468267886E-2</v>
      </c>
      <c r="AS12" s="97">
        <f t="shared" si="6"/>
        <v>9.0924166742950563E-2</v>
      </c>
      <c r="AT12" s="97">
        <f t="shared" si="6"/>
        <v>9.1833408410380069E-2</v>
      </c>
      <c r="AU12" s="97">
        <f t="shared" si="6"/>
        <v>9.2751742494483869E-2</v>
      </c>
      <c r="AV12" s="97">
        <f t="shared" si="6"/>
        <v>9.3679259919428715E-2</v>
      </c>
      <c r="AW12" s="97">
        <f t="shared" si="6"/>
        <v>9.4616052518622998E-2</v>
      </c>
      <c r="AX12" s="97">
        <f t="shared" si="6"/>
        <v>9.5562213043809227E-2</v>
      </c>
      <c r="AY12" s="97">
        <f t="shared" si="6"/>
        <v>9.6517835174247321E-2</v>
      </c>
      <c r="AZ12" s="97">
        <f t="shared" si="6"/>
        <v>9.7483013525989801E-2</v>
      </c>
      <c r="BA12" s="97">
        <f t="shared" si="6"/>
        <v>9.8457843661249697E-2</v>
      </c>
      <c r="BB12" s="97">
        <f t="shared" si="6"/>
        <v>9.9442422097862193E-2</v>
      </c>
    </row>
    <row r="13" spans="1:54" x14ac:dyDescent="0.2">
      <c r="A13" s="97" t="s">
        <v>378</v>
      </c>
      <c r="B13" s="97"/>
      <c r="C13" s="97"/>
      <c r="D13" s="97"/>
      <c r="E13" s="97"/>
      <c r="F13" s="97"/>
      <c r="Z13">
        <f>Z34/Z25</f>
        <v>7.0126146348213125E-2</v>
      </c>
      <c r="AA13">
        <f t="shared" ref="AA13:AD13" si="7">AA34/AA25</f>
        <v>7.2549769593646979E-2</v>
      </c>
      <c r="AB13">
        <f t="shared" si="7"/>
        <v>6.006555190163388E-2</v>
      </c>
      <c r="AC13">
        <f t="shared" si="7"/>
        <v>6.3637378020328261E-2</v>
      </c>
      <c r="AD13">
        <f t="shared" si="7"/>
        <v>6.5265004477000232E-2</v>
      </c>
      <c r="AE13">
        <f>AD13*1.001</f>
        <v>6.5330269481477229E-2</v>
      </c>
      <c r="AF13">
        <f t="shared" ref="AF13:BB13" si="8">AE13*1.001</f>
        <v>6.5395599750958697E-2</v>
      </c>
      <c r="AG13">
        <f t="shared" si="8"/>
        <v>6.546099535070965E-2</v>
      </c>
      <c r="AH13">
        <f t="shared" si="8"/>
        <v>6.5526456346060358E-2</v>
      </c>
      <c r="AI13">
        <f t="shared" si="8"/>
        <v>6.5591982802406412E-2</v>
      </c>
      <c r="AJ13">
        <f t="shared" si="8"/>
        <v>6.5657574785208811E-2</v>
      </c>
      <c r="AK13">
        <f t="shared" si="8"/>
        <v>6.5723232359994013E-2</v>
      </c>
      <c r="AL13">
        <f t="shared" si="8"/>
        <v>6.5788955592353995E-2</v>
      </c>
      <c r="AM13">
        <f t="shared" si="8"/>
        <v>6.5854744547946348E-2</v>
      </c>
      <c r="AN13">
        <f t="shared" si="8"/>
        <v>6.5920599292494289E-2</v>
      </c>
      <c r="AO13">
        <f t="shared" si="8"/>
        <v>6.5986519891786777E-2</v>
      </c>
      <c r="AP13">
        <f t="shared" si="8"/>
        <v>6.6052506411678563E-2</v>
      </c>
      <c r="AQ13">
        <f t="shared" si="8"/>
        <v>6.6118558918090237E-2</v>
      </c>
      <c r="AR13">
        <f t="shared" si="8"/>
        <v>6.6184677477008319E-2</v>
      </c>
      <c r="AS13">
        <f t="shared" si="8"/>
        <v>6.6250862154485321E-2</v>
      </c>
      <c r="AT13">
        <f t="shared" si="8"/>
        <v>6.6317113016639798E-2</v>
      </c>
      <c r="AU13">
        <f t="shared" si="8"/>
        <v>6.6383430129656432E-2</v>
      </c>
      <c r="AV13">
        <f t="shared" si="8"/>
        <v>6.6449813559786075E-2</v>
      </c>
      <c r="AW13">
        <f t="shared" si="8"/>
        <v>6.651626337334586E-2</v>
      </c>
      <c r="AX13">
        <f t="shared" si="8"/>
        <v>6.65827796367192E-2</v>
      </c>
      <c r="AY13">
        <f t="shared" si="8"/>
        <v>6.6649362416355912E-2</v>
      </c>
      <c r="AZ13">
        <f t="shared" si="8"/>
        <v>6.6716011778772261E-2</v>
      </c>
      <c r="BA13">
        <f t="shared" si="8"/>
        <v>6.6782727790551027E-2</v>
      </c>
      <c r="BB13">
        <f t="shared" si="8"/>
        <v>6.6849510518341565E-2</v>
      </c>
    </row>
    <row r="14" spans="1:54" x14ac:dyDescent="0.2">
      <c r="A14" s="97"/>
      <c r="B14" s="97"/>
      <c r="C14" s="97"/>
      <c r="D14" s="97"/>
      <c r="E14" s="97"/>
      <c r="F14" s="97"/>
    </row>
    <row r="15" spans="1:54" x14ac:dyDescent="0.2">
      <c r="A15" s="97" t="s">
        <v>404</v>
      </c>
      <c r="B15" s="97"/>
      <c r="C15" s="97"/>
      <c r="D15" s="97"/>
      <c r="E15" s="97"/>
      <c r="F15" s="97"/>
    </row>
    <row r="16" spans="1:54" x14ac:dyDescent="0.2">
      <c r="A16" s="97"/>
      <c r="B16" s="97"/>
      <c r="C16" s="97"/>
      <c r="D16" s="97"/>
      <c r="E16" s="97"/>
      <c r="F16" s="97"/>
    </row>
    <row r="17" spans="1:54" x14ac:dyDescent="0.2">
      <c r="A17" s="97" t="s">
        <v>320</v>
      </c>
      <c r="B17" s="97"/>
      <c r="C17" s="97"/>
      <c r="D17" s="97"/>
      <c r="E17" s="97"/>
      <c r="F17" s="97"/>
      <c r="Z17">
        <f>Z41/Z40</f>
        <v>0.15943836804235059</v>
      </c>
      <c r="AA17">
        <f t="shared" ref="AA17:AC17" si="9">AA41/AA40</f>
        <v>0.14428164731484103</v>
      </c>
      <c r="AB17">
        <f t="shared" si="9"/>
        <v>0.13302260844085087</v>
      </c>
      <c r="AC17">
        <f t="shared" si="9"/>
        <v>0.16204461684424407</v>
      </c>
      <c r="AE17" s="116"/>
    </row>
    <row r="18" spans="1:54" x14ac:dyDescent="0.2">
      <c r="A18" s="97"/>
      <c r="B18" s="97"/>
      <c r="C18" s="97"/>
      <c r="D18" s="97"/>
      <c r="E18" s="97"/>
      <c r="F18" s="97"/>
      <c r="AE18" s="116"/>
    </row>
    <row r="19" spans="1:54" x14ac:dyDescent="0.2">
      <c r="A19" t="s">
        <v>383</v>
      </c>
      <c r="B19" s="97"/>
      <c r="C19" s="97"/>
      <c r="D19" s="97"/>
      <c r="E19" s="97"/>
      <c r="F19" s="97"/>
      <c r="Z19">
        <f>Z52/Z25</f>
        <v>4.8225418373857493E-2</v>
      </c>
      <c r="AA19">
        <f t="shared" ref="AA19:AC19" si="10">AA52/AA25</f>
        <v>4.0274666229532081E-2</v>
      </c>
      <c r="AB19">
        <f t="shared" si="10"/>
        <v>3.084602410494865E-2</v>
      </c>
      <c r="AC19">
        <f t="shared" si="10"/>
        <v>2.8159298857803657E-2</v>
      </c>
      <c r="AE19" s="116"/>
    </row>
    <row r="20" spans="1:54" x14ac:dyDescent="0.2">
      <c r="A20" t="s">
        <v>384</v>
      </c>
      <c r="B20" s="97"/>
      <c r="C20" s="97"/>
      <c r="D20" s="97"/>
      <c r="E20" s="97"/>
      <c r="F20" s="97"/>
      <c r="Z20">
        <f>Z53/Z25</f>
        <v>2.3322853167495598E-2</v>
      </c>
      <c r="AA20">
        <f t="shared" ref="AA20:AC20" si="11">AA53/AA25</f>
        <v>2.4876600550061016E-2</v>
      </c>
      <c r="AB20">
        <f t="shared" si="11"/>
        <v>2.1611898845597662E-2</v>
      </c>
      <c r="AC20">
        <f t="shared" si="11"/>
        <v>2.2920005680550203E-2</v>
      </c>
      <c r="AE20" s="116"/>
    </row>
    <row r="21" spans="1:54" x14ac:dyDescent="0.2">
      <c r="A21" s="97" t="s">
        <v>406</v>
      </c>
      <c r="B21" s="97"/>
      <c r="C21" s="97"/>
      <c r="D21" s="97"/>
      <c r="E21" s="97"/>
      <c r="F21" s="97"/>
      <c r="U21" s="395">
        <f>((W25+V25)/(R25+S25))-1</f>
        <v>-1.999589429473414E-2</v>
      </c>
      <c r="Z21">
        <f>(Z53+Z54)/Z25</f>
        <v>3.1148385311368546E-2</v>
      </c>
      <c r="AA21">
        <f t="shared" ref="AA21:AC21" si="12">(AA53+AA54)/AA25</f>
        <v>3.4908839225543234E-2</v>
      </c>
      <c r="AB21">
        <f t="shared" si="12"/>
        <v>3.9533427916143865E-2</v>
      </c>
      <c r="AC21">
        <f t="shared" si="12"/>
        <v>3.8701284210099204E-2</v>
      </c>
      <c r="AE21" s="116"/>
    </row>
    <row r="22" spans="1:54" x14ac:dyDescent="0.2">
      <c r="A22" s="97" t="s">
        <v>117</v>
      </c>
      <c r="B22" s="97"/>
      <c r="C22" s="97"/>
      <c r="D22" s="97"/>
      <c r="E22" s="97"/>
      <c r="F22" s="97"/>
      <c r="U22">
        <f>((W25+V25)/(F25+G25))-1</f>
        <v>0.57956252682787235</v>
      </c>
      <c r="Z22">
        <f>Z55/Z25</f>
        <v>4.033838892433525E-2</v>
      </c>
      <c r="AA22">
        <f t="shared" ref="AA22:AC22" si="13">AA55/AA25</f>
        <v>2.6625138881299748E-2</v>
      </c>
      <c r="AB22">
        <f t="shared" si="13"/>
        <v>3.0302036264033657E-2</v>
      </c>
      <c r="AC22">
        <f t="shared" si="13"/>
        <v>2.7155058732831552E-2</v>
      </c>
      <c r="AE22" s="116"/>
    </row>
    <row r="23" spans="1:54" x14ac:dyDescent="0.2">
      <c r="A23" s="97" t="s">
        <v>407</v>
      </c>
      <c r="B23" s="97"/>
      <c r="C23" s="97"/>
      <c r="D23" s="97"/>
      <c r="E23" s="97"/>
      <c r="F23" s="97"/>
      <c r="Z23">
        <f>Z21/Z20</f>
        <v>1.3355306526038233</v>
      </c>
      <c r="AA23">
        <f t="shared" ref="AA23:AC23" si="14">AA21/AA20</f>
        <v>1.4032801288622054</v>
      </c>
      <c r="AB23">
        <f t="shared" si="14"/>
        <v>1.8292436124462434</v>
      </c>
      <c r="AC23">
        <f t="shared" si="14"/>
        <v>1.6885372870104003</v>
      </c>
      <c r="AE23" s="116"/>
    </row>
    <row r="24" spans="1:54" x14ac:dyDescent="0.2">
      <c r="A24" s="97"/>
      <c r="B24" s="97"/>
      <c r="C24" s="97"/>
      <c r="D24" s="97"/>
      <c r="E24" s="97"/>
      <c r="F24" s="97"/>
    </row>
    <row r="25" spans="1:54" x14ac:dyDescent="0.2">
      <c r="A25" t="s">
        <v>373</v>
      </c>
      <c r="C25">
        <f t="shared" ref="C25:W25" si="15">C26+C27</f>
        <v>53265</v>
      </c>
      <c r="D25">
        <f t="shared" si="15"/>
        <v>64040</v>
      </c>
      <c r="E25">
        <f t="shared" si="15"/>
        <v>84310</v>
      </c>
      <c r="F25">
        <f t="shared" si="15"/>
        <v>58015</v>
      </c>
      <c r="G25">
        <f t="shared" si="15"/>
        <v>53809</v>
      </c>
      <c r="H25">
        <f t="shared" si="15"/>
        <v>64040</v>
      </c>
      <c r="I25">
        <f t="shared" si="15"/>
        <v>91819</v>
      </c>
      <c r="J25">
        <f t="shared" si="15"/>
        <v>58313</v>
      </c>
      <c r="K25">
        <f t="shared" si="15"/>
        <v>59685</v>
      </c>
      <c r="L25">
        <f t="shared" si="15"/>
        <v>64698</v>
      </c>
      <c r="M25">
        <f t="shared" si="15"/>
        <v>111439</v>
      </c>
      <c r="N25">
        <f t="shared" si="15"/>
        <v>89584</v>
      </c>
      <c r="O25">
        <f t="shared" si="15"/>
        <v>81434</v>
      </c>
      <c r="P25">
        <f t="shared" si="15"/>
        <v>83360</v>
      </c>
      <c r="Q25">
        <f t="shared" si="15"/>
        <v>123945</v>
      </c>
      <c r="R25">
        <f t="shared" si="15"/>
        <v>97278</v>
      </c>
      <c r="S25">
        <f t="shared" si="15"/>
        <v>82959</v>
      </c>
      <c r="T25">
        <f t="shared" si="15"/>
        <v>90146</v>
      </c>
      <c r="U25">
        <f t="shared" si="15"/>
        <v>117154</v>
      </c>
      <c r="V25">
        <f t="shared" si="15"/>
        <v>94836</v>
      </c>
      <c r="W25">
        <f t="shared" si="15"/>
        <v>81797</v>
      </c>
      <c r="X25">
        <f>X26+X27</f>
        <v>89282</v>
      </c>
      <c r="Z25">
        <f>Z26+Z27</f>
        <v>260174</v>
      </c>
      <c r="AA25">
        <f>AA26+AA27</f>
        <v>274515</v>
      </c>
      <c r="AB25">
        <f>AB26+AB27</f>
        <v>365817</v>
      </c>
      <c r="AC25">
        <f>AC26+AC27</f>
        <v>394328</v>
      </c>
      <c r="AD25">
        <f>AD26+AD27</f>
        <v>383069</v>
      </c>
      <c r="AE25">
        <f t="shared" ref="AE25:BB25" si="16">AE26+AE27</f>
        <v>404095.69999999995</v>
      </c>
      <c r="AF25">
        <f t="shared" si="16"/>
        <v>426020.38502915</v>
      </c>
      <c r="AG25">
        <f t="shared" si="16"/>
        <v>448860.48893937253</v>
      </c>
      <c r="AH25">
        <f t="shared" si="16"/>
        <v>472632.31682514609</v>
      </c>
      <c r="AI25">
        <f t="shared" si="16"/>
        <v>497350.97627166676</v>
      </c>
      <c r="AJ25">
        <f t="shared" si="16"/>
        <v>523030.31453687267</v>
      </c>
      <c r="AK25">
        <f t="shared" si="16"/>
        <v>549682.8620322668</v>
      </c>
      <c r="AL25">
        <f t="shared" si="16"/>
        <v>577319.78240064369</v>
      </c>
      <c r="AM25">
        <f t="shared" si="16"/>
        <v>605950.82942131127</v>
      </c>
      <c r="AN25">
        <f t="shared" si="16"/>
        <v>635584.31090613932</v>
      </c>
      <c r="AO25">
        <f t="shared" si="16"/>
        <v>666227.05968362512</v>
      </c>
      <c r="AP25">
        <f t="shared" si="16"/>
        <v>697884.41170396539</v>
      </c>
      <c r="AQ25">
        <f t="shared" si="16"/>
        <v>730560.19123654719</v>
      </c>
      <c r="AR25">
        <f t="shared" si="16"/>
        <v>764256.70307296689</v>
      </c>
      <c r="AS25">
        <f t="shared" si="16"/>
        <v>798974.73159418046</v>
      </c>
      <c r="AT25">
        <f t="shared" si="16"/>
        <v>834713.54651011061</v>
      </c>
      <c r="AU25">
        <f t="shared" si="16"/>
        <v>871470.91503434</v>
      </c>
      <c r="AV25">
        <f t="shared" si="16"/>
        <v>909243.1202156581</v>
      </c>
      <c r="AW25">
        <f t="shared" si="16"/>
        <v>948024.98511235893</v>
      </c>
      <c r="AX25">
        <f t="shared" si="16"/>
        <v>987809.90246440098</v>
      </c>
      <c r="AY25">
        <f t="shared" si="16"/>
        <v>1028589.869492837</v>
      </c>
      <c r="AZ25">
        <f t="shared" si="16"/>
        <v>1070355.5274352536</v>
      </c>
      <c r="BA25">
        <f t="shared" si="16"/>
        <v>1113096.2054101799</v>
      </c>
      <c r="BB25">
        <f t="shared" si="16"/>
        <v>1156799.9681923776</v>
      </c>
    </row>
    <row r="26" spans="1:54" x14ac:dyDescent="0.2">
      <c r="A26" s="393" t="s">
        <v>374</v>
      </c>
      <c r="B26" s="393"/>
      <c r="C26" s="393">
        <v>43095</v>
      </c>
      <c r="D26" s="393">
        <v>51529</v>
      </c>
      <c r="E26" s="393">
        <v>73435</v>
      </c>
      <c r="F26" s="393">
        <v>46565</v>
      </c>
      <c r="G26" s="393">
        <v>42354</v>
      </c>
      <c r="H26" s="393">
        <v>51529</v>
      </c>
      <c r="I26" s="393">
        <v>79104</v>
      </c>
      <c r="J26" s="393">
        <v>44965</v>
      </c>
      <c r="K26" s="393">
        <v>46529</v>
      </c>
      <c r="L26" s="393">
        <v>50149</v>
      </c>
      <c r="M26">
        <v>95678</v>
      </c>
      <c r="N26" s="181">
        <v>72683</v>
      </c>
      <c r="O26">
        <v>63948</v>
      </c>
      <c r="P26">
        <v>65083</v>
      </c>
      <c r="Q26">
        <v>104429</v>
      </c>
      <c r="R26">
        <v>77457</v>
      </c>
      <c r="S26">
        <v>63355</v>
      </c>
      <c r="T26">
        <v>70958</v>
      </c>
      <c r="U26">
        <v>96388</v>
      </c>
      <c r="V26">
        <v>73929</v>
      </c>
      <c r="W26">
        <v>60584</v>
      </c>
      <c r="X26">
        <v>67977</v>
      </c>
      <c r="Z26">
        <f>SUM(E26:H26)</f>
        <v>213883</v>
      </c>
      <c r="AA26">
        <f>SUM(I26:L26)</f>
        <v>220747</v>
      </c>
      <c r="AB26">
        <f>SUM(M26:P26)</f>
        <v>297392</v>
      </c>
      <c r="AC26">
        <f>SUM(Q26:T26)</f>
        <v>316199</v>
      </c>
      <c r="AD26">
        <f>SUM(U26:X26)</f>
        <v>298878</v>
      </c>
      <c r="AE26" s="97">
        <f>(1+AE5)*AD26</f>
        <v>312327.50999999995</v>
      </c>
      <c r="AF26" s="97">
        <f t="shared" ref="AF26:BB26" si="17">(1+AF5)*AE26</f>
        <v>326199.53635665</v>
      </c>
      <c r="AG26" s="97">
        <f t="shared" si="17"/>
        <v>340499.34278263594</v>
      </c>
      <c r="AH26" s="97">
        <f t="shared" si="17"/>
        <v>355231.97169030906</v>
      </c>
      <c r="AI26" s="97">
        <f t="shared" si="17"/>
        <v>370402.23681401042</v>
      </c>
      <c r="AJ26" s="97">
        <f t="shared" si="17"/>
        <v>386014.71619399753</v>
      </c>
      <c r="AK26" s="97">
        <f t="shared" si="17"/>
        <v>402073.74553397647</v>
      </c>
      <c r="AL26" s="97">
        <f t="shared" si="17"/>
        <v>418583.41194309283</v>
      </c>
      <c r="AM26" s="97">
        <f t="shared" si="17"/>
        <v>435547.54807207413</v>
      </c>
      <c r="AN26" s="97">
        <f t="shared" si="17"/>
        <v>452969.72665205173</v>
      </c>
      <c r="AO26" s="97">
        <f t="shared" si="17"/>
        <v>470853.25544342265</v>
      </c>
      <c r="AP26" s="97">
        <f t="shared" si="17"/>
        <v>489201.17260095105</v>
      </c>
      <c r="AQ26" s="97">
        <f t="shared" si="17"/>
        <v>508016.2424601533</v>
      </c>
      <c r="AR26" s="97">
        <f t="shared" si="17"/>
        <v>527300.95174886822</v>
      </c>
      <c r="AS26" s="97">
        <f t="shared" si="17"/>
        <v>547057.50622678723</v>
      </c>
      <c r="AT26" s="97">
        <f t="shared" si="17"/>
        <v>567287.82775461243</v>
      </c>
      <c r="AU26" s="97">
        <f t="shared" si="17"/>
        <v>587993.55179342255</v>
      </c>
      <c r="AV26" s="97">
        <f t="shared" si="17"/>
        <v>609176.02533377125</v>
      </c>
      <c r="AW26" s="97">
        <f t="shared" si="17"/>
        <v>630836.30525300954</v>
      </c>
      <c r="AX26" s="97">
        <f t="shared" si="17"/>
        <v>652975.15709832637</v>
      </c>
      <c r="AY26" s="97">
        <f t="shared" si="17"/>
        <v>675593.05429203343</v>
      </c>
      <c r="AZ26" s="97">
        <f t="shared" si="17"/>
        <v>698690.17775469646</v>
      </c>
      <c r="BA26" s="97">
        <f t="shared" si="17"/>
        <v>722266.41594081966</v>
      </c>
      <c r="BB26" s="97">
        <f t="shared" si="17"/>
        <v>746321.36528094101</v>
      </c>
    </row>
    <row r="27" spans="1:54" x14ac:dyDescent="0.2">
      <c r="A27" s="393" t="s">
        <v>375</v>
      </c>
      <c r="B27" s="393"/>
      <c r="C27" s="393">
        <v>10170</v>
      </c>
      <c r="D27" s="393">
        <v>12511</v>
      </c>
      <c r="E27" s="393">
        <v>10875</v>
      </c>
      <c r="F27" s="393">
        <v>11450</v>
      </c>
      <c r="G27" s="393">
        <v>11455</v>
      </c>
      <c r="H27" s="393">
        <v>12511</v>
      </c>
      <c r="I27" s="393">
        <v>12715</v>
      </c>
      <c r="J27" s="393">
        <v>13348</v>
      </c>
      <c r="K27" s="393">
        <v>13156</v>
      </c>
      <c r="L27" s="393">
        <v>14549</v>
      </c>
      <c r="M27">
        <v>15761</v>
      </c>
      <c r="N27">
        <v>16901</v>
      </c>
      <c r="O27">
        <v>17486</v>
      </c>
      <c r="P27">
        <v>18277</v>
      </c>
      <c r="Q27">
        <v>19516</v>
      </c>
      <c r="R27">
        <v>19821</v>
      </c>
      <c r="S27">
        <v>19604</v>
      </c>
      <c r="T27">
        <v>19188</v>
      </c>
      <c r="U27">
        <v>20766</v>
      </c>
      <c r="V27">
        <v>20907</v>
      </c>
      <c r="W27">
        <v>21213</v>
      </c>
      <c r="X27">
        <v>21305</v>
      </c>
      <c r="Z27">
        <f>SUM(E27:H27)</f>
        <v>46291</v>
      </c>
      <c r="AA27">
        <f>SUM(I27:L27)</f>
        <v>53768</v>
      </c>
      <c r="AB27">
        <f>SUM(M27:P27)</f>
        <v>68425</v>
      </c>
      <c r="AC27">
        <f>SUM(Q27:T27)</f>
        <v>78129</v>
      </c>
      <c r="AD27">
        <f>SUM(U27:X27)</f>
        <v>84191</v>
      </c>
      <c r="AE27" s="97">
        <f>(1+AE6)*AD27</f>
        <v>91768.19</v>
      </c>
      <c r="AF27" s="97">
        <f t="shared" ref="AF27:BB27" si="18">(1+AF6)*AE27</f>
        <v>99820.848672499997</v>
      </c>
      <c r="AG27" s="97">
        <f t="shared" si="18"/>
        <v>108361.14615673658</v>
      </c>
      <c r="AH27" s="97">
        <f t="shared" si="18"/>
        <v>117400.34513483704</v>
      </c>
      <c r="AI27" s="97">
        <f t="shared" si="18"/>
        <v>126948.73945765635</v>
      </c>
      <c r="AJ27" s="97">
        <f t="shared" si="18"/>
        <v>137015.59834287516</v>
      </c>
      <c r="AK27" s="97">
        <f t="shared" si="18"/>
        <v>147609.11649829036</v>
      </c>
      <c r="AL27" s="97">
        <f t="shared" si="18"/>
        <v>158736.3704575508</v>
      </c>
      <c r="AM27" s="97">
        <f t="shared" si="18"/>
        <v>170403.28134923716</v>
      </c>
      <c r="AN27" s="97">
        <f t="shared" si="18"/>
        <v>182614.58425408759</v>
      </c>
      <c r="AO27" s="97">
        <f t="shared" si="18"/>
        <v>195373.80424020247</v>
      </c>
      <c r="AP27" s="97">
        <f t="shared" si="18"/>
        <v>208683.23910301441</v>
      </c>
      <c r="AQ27" s="97">
        <f t="shared" si="18"/>
        <v>222543.9487763939</v>
      </c>
      <c r="AR27" s="97">
        <f t="shared" si="18"/>
        <v>236955.75132409864</v>
      </c>
      <c r="AS27" s="97">
        <f t="shared" si="18"/>
        <v>251917.22536739323</v>
      </c>
      <c r="AT27" s="97">
        <f t="shared" si="18"/>
        <v>267425.71875549818</v>
      </c>
      <c r="AU27" s="97">
        <f t="shared" si="18"/>
        <v>283477.36324091739</v>
      </c>
      <c r="AV27" s="97">
        <f t="shared" si="18"/>
        <v>300067.09488188679</v>
      </c>
      <c r="AW27" s="97">
        <f t="shared" si="18"/>
        <v>317188.67985934939</v>
      </c>
      <c r="AX27" s="97">
        <f t="shared" si="18"/>
        <v>334834.74536607461</v>
      </c>
      <c r="AY27" s="97">
        <f t="shared" si="18"/>
        <v>352996.81520080357</v>
      </c>
      <c r="AZ27" s="97">
        <f t="shared" si="18"/>
        <v>371665.34968055709</v>
      </c>
      <c r="BA27" s="97">
        <f t="shared" si="18"/>
        <v>390829.78946936032</v>
      </c>
      <c r="BB27" s="97">
        <f t="shared" si="18"/>
        <v>410478.60291143652</v>
      </c>
    </row>
    <row r="28" spans="1:54" x14ac:dyDescent="0.2">
      <c r="C28" s="97" t="s">
        <v>259</v>
      </c>
    </row>
    <row r="29" spans="1:54" x14ac:dyDescent="0.2">
      <c r="A29" t="s">
        <v>376</v>
      </c>
    </row>
    <row r="30" spans="1:54" x14ac:dyDescent="0.2">
      <c r="A30" s="393" t="s">
        <v>374</v>
      </c>
      <c r="B30" s="393"/>
      <c r="C30" s="393">
        <v>28956</v>
      </c>
      <c r="D30" s="393">
        <v>35238</v>
      </c>
      <c r="E30" s="393">
        <v>48238</v>
      </c>
      <c r="F30" s="393">
        <v>32047</v>
      </c>
      <c r="G30" s="393">
        <v>29473</v>
      </c>
      <c r="H30" s="393">
        <v>35238</v>
      </c>
      <c r="I30" s="393">
        <v>52075</v>
      </c>
      <c r="J30" s="393">
        <v>31321</v>
      </c>
      <c r="K30" s="393">
        <v>32693</v>
      </c>
      <c r="L30" s="393">
        <v>35197</v>
      </c>
      <c r="M30">
        <v>62130</v>
      </c>
      <c r="N30">
        <v>46447</v>
      </c>
      <c r="O30">
        <v>40899</v>
      </c>
      <c r="P30">
        <v>42790</v>
      </c>
      <c r="Q30">
        <v>64309</v>
      </c>
      <c r="R30">
        <v>49290</v>
      </c>
      <c r="S30">
        <v>41485</v>
      </c>
      <c r="T30">
        <v>46387</v>
      </c>
      <c r="U30">
        <v>60765</v>
      </c>
      <c r="V30">
        <v>46795</v>
      </c>
      <c r="W30">
        <v>39136</v>
      </c>
      <c r="X30">
        <v>43350</v>
      </c>
      <c r="Z30">
        <f>SUM(E30:H30)</f>
        <v>144996</v>
      </c>
      <c r="AA30">
        <f>SUM(I30:L30)</f>
        <v>151286</v>
      </c>
      <c r="AB30">
        <f>SUM(M30:P30)</f>
        <v>192266</v>
      </c>
      <c r="AC30">
        <f>SUM(Q30:T30)</f>
        <v>201471</v>
      </c>
      <c r="AD30">
        <f>SUM(U30:X30)</f>
        <v>190046</v>
      </c>
      <c r="AE30">
        <f>AE9*AE26</f>
        <v>198796.66806999993</v>
      </c>
      <c r="AF30">
        <f t="shared" ref="AF30:BB30" si="19">AF9*AF26</f>
        <v>207833.84830441131</v>
      </c>
      <c r="AG30">
        <f t="shared" si="19"/>
        <v>217161.731238462</v>
      </c>
      <c r="AH30">
        <f t="shared" si="19"/>
        <v>226784.38120445397</v>
      </c>
      <c r="AI30">
        <f t="shared" si="19"/>
        <v>236705.73094695766</v>
      </c>
      <c r="AJ30">
        <f t="shared" si="19"/>
        <v>246929.57643898326</v>
      </c>
      <c r="AK30">
        <f t="shared" si="19"/>
        <v>257459.57190833043</v>
      </c>
      <c r="AL30">
        <f t="shared" si="19"/>
        <v>268299.22508264828</v>
      </c>
      <c r="AM30">
        <f t="shared" si="19"/>
        <v>279451.89266105503</v>
      </c>
      <c r="AN30">
        <f t="shared" si="19"/>
        <v>290920.7760194756</v>
      </c>
      <c r="AO30">
        <f t="shared" si="19"/>
        <v>302708.91715615429</v>
      </c>
      <c r="AP30">
        <f t="shared" si="19"/>
        <v>314819.19488309877</v>
      </c>
      <c r="AQ30">
        <f t="shared" si="19"/>
        <v>327254.32126850577</v>
      </c>
      <c r="AR30">
        <f t="shared" si="19"/>
        <v>340016.83833451505</v>
      </c>
      <c r="AS30">
        <f t="shared" si="19"/>
        <v>353109.1150139395</v>
      </c>
      <c r="AT30">
        <f t="shared" si="19"/>
        <v>366533.34436892427</v>
      </c>
      <c r="AU30">
        <f t="shared" si="19"/>
        <v>380291.54107380292</v>
      </c>
      <c r="AV30">
        <f t="shared" si="19"/>
        <v>394385.53916374309</v>
      </c>
      <c r="AW30">
        <f t="shared" si="19"/>
        <v>408816.99005011184</v>
      </c>
      <c r="AX30">
        <f t="shared" si="19"/>
        <v>423587.36080284324</v>
      </c>
      <c r="AY30">
        <f t="shared" si="19"/>
        <v>438697.93269945658</v>
      </c>
      <c r="AZ30">
        <f t="shared" si="19"/>
        <v>454149.80003976275</v>
      </c>
      <c r="BA30">
        <f t="shared" si="19"/>
        <v>469943.86922469834</v>
      </c>
      <c r="BB30">
        <f t="shared" si="19"/>
        <v>486080.85809715459</v>
      </c>
    </row>
    <row r="31" spans="1:54" x14ac:dyDescent="0.2">
      <c r="A31" s="393" t="s">
        <v>375</v>
      </c>
      <c r="B31" s="393"/>
      <c r="C31" s="393">
        <v>3888</v>
      </c>
      <c r="D31" s="393">
        <v>4489</v>
      </c>
      <c r="E31" s="393">
        <v>4041</v>
      </c>
      <c r="F31" s="393">
        <v>4147</v>
      </c>
      <c r="G31" s="393">
        <v>4109</v>
      </c>
      <c r="H31" s="393">
        <v>4489</v>
      </c>
      <c r="I31" s="393">
        <v>4527</v>
      </c>
      <c r="J31" s="393">
        <v>4622</v>
      </c>
      <c r="K31" s="393">
        <v>4312</v>
      </c>
      <c r="L31" s="393">
        <v>4812</v>
      </c>
      <c r="M31">
        <v>4981</v>
      </c>
      <c r="N31">
        <v>5058</v>
      </c>
      <c r="O31">
        <v>5280</v>
      </c>
      <c r="P31">
        <v>5396</v>
      </c>
      <c r="Q31">
        <v>5393</v>
      </c>
      <c r="R31">
        <v>5429</v>
      </c>
      <c r="S31">
        <v>5589</v>
      </c>
      <c r="T31">
        <v>5664</v>
      </c>
      <c r="U31">
        <v>6057</v>
      </c>
      <c r="V31">
        <v>6065</v>
      </c>
      <c r="W31">
        <v>6248</v>
      </c>
      <c r="X31">
        <v>6134</v>
      </c>
      <c r="Z31">
        <f>SUM(E31:H31)</f>
        <v>16786</v>
      </c>
      <c r="AA31">
        <f>SUM(I31:L31)</f>
        <v>18273</v>
      </c>
      <c r="AB31">
        <f>SUM(M31:P31)</f>
        <v>20715</v>
      </c>
      <c r="AC31">
        <f>SUM(Q31:T31)</f>
        <v>22075</v>
      </c>
      <c r="AD31">
        <f>SUM(U31:X31)</f>
        <v>24504</v>
      </c>
      <c r="AE31">
        <f>AE10*AE27</f>
        <v>26736.069360000001</v>
      </c>
      <c r="AF31">
        <f t="shared" ref="AF31:BB31" si="20">AF10*AF27</f>
        <v>29111.241605786334</v>
      </c>
      <c r="AG31">
        <f t="shared" si="20"/>
        <v>31633.492160691811</v>
      </c>
      <c r="AH31">
        <f t="shared" si="20"/>
        <v>34306.546324323434</v>
      </c>
      <c r="AI31">
        <f t="shared" si="20"/>
        <v>37133.860031012278</v>
      </c>
      <c r="AJ31">
        <f t="shared" si="20"/>
        <v>40118.602128219012</v>
      </c>
      <c r="AK31">
        <f t="shared" si="20"/>
        <v>43263.638289372757</v>
      </c>
      <c r="AL31">
        <f t="shared" si="20"/>
        <v>46571.516657223656</v>
      </c>
      <c r="AM31">
        <f t="shared" si="20"/>
        <v>50044.455295024622</v>
      </c>
      <c r="AN31">
        <f t="shared" si="20"/>
        <v>53684.331503995818</v>
      </c>
      <c r="AO31">
        <f t="shared" si="20"/>
        <v>57492.67304682338</v>
      </c>
      <c r="AP31">
        <f t="shared" si="20"/>
        <v>61470.651298637633</v>
      </c>
      <c r="AQ31">
        <f t="shared" si="20"/>
        <v>65619.076329219373</v>
      </c>
      <c r="AR31">
        <f t="shared" si="20"/>
        <v>69938.393903286866</v>
      </c>
      <c r="AS31">
        <f t="shared" si="20"/>
        <v>74428.684369785013</v>
      </c>
      <c r="AT31">
        <f t="shared" si="20"/>
        <v>79089.663396270262</v>
      </c>
      <c r="AU31">
        <f t="shared" si="20"/>
        <v>83920.684490874773</v>
      </c>
      <c r="AV31">
        <f t="shared" si="20"/>
        <v>88920.743242025026</v>
      </c>
      <c r="AW31">
        <f t="shared" si="20"/>
        <v>94088.483195147477</v>
      </c>
      <c r="AX31">
        <f t="shared" si="20"/>
        <v>99422.203276055487</v>
      </c>
      <c r="AY31">
        <f t="shared" si="20"/>
        <v>104919.86666259107</v>
      </c>
      <c r="AZ31">
        <f t="shared" si="20"/>
        <v>110579.11099939028</v>
      </c>
      <c r="BA31">
        <f t="shared" si="20"/>
        <v>116397.25984532754</v>
      </c>
      <c r="BB31">
        <f t="shared" si="20"/>
        <v>122371.33523923192</v>
      </c>
    </row>
    <row r="33" spans="1:54" x14ac:dyDescent="0.2">
      <c r="A33" t="s">
        <v>377</v>
      </c>
      <c r="C33">
        <v>3701</v>
      </c>
      <c r="D33">
        <v>4110</v>
      </c>
      <c r="E33">
        <v>3902</v>
      </c>
      <c r="F33">
        <v>3948</v>
      </c>
      <c r="G33">
        <v>4257</v>
      </c>
      <c r="H33">
        <v>4110</v>
      </c>
      <c r="I33">
        <v>4451</v>
      </c>
      <c r="J33">
        <v>4565</v>
      </c>
      <c r="K33">
        <v>4758</v>
      </c>
      <c r="L33">
        <v>4978</v>
      </c>
      <c r="M33">
        <v>5163</v>
      </c>
      <c r="N33">
        <v>5262</v>
      </c>
      <c r="O33">
        <v>5717</v>
      </c>
      <c r="P33">
        <v>5772</v>
      </c>
      <c r="Q33">
        <v>6306</v>
      </c>
      <c r="R33">
        <v>6387</v>
      </c>
      <c r="S33">
        <v>6797</v>
      </c>
      <c r="T33">
        <v>6761</v>
      </c>
      <c r="U33">
        <v>7709</v>
      </c>
      <c r="V33">
        <v>7457</v>
      </c>
      <c r="W33">
        <v>7442</v>
      </c>
      <c r="X33">
        <v>7393</v>
      </c>
      <c r="Z33">
        <f>SUM(E33:H33)</f>
        <v>16217</v>
      </c>
      <c r="AA33">
        <f>SUM(I33:L33)</f>
        <v>18752</v>
      </c>
      <c r="AB33">
        <f>SUM(M33:P33)</f>
        <v>21914</v>
      </c>
      <c r="AC33">
        <f>SUM(Q33:T33)</f>
        <v>26251</v>
      </c>
      <c r="AD33">
        <f>SUM(U33:X33)</f>
        <v>30001</v>
      </c>
      <c r="AE33">
        <f>AE12*AE$25</f>
        <v>31964.235807797028</v>
      </c>
      <c r="AF33">
        <f t="shared" ref="AF33:BB33" si="21">AF12*AF$25</f>
        <v>34035.477750592836</v>
      </c>
      <c r="AG33">
        <f t="shared" si="21"/>
        <v>36218.813790341548</v>
      </c>
      <c r="AH33">
        <f t="shared" si="21"/>
        <v>38518.346165832445</v>
      </c>
      <c r="AI33">
        <f t="shared" si="21"/>
        <v>40938.183344336241</v>
      </c>
      <c r="AJ33">
        <f t="shared" si="21"/>
        <v>43482.432028956508</v>
      </c>
      <c r="AK33">
        <f t="shared" si="21"/>
        <v>46155.18927241159</v>
      </c>
      <c r="AL33">
        <f t="shared" si="21"/>
        <v>48960.534745766687</v>
      </c>
      <c r="AM33">
        <f t="shared" si="21"/>
        <v>51902.523208004182</v>
      </c>
      <c r="AN33">
        <f t="shared" si="21"/>
        <v>54985.177219318335</v>
      </c>
      <c r="AO33">
        <f t="shared" si="21"/>
        <v>58212.480137703489</v>
      </c>
      <c r="AP33">
        <f t="shared" si="21"/>
        <v>61588.369434832457</v>
      </c>
      <c r="AQ33">
        <f t="shared" si="21"/>
        <v>65116.730363448361</v>
      </c>
      <c r="AR33">
        <f t="shared" si="21"/>
        <v>68801.390004578323</v>
      </c>
      <c r="AS33">
        <f t="shared" si="21"/>
        <v>72646.111718873435</v>
      </c>
      <c r="AT33">
        <f t="shared" si="21"/>
        <v>76654.590022339762</v>
      </c>
      <c r="AU33">
        <f t="shared" si="21"/>
        <v>80830.445902697335</v>
      </c>
      <c r="AV33">
        <f t="shared" si="21"/>
        <v>85177.222588635006</v>
      </c>
      <c r="AW33">
        <f t="shared" si="21"/>
        <v>89698.38178035774</v>
      </c>
      <c r="AX33">
        <f t="shared" si="21"/>
        <v>94397.300346087504</v>
      </c>
      <c r="AY33">
        <f t="shared" si="21"/>
        <v>99277.267485610209</v>
      </c>
      <c r="AZ33">
        <f t="shared" si="21"/>
        <v>104341.48235858878</v>
      </c>
      <c r="BA33">
        <f t="shared" si="21"/>
        <v>109593.05217220577</v>
      </c>
      <c r="BB33">
        <f t="shared" si="21"/>
        <v>115034.99071977998</v>
      </c>
    </row>
    <row r="34" spans="1:54" x14ac:dyDescent="0.2">
      <c r="A34" t="s">
        <v>378</v>
      </c>
      <c r="C34">
        <v>4108</v>
      </c>
      <c r="D34">
        <v>4578</v>
      </c>
      <c r="E34">
        <v>4783</v>
      </c>
      <c r="F34">
        <v>4458</v>
      </c>
      <c r="G34">
        <v>4426</v>
      </c>
      <c r="H34">
        <v>4578</v>
      </c>
      <c r="I34">
        <v>5197</v>
      </c>
      <c r="J34">
        <v>4952</v>
      </c>
      <c r="K34">
        <v>4831</v>
      </c>
      <c r="L34">
        <v>4936</v>
      </c>
      <c r="M34">
        <v>5631</v>
      </c>
      <c r="N34">
        <v>5314</v>
      </c>
      <c r="O34">
        <v>5412</v>
      </c>
      <c r="P34">
        <v>5616</v>
      </c>
      <c r="Q34">
        <v>6449</v>
      </c>
      <c r="R34">
        <v>6193</v>
      </c>
      <c r="S34">
        <v>6012</v>
      </c>
      <c r="T34">
        <v>6440</v>
      </c>
      <c r="U34">
        <v>6607</v>
      </c>
      <c r="V34">
        <v>6201</v>
      </c>
      <c r="W34">
        <v>5973</v>
      </c>
      <c r="X34">
        <v>6220</v>
      </c>
      <c r="Z34">
        <f>SUM(E34:H34)</f>
        <v>18245</v>
      </c>
      <c r="AA34">
        <f>SUM(I34:L34)</f>
        <v>19916</v>
      </c>
      <c r="AB34">
        <f>SUM(M34:P34)</f>
        <v>21973</v>
      </c>
      <c r="AC34">
        <f>SUM(Q34:T34)</f>
        <v>25094</v>
      </c>
      <c r="AD34">
        <f>SUM(U34:X34)</f>
        <v>25001</v>
      </c>
      <c r="AE34">
        <f>AE13*AE$25</f>
        <v>26399.680977306176</v>
      </c>
      <c r="AF34">
        <f t="shared" ref="AF34:BB34" si="22">AF13*AF$25</f>
        <v>27859.858585115609</v>
      </c>
      <c r="AG34">
        <f t="shared" si="22"/>
        <v>29382.854379577526</v>
      </c>
      <c r="AH34">
        <f t="shared" si="22"/>
        <v>30969.920876180302</v>
      </c>
      <c r="AI34">
        <f t="shared" si="22"/>
        <v>32622.236682371207</v>
      </c>
      <c r="AJ34">
        <f t="shared" si="22"/>
        <v>34340.901991636005</v>
      </c>
      <c r="AK34">
        <f t="shared" si="22"/>
        <v>36126.934465653205</v>
      </c>
      <c r="AL34">
        <f t="shared" si="22"/>
        <v>37981.265526943418</v>
      </c>
      <c r="AM34">
        <f t="shared" si="22"/>
        <v>39904.737080156665</v>
      </c>
      <c r="AN34">
        <f t="shared" si="22"/>
        <v>41898.098675839719</v>
      </c>
      <c r="AO34">
        <f t="shared" si="22"/>
        <v>43962.005126260148</v>
      </c>
      <c r="AP34">
        <f t="shared" si="22"/>
        <v>46097.0145786867</v>
      </c>
      <c r="AQ34">
        <f t="shared" si="22"/>
        <v>48303.587047484914</v>
      </c>
      <c r="AR34">
        <f t="shared" si="22"/>
        <v>50582.083402526026</v>
      </c>
      <c r="AS34">
        <f t="shared" si="22"/>
        <v>52932.764807762956</v>
      </c>
      <c r="AT34">
        <f t="shared" si="22"/>
        <v>55355.792600431225</v>
      </c>
      <c r="AU34">
        <f t="shared" si="22"/>
        <v>57851.228598209869</v>
      </c>
      <c r="AV34">
        <f t="shared" si="22"/>
        <v>60419.035818848635</v>
      </c>
      <c r="AW34">
        <f t="shared" si="22"/>
        <v>63059.079594245952</v>
      </c>
      <c r="AX34">
        <f t="shared" si="22"/>
        <v>65771.129058756298</v>
      </c>
      <c r="AY34">
        <f t="shared" si="22"/>
        <v>68554.858989620319</v>
      </c>
      <c r="AZ34">
        <f t="shared" si="22"/>
        <v>71409.851975844373</v>
      </c>
      <c r="BA34">
        <f t="shared" si="22"/>
        <v>74335.600890603324</v>
      </c>
      <c r="BB34">
        <f t="shared" si="22"/>
        <v>77331.511641293531</v>
      </c>
    </row>
    <row r="36" spans="1:54" x14ac:dyDescent="0.2">
      <c r="A36" s="97" t="s">
        <v>405</v>
      </c>
      <c r="C36">
        <f>C25-C30-C31-C33-C34</f>
        <v>12612</v>
      </c>
      <c r="D36">
        <f t="shared" ref="D36:BB36" si="23">D25-D30-D31-D33-D34</f>
        <v>15625</v>
      </c>
      <c r="E36">
        <f t="shared" si="23"/>
        <v>23346</v>
      </c>
      <c r="F36">
        <f t="shared" si="23"/>
        <v>13415</v>
      </c>
      <c r="G36">
        <f t="shared" si="23"/>
        <v>11544</v>
      </c>
      <c r="H36">
        <f t="shared" si="23"/>
        <v>15625</v>
      </c>
      <c r="I36">
        <f t="shared" si="23"/>
        <v>25569</v>
      </c>
      <c r="J36">
        <f t="shared" si="23"/>
        <v>12853</v>
      </c>
      <c r="K36">
        <f t="shared" si="23"/>
        <v>13091</v>
      </c>
      <c r="L36">
        <f t="shared" si="23"/>
        <v>14775</v>
      </c>
      <c r="M36">
        <f t="shared" si="23"/>
        <v>33534</v>
      </c>
      <c r="N36">
        <f t="shared" si="23"/>
        <v>27503</v>
      </c>
      <c r="O36">
        <f t="shared" si="23"/>
        <v>24126</v>
      </c>
      <c r="P36">
        <f t="shared" si="23"/>
        <v>23786</v>
      </c>
      <c r="Q36">
        <f t="shared" si="23"/>
        <v>41488</v>
      </c>
      <c r="R36">
        <f t="shared" si="23"/>
        <v>29979</v>
      </c>
      <c r="S36">
        <f t="shared" si="23"/>
        <v>23076</v>
      </c>
      <c r="T36">
        <f t="shared" si="23"/>
        <v>24894</v>
      </c>
      <c r="U36">
        <f t="shared" si="23"/>
        <v>36016</v>
      </c>
      <c r="V36">
        <f t="shared" si="23"/>
        <v>28318</v>
      </c>
      <c r="W36">
        <f t="shared" si="23"/>
        <v>22998</v>
      </c>
      <c r="X36">
        <f>X25-X30-X31-X33-X34</f>
        <v>26185</v>
      </c>
      <c r="Z36">
        <f t="shared" si="23"/>
        <v>63930</v>
      </c>
      <c r="AA36">
        <f t="shared" si="23"/>
        <v>66288</v>
      </c>
      <c r="AB36">
        <f t="shared" si="23"/>
        <v>108949</v>
      </c>
      <c r="AC36">
        <f t="shared" si="23"/>
        <v>119437</v>
      </c>
      <c r="AD36">
        <f t="shared" si="23"/>
        <v>113517</v>
      </c>
      <c r="AE36">
        <f t="shared" si="23"/>
        <v>120199.04578489682</v>
      </c>
      <c r="AF36">
        <f t="shared" si="23"/>
        <v>127179.9587832439</v>
      </c>
      <c r="AG36">
        <f t="shared" si="23"/>
        <v>134463.59737029963</v>
      </c>
      <c r="AH36">
        <f t="shared" si="23"/>
        <v>142053.12225435593</v>
      </c>
      <c r="AI36">
        <f t="shared" si="23"/>
        <v>149950.9652669894</v>
      </c>
      <c r="AJ36">
        <f t="shared" si="23"/>
        <v>158158.8019490779</v>
      </c>
      <c r="AK36">
        <f t="shared" si="23"/>
        <v>166677.52809649881</v>
      </c>
      <c r="AL36">
        <f t="shared" si="23"/>
        <v>175507.24038806168</v>
      </c>
      <c r="AM36">
        <f t="shared" si="23"/>
        <v>184647.22117707078</v>
      </c>
      <c r="AN36">
        <f t="shared" si="23"/>
        <v>194095.92748750985</v>
      </c>
      <c r="AO36">
        <f t="shared" si="23"/>
        <v>203850.98421668384</v>
      </c>
      <c r="AP36">
        <f t="shared" si="23"/>
        <v>213909.18150870985</v>
      </c>
      <c r="AQ36">
        <f t="shared" si="23"/>
        <v>224266.47622788875</v>
      </c>
      <c r="AR36">
        <f t="shared" si="23"/>
        <v>234917.99742806063</v>
      </c>
      <c r="AS36">
        <f t="shared" si="23"/>
        <v>245858.05568381955</v>
      </c>
      <c r="AT36">
        <f t="shared" si="23"/>
        <v>257080.1561221451</v>
      </c>
      <c r="AU36">
        <f t="shared" si="23"/>
        <v>268577.01496875513</v>
      </c>
      <c r="AV36">
        <f t="shared" si="23"/>
        <v>280340.57940240635</v>
      </c>
      <c r="AW36">
        <f t="shared" si="23"/>
        <v>292362.050492496</v>
      </c>
      <c r="AX36">
        <f t="shared" si="23"/>
        <v>304631.90898065845</v>
      </c>
      <c r="AY36">
        <f t="shared" si="23"/>
        <v>317139.94365555886</v>
      </c>
      <c r="AZ36">
        <f t="shared" si="23"/>
        <v>329875.28206166747</v>
      </c>
      <c r="BA36">
        <f t="shared" si="23"/>
        <v>342826.42327734496</v>
      </c>
      <c r="BB36">
        <f t="shared" si="23"/>
        <v>355981.2724949175</v>
      </c>
    </row>
    <row r="37" spans="1:54" x14ac:dyDescent="0.2">
      <c r="AB37" s="97"/>
      <c r="AC37" s="97"/>
    </row>
    <row r="38" spans="1:54" x14ac:dyDescent="0.2">
      <c r="A38" t="s">
        <v>379</v>
      </c>
      <c r="C38">
        <v>672</v>
      </c>
      <c r="D38">
        <v>502</v>
      </c>
      <c r="E38">
        <v>560</v>
      </c>
      <c r="F38">
        <v>378</v>
      </c>
      <c r="G38">
        <v>367</v>
      </c>
      <c r="H38">
        <v>502</v>
      </c>
      <c r="I38">
        <v>349</v>
      </c>
      <c r="J38">
        <v>282</v>
      </c>
      <c r="K38">
        <v>46</v>
      </c>
      <c r="L38">
        <v>126</v>
      </c>
      <c r="M38">
        <v>45</v>
      </c>
      <c r="N38">
        <v>508</v>
      </c>
      <c r="O38">
        <v>243</v>
      </c>
      <c r="P38">
        <v>-538</v>
      </c>
      <c r="Q38">
        <v>-247</v>
      </c>
      <c r="R38">
        <v>160</v>
      </c>
      <c r="S38">
        <v>-10</v>
      </c>
      <c r="T38">
        <v>-237</v>
      </c>
      <c r="U38">
        <v>-393</v>
      </c>
      <c r="V38">
        <v>64</v>
      </c>
      <c r="W38">
        <v>-265</v>
      </c>
      <c r="Z38">
        <f>SUM(E38:H38)</f>
        <v>1807</v>
      </c>
      <c r="AA38">
        <f>SUM(I38:L38)</f>
        <v>803</v>
      </c>
      <c r="AB38">
        <f>SUM(M38:P38)</f>
        <v>258</v>
      </c>
      <c r="AC38">
        <f>SUM(Q38:T38)</f>
        <v>-334</v>
      </c>
    </row>
    <row r="39" spans="1:54" x14ac:dyDescent="0.2">
      <c r="AC39" s="97"/>
    </row>
    <row r="40" spans="1:54" x14ac:dyDescent="0.2">
      <c r="A40" t="s">
        <v>380</v>
      </c>
      <c r="C40">
        <f t="shared" ref="C40:W40" si="24">C26+C27-C30-C31-C33-C34+C38</f>
        <v>13284</v>
      </c>
      <c r="D40">
        <f t="shared" si="24"/>
        <v>16127</v>
      </c>
      <c r="E40">
        <f t="shared" si="24"/>
        <v>23906</v>
      </c>
      <c r="F40">
        <f t="shared" si="24"/>
        <v>13793</v>
      </c>
      <c r="G40">
        <f t="shared" si="24"/>
        <v>11911</v>
      </c>
      <c r="H40">
        <f t="shared" si="24"/>
        <v>16127</v>
      </c>
      <c r="I40">
        <f t="shared" si="24"/>
        <v>25918</v>
      </c>
      <c r="J40">
        <f t="shared" si="24"/>
        <v>13135</v>
      </c>
      <c r="K40">
        <f t="shared" si="24"/>
        <v>13137</v>
      </c>
      <c r="L40">
        <f t="shared" si="24"/>
        <v>14901</v>
      </c>
      <c r="M40">
        <f t="shared" si="24"/>
        <v>33579</v>
      </c>
      <c r="N40">
        <f t="shared" si="24"/>
        <v>28011</v>
      </c>
      <c r="O40">
        <f t="shared" si="24"/>
        <v>24369</v>
      </c>
      <c r="P40">
        <f t="shared" si="24"/>
        <v>23248</v>
      </c>
      <c r="Q40">
        <f t="shared" si="24"/>
        <v>41241</v>
      </c>
      <c r="R40">
        <f t="shared" si="24"/>
        <v>30139</v>
      </c>
      <c r="S40">
        <f t="shared" si="24"/>
        <v>23066</v>
      </c>
      <c r="T40">
        <f t="shared" si="24"/>
        <v>24657</v>
      </c>
      <c r="U40">
        <f t="shared" si="24"/>
        <v>35623</v>
      </c>
      <c r="V40">
        <f t="shared" si="24"/>
        <v>28382</v>
      </c>
      <c r="W40">
        <f t="shared" si="24"/>
        <v>22733</v>
      </c>
      <c r="Z40">
        <f>SUM(E40:H40)</f>
        <v>65737</v>
      </c>
      <c r="AA40">
        <f>SUM(I40:L40)</f>
        <v>67091</v>
      </c>
      <c r="AB40">
        <f>SUM(M40:P40)</f>
        <v>109207</v>
      </c>
      <c r="AC40">
        <f>SUM(Q40:T40)</f>
        <v>119103</v>
      </c>
    </row>
    <row r="41" spans="1:54" x14ac:dyDescent="0.2">
      <c r="A41" t="s">
        <v>381</v>
      </c>
      <c r="C41">
        <v>1765</v>
      </c>
      <c r="D41">
        <v>2441</v>
      </c>
      <c r="E41">
        <v>3941</v>
      </c>
      <c r="F41">
        <v>2232</v>
      </c>
      <c r="G41">
        <v>1867</v>
      </c>
      <c r="H41">
        <v>2441</v>
      </c>
      <c r="I41">
        <v>3682</v>
      </c>
      <c r="J41">
        <v>1886</v>
      </c>
      <c r="K41">
        <v>1884</v>
      </c>
      <c r="L41">
        <v>2228</v>
      </c>
      <c r="M41">
        <v>4824</v>
      </c>
      <c r="N41">
        <v>4381</v>
      </c>
      <c r="O41">
        <v>2625</v>
      </c>
      <c r="P41">
        <v>2697</v>
      </c>
      <c r="Q41">
        <v>6611</v>
      </c>
      <c r="R41">
        <v>5129</v>
      </c>
      <c r="S41">
        <v>3624</v>
      </c>
      <c r="T41">
        <v>3936</v>
      </c>
      <c r="U41">
        <v>5625</v>
      </c>
      <c r="V41">
        <v>4222</v>
      </c>
      <c r="W41">
        <v>2852</v>
      </c>
      <c r="Z41">
        <f>SUM(E41:H41)</f>
        <v>10481</v>
      </c>
      <c r="AA41">
        <f>SUM(I41:L41)</f>
        <v>9680</v>
      </c>
      <c r="AB41">
        <f>SUM(M41:P41)</f>
        <v>14527</v>
      </c>
      <c r="AC41">
        <f>SUM(Q41:T41)</f>
        <v>19300</v>
      </c>
    </row>
    <row r="42" spans="1:54" x14ac:dyDescent="0.2">
      <c r="A42" t="s">
        <v>382</v>
      </c>
      <c r="C42">
        <f t="shared" ref="C42:W42" si="25">C40-C41</f>
        <v>11519</v>
      </c>
      <c r="D42">
        <f t="shared" si="25"/>
        <v>13686</v>
      </c>
      <c r="E42">
        <f t="shared" si="25"/>
        <v>19965</v>
      </c>
      <c r="F42">
        <f t="shared" si="25"/>
        <v>11561</v>
      </c>
      <c r="G42">
        <f t="shared" si="25"/>
        <v>10044</v>
      </c>
      <c r="H42">
        <f t="shared" si="25"/>
        <v>13686</v>
      </c>
      <c r="I42">
        <f t="shared" si="25"/>
        <v>22236</v>
      </c>
      <c r="J42">
        <f t="shared" si="25"/>
        <v>11249</v>
      </c>
      <c r="K42">
        <f t="shared" si="25"/>
        <v>11253</v>
      </c>
      <c r="L42">
        <f t="shared" si="25"/>
        <v>12673</v>
      </c>
      <c r="M42">
        <f t="shared" si="25"/>
        <v>28755</v>
      </c>
      <c r="N42">
        <f t="shared" si="25"/>
        <v>23630</v>
      </c>
      <c r="O42">
        <f t="shared" si="25"/>
        <v>21744</v>
      </c>
      <c r="P42">
        <f t="shared" si="25"/>
        <v>20551</v>
      </c>
      <c r="Q42">
        <f t="shared" si="25"/>
        <v>34630</v>
      </c>
      <c r="R42">
        <f t="shared" si="25"/>
        <v>25010</v>
      </c>
      <c r="S42">
        <f t="shared" si="25"/>
        <v>19442</v>
      </c>
      <c r="T42">
        <f t="shared" si="25"/>
        <v>20721</v>
      </c>
      <c r="U42">
        <f t="shared" si="25"/>
        <v>29998</v>
      </c>
      <c r="V42">
        <f t="shared" si="25"/>
        <v>24160</v>
      </c>
      <c r="W42">
        <f t="shared" si="25"/>
        <v>19881</v>
      </c>
    </row>
    <row r="45" spans="1:54" x14ac:dyDescent="0.2">
      <c r="A45" t="s">
        <v>383</v>
      </c>
      <c r="E45">
        <v>3395</v>
      </c>
      <c r="F45">
        <v>6435</v>
      </c>
      <c r="G45">
        <v>9368</v>
      </c>
      <c r="H45">
        <v>12547</v>
      </c>
      <c r="I45">
        <v>2816</v>
      </c>
      <c r="J45">
        <v>5602</v>
      </c>
      <c r="K45">
        <v>8354</v>
      </c>
      <c r="L45">
        <v>11056</v>
      </c>
      <c r="M45">
        <v>2666</v>
      </c>
      <c r="N45">
        <v>5463</v>
      </c>
      <c r="O45">
        <v>8295</v>
      </c>
      <c r="P45">
        <v>11284</v>
      </c>
      <c r="Q45">
        <v>2697</v>
      </c>
      <c r="R45">
        <v>5434</v>
      </c>
      <c r="S45">
        <v>8239</v>
      </c>
      <c r="T45">
        <v>11104</v>
      </c>
      <c r="U45">
        <v>2916</v>
      </c>
      <c r="V45">
        <v>5814</v>
      </c>
      <c r="W45">
        <v>8866</v>
      </c>
    </row>
    <row r="46" spans="1:54" x14ac:dyDescent="0.2">
      <c r="A46" t="s">
        <v>384</v>
      </c>
      <c r="E46">
        <v>1559</v>
      </c>
      <c r="F46">
        <v>3073</v>
      </c>
      <c r="G46">
        <v>4569</v>
      </c>
      <c r="H46">
        <v>6068</v>
      </c>
      <c r="I46">
        <v>1710</v>
      </c>
      <c r="J46">
        <v>3407</v>
      </c>
      <c r="K46">
        <v>5105</v>
      </c>
      <c r="L46">
        <v>6829</v>
      </c>
      <c r="M46">
        <v>2020</v>
      </c>
      <c r="N46">
        <v>4001</v>
      </c>
      <c r="O46">
        <v>5961</v>
      </c>
      <c r="P46">
        <v>7906</v>
      </c>
      <c r="Q46">
        <v>2265</v>
      </c>
      <c r="R46">
        <v>4517</v>
      </c>
      <c r="S46">
        <v>6760</v>
      </c>
      <c r="T46">
        <v>9038</v>
      </c>
      <c r="U46">
        <v>2905</v>
      </c>
      <c r="V46">
        <v>5591</v>
      </c>
      <c r="W46">
        <v>8208</v>
      </c>
    </row>
    <row r="47" spans="1:54" x14ac:dyDescent="0.2">
      <c r="A47" t="s">
        <v>385</v>
      </c>
      <c r="E47">
        <v>1318</v>
      </c>
      <c r="F47">
        <v>1037</v>
      </c>
      <c r="G47">
        <v>2325</v>
      </c>
      <c r="H47">
        <v>2036</v>
      </c>
      <c r="I47">
        <v>1377</v>
      </c>
      <c r="J47">
        <v>1136</v>
      </c>
      <c r="K47">
        <v>2804</v>
      </c>
      <c r="L47">
        <v>2754</v>
      </c>
      <c r="M47">
        <v>2861</v>
      </c>
      <c r="N47">
        <v>3160</v>
      </c>
      <c r="O47">
        <v>5855</v>
      </c>
      <c r="P47">
        <v>6556</v>
      </c>
      <c r="Q47">
        <v>2888</v>
      </c>
      <c r="R47">
        <v>3218</v>
      </c>
      <c r="S47">
        <v>5915</v>
      </c>
      <c r="T47">
        <v>6223</v>
      </c>
      <c r="U47">
        <v>2316</v>
      </c>
      <c r="V47">
        <v>2734</v>
      </c>
      <c r="W47">
        <v>5119</v>
      </c>
    </row>
    <row r="48" spans="1:54" x14ac:dyDescent="0.2">
      <c r="A48" t="s">
        <v>117</v>
      </c>
      <c r="E48">
        <v>3355</v>
      </c>
      <c r="F48">
        <v>5718</v>
      </c>
      <c r="G48">
        <v>7718</v>
      </c>
      <c r="H48">
        <v>10495</v>
      </c>
      <c r="I48">
        <v>2107</v>
      </c>
      <c r="J48">
        <v>3960</v>
      </c>
      <c r="K48">
        <v>5525</v>
      </c>
      <c r="L48">
        <v>7309</v>
      </c>
      <c r="M48">
        <v>3500</v>
      </c>
      <c r="N48">
        <v>5769</v>
      </c>
      <c r="O48">
        <v>7862</v>
      </c>
      <c r="P48">
        <v>11085</v>
      </c>
      <c r="Q48">
        <v>2803</v>
      </c>
      <c r="R48">
        <v>5317</v>
      </c>
      <c r="S48">
        <v>7419</v>
      </c>
      <c r="T48">
        <v>10708</v>
      </c>
      <c r="U48">
        <v>3787</v>
      </c>
      <c r="V48">
        <v>6703</v>
      </c>
      <c r="W48">
        <v>8796</v>
      </c>
    </row>
    <row r="49" spans="1:29" x14ac:dyDescent="0.2">
      <c r="A49" t="s">
        <v>386</v>
      </c>
      <c r="E49">
        <v>3568</v>
      </c>
      <c r="F49">
        <v>7011</v>
      </c>
      <c r="G49">
        <v>10640</v>
      </c>
      <c r="H49">
        <v>14119</v>
      </c>
      <c r="I49">
        <v>3539</v>
      </c>
      <c r="J49">
        <v>6914</v>
      </c>
      <c r="K49">
        <v>10570</v>
      </c>
      <c r="L49">
        <v>14081</v>
      </c>
      <c r="M49">
        <v>3613</v>
      </c>
      <c r="N49">
        <v>7060</v>
      </c>
      <c r="O49">
        <v>10827</v>
      </c>
      <c r="P49">
        <v>14467</v>
      </c>
      <c r="Q49">
        <v>3732</v>
      </c>
      <c r="R49">
        <v>7327</v>
      </c>
      <c r="S49">
        <v>11138</v>
      </c>
      <c r="T49">
        <v>14841</v>
      </c>
      <c r="U49">
        <v>3768</v>
      </c>
      <c r="V49">
        <v>7418</v>
      </c>
      <c r="W49">
        <v>11267</v>
      </c>
    </row>
    <row r="50" spans="1:29" x14ac:dyDescent="0.2">
      <c r="A50" t="s">
        <v>387</v>
      </c>
      <c r="E50">
        <v>8796</v>
      </c>
      <c r="F50">
        <v>32498</v>
      </c>
      <c r="G50">
        <v>49463</v>
      </c>
      <c r="H50">
        <v>66897</v>
      </c>
      <c r="I50">
        <v>20706</v>
      </c>
      <c r="J50">
        <v>39280</v>
      </c>
      <c r="K50">
        <v>55171</v>
      </c>
      <c r="L50">
        <v>72358</v>
      </c>
      <c r="M50">
        <v>24775</v>
      </c>
      <c r="N50">
        <v>43323</v>
      </c>
      <c r="O50">
        <v>66223</v>
      </c>
      <c r="P50">
        <v>85971</v>
      </c>
      <c r="Q50">
        <v>20478</v>
      </c>
      <c r="R50">
        <v>43109</v>
      </c>
      <c r="S50">
        <v>64974</v>
      </c>
      <c r="T50">
        <v>89402</v>
      </c>
      <c r="U50">
        <v>19475</v>
      </c>
      <c r="V50">
        <v>39069</v>
      </c>
      <c r="W50">
        <v>56547</v>
      </c>
    </row>
    <row r="52" spans="1:29" x14ac:dyDescent="0.2">
      <c r="A52" t="s">
        <v>383</v>
      </c>
      <c r="E52">
        <f>E45</f>
        <v>3395</v>
      </c>
      <c r="F52">
        <f t="shared" ref="F52" si="26">F45-E45</f>
        <v>3040</v>
      </c>
      <c r="G52">
        <f t="shared" ref="G52" si="27">G45-F45</f>
        <v>2933</v>
      </c>
      <c r="H52">
        <f t="shared" ref="H52" si="28">H45-G45</f>
        <v>3179</v>
      </c>
      <c r="I52">
        <f>I45</f>
        <v>2816</v>
      </c>
      <c r="J52">
        <f t="shared" ref="J52:K52" si="29">J45-I45</f>
        <v>2786</v>
      </c>
      <c r="K52">
        <f t="shared" si="29"/>
        <v>2752</v>
      </c>
      <c r="L52">
        <f>L45-K45</f>
        <v>2702</v>
      </c>
      <c r="M52">
        <f>M45</f>
        <v>2666</v>
      </c>
      <c r="N52">
        <f>N45-M45</f>
        <v>2797</v>
      </c>
      <c r="O52">
        <f>O45-N45</f>
        <v>2832</v>
      </c>
      <c r="P52">
        <f>P45-O45</f>
        <v>2989</v>
      </c>
      <c r="Q52">
        <f>Q45</f>
        <v>2697</v>
      </c>
      <c r="R52">
        <f>R45-Q45</f>
        <v>2737</v>
      </c>
      <c r="S52">
        <f>S45-R45</f>
        <v>2805</v>
      </c>
      <c r="T52">
        <f>T45-S45</f>
        <v>2865</v>
      </c>
      <c r="U52">
        <f>U45</f>
        <v>2916</v>
      </c>
      <c r="V52">
        <f>V45-U45</f>
        <v>2898</v>
      </c>
      <c r="W52">
        <f>W45-V45</f>
        <v>3052</v>
      </c>
      <c r="X52">
        <v>3262</v>
      </c>
      <c r="Z52">
        <f>SUM(E52:H52)</f>
        <v>12547</v>
      </c>
      <c r="AA52">
        <f>SUM(I52:L52)</f>
        <v>11056</v>
      </c>
      <c r="AB52">
        <f>SUM(M52:P52)</f>
        <v>11284</v>
      </c>
      <c r="AC52">
        <f>SUM(Q52:T52)</f>
        <v>11104</v>
      </c>
    </row>
    <row r="53" spans="1:29" x14ac:dyDescent="0.2">
      <c r="A53" t="s">
        <v>384</v>
      </c>
      <c r="E53">
        <f t="shared" ref="E53:E57" si="30">E46</f>
        <v>1559</v>
      </c>
      <c r="F53">
        <f t="shared" ref="F53" si="31">F46-E46</f>
        <v>1514</v>
      </c>
      <c r="G53">
        <f t="shared" ref="G53" si="32">G46-F46</f>
        <v>1496</v>
      </c>
      <c r="H53">
        <f t="shared" ref="H53" si="33">H46-G46</f>
        <v>1499</v>
      </c>
      <c r="I53">
        <f t="shared" ref="I53:I57" si="34">I46</f>
        <v>1710</v>
      </c>
      <c r="J53">
        <f t="shared" ref="J53:L57" si="35">J46-I46</f>
        <v>1697</v>
      </c>
      <c r="K53">
        <f t="shared" si="35"/>
        <v>1698</v>
      </c>
      <c r="L53">
        <f t="shared" si="35"/>
        <v>1724</v>
      </c>
      <c r="M53">
        <f t="shared" ref="M53:M57" si="36">M46</f>
        <v>2020</v>
      </c>
      <c r="N53">
        <f t="shared" ref="N53:P53" si="37">N46-M46</f>
        <v>1981</v>
      </c>
      <c r="O53">
        <f t="shared" si="37"/>
        <v>1960</v>
      </c>
      <c r="P53">
        <f t="shared" si="37"/>
        <v>1945</v>
      </c>
      <c r="Q53">
        <f t="shared" ref="Q53:Q57" si="38">Q46</f>
        <v>2265</v>
      </c>
      <c r="R53">
        <f t="shared" ref="R53:T53" si="39">R46-Q46</f>
        <v>2252</v>
      </c>
      <c r="S53">
        <f t="shared" si="39"/>
        <v>2243</v>
      </c>
      <c r="T53">
        <f t="shared" si="39"/>
        <v>2278</v>
      </c>
      <c r="U53">
        <f t="shared" ref="U53:U57" si="40">U46</f>
        <v>2905</v>
      </c>
      <c r="V53">
        <f t="shared" ref="V53:W53" si="41">V46-U46</f>
        <v>2686</v>
      </c>
      <c r="W53">
        <f t="shared" si="41"/>
        <v>2617</v>
      </c>
      <c r="Z53">
        <f t="shared" ref="Z53:Z57" si="42">SUM(E53:H53)</f>
        <v>6068</v>
      </c>
      <c r="AA53">
        <f t="shared" ref="AA53:AA57" si="43">SUM(I53:L53)</f>
        <v>6829</v>
      </c>
      <c r="AB53">
        <f t="shared" ref="AB53:AB57" si="44">SUM(M53:P53)</f>
        <v>7906</v>
      </c>
      <c r="AC53">
        <f t="shared" ref="AC53:AC57" si="45">SUM(Q53:T53)</f>
        <v>9038</v>
      </c>
    </row>
    <row r="54" spans="1:29" x14ac:dyDescent="0.2">
      <c r="A54" t="s">
        <v>385</v>
      </c>
      <c r="E54">
        <f t="shared" si="30"/>
        <v>1318</v>
      </c>
      <c r="F54">
        <f t="shared" ref="F54" si="46">F47-E47</f>
        <v>-281</v>
      </c>
      <c r="G54">
        <f t="shared" ref="G54" si="47">G47-F47</f>
        <v>1288</v>
      </c>
      <c r="H54">
        <f t="shared" ref="H54" si="48">H47-G47</f>
        <v>-289</v>
      </c>
      <c r="I54">
        <f t="shared" si="34"/>
        <v>1377</v>
      </c>
      <c r="J54">
        <f t="shared" si="35"/>
        <v>-241</v>
      </c>
      <c r="K54">
        <f t="shared" si="35"/>
        <v>1668</v>
      </c>
      <c r="L54">
        <f t="shared" si="35"/>
        <v>-50</v>
      </c>
      <c r="M54">
        <f t="shared" si="36"/>
        <v>2861</v>
      </c>
      <c r="N54">
        <f t="shared" ref="N54:P54" si="49">N47-M47</f>
        <v>299</v>
      </c>
      <c r="O54">
        <f t="shared" si="49"/>
        <v>2695</v>
      </c>
      <c r="P54">
        <f t="shared" si="49"/>
        <v>701</v>
      </c>
      <c r="Q54">
        <f t="shared" si="38"/>
        <v>2888</v>
      </c>
      <c r="R54">
        <f t="shared" ref="R54:T54" si="50">R47-Q47</f>
        <v>330</v>
      </c>
      <c r="S54">
        <f t="shared" si="50"/>
        <v>2697</v>
      </c>
      <c r="T54">
        <f t="shared" si="50"/>
        <v>308</v>
      </c>
      <c r="U54">
        <f t="shared" si="40"/>
        <v>2316</v>
      </c>
      <c r="V54">
        <f t="shared" ref="V54:W54" si="51">V47-U47</f>
        <v>418</v>
      </c>
      <c r="W54">
        <f t="shared" si="51"/>
        <v>2385</v>
      </c>
      <c r="Z54">
        <f t="shared" si="42"/>
        <v>2036</v>
      </c>
      <c r="AA54">
        <f t="shared" si="43"/>
        <v>2754</v>
      </c>
      <c r="AB54">
        <f t="shared" si="44"/>
        <v>6556</v>
      </c>
      <c r="AC54">
        <f t="shared" si="45"/>
        <v>6223</v>
      </c>
    </row>
    <row r="55" spans="1:29" x14ac:dyDescent="0.2">
      <c r="A55" t="s">
        <v>117</v>
      </c>
      <c r="E55">
        <f t="shared" si="30"/>
        <v>3355</v>
      </c>
      <c r="F55">
        <f t="shared" ref="F55" si="52">F48-E48</f>
        <v>2363</v>
      </c>
      <c r="G55">
        <f t="shared" ref="G55" si="53">G48-F48</f>
        <v>2000</v>
      </c>
      <c r="H55">
        <f t="shared" ref="H55" si="54">H48-G48</f>
        <v>2777</v>
      </c>
      <c r="I55">
        <f t="shared" si="34"/>
        <v>2107</v>
      </c>
      <c r="J55">
        <f t="shared" si="35"/>
        <v>1853</v>
      </c>
      <c r="K55">
        <f t="shared" si="35"/>
        <v>1565</v>
      </c>
      <c r="L55">
        <f t="shared" si="35"/>
        <v>1784</v>
      </c>
      <c r="M55">
        <f t="shared" si="36"/>
        <v>3500</v>
      </c>
      <c r="N55">
        <f t="shared" ref="N55:P55" si="55">N48-M48</f>
        <v>2269</v>
      </c>
      <c r="O55">
        <f t="shared" si="55"/>
        <v>2093</v>
      </c>
      <c r="P55">
        <f t="shared" si="55"/>
        <v>3223</v>
      </c>
      <c r="Q55">
        <f t="shared" si="38"/>
        <v>2803</v>
      </c>
      <c r="R55">
        <f t="shared" ref="R55:T55" si="56">R48-Q48</f>
        <v>2514</v>
      </c>
      <c r="S55">
        <f t="shared" si="56"/>
        <v>2102</v>
      </c>
      <c r="T55">
        <f t="shared" si="56"/>
        <v>3289</v>
      </c>
      <c r="U55">
        <f t="shared" si="40"/>
        <v>3787</v>
      </c>
      <c r="V55">
        <f t="shared" ref="V55:W55" si="57">V48-U48</f>
        <v>2916</v>
      </c>
      <c r="W55">
        <f t="shared" si="57"/>
        <v>2093</v>
      </c>
      <c r="Z55">
        <f t="shared" si="42"/>
        <v>10495</v>
      </c>
      <c r="AA55">
        <f t="shared" si="43"/>
        <v>7309</v>
      </c>
      <c r="AB55">
        <f t="shared" si="44"/>
        <v>11085</v>
      </c>
      <c r="AC55">
        <f t="shared" si="45"/>
        <v>10708</v>
      </c>
    </row>
    <row r="56" spans="1:29" x14ac:dyDescent="0.2">
      <c r="A56" t="s">
        <v>386</v>
      </c>
      <c r="E56">
        <f t="shared" si="30"/>
        <v>3568</v>
      </c>
      <c r="F56">
        <f t="shared" ref="F56" si="58">F49-E49</f>
        <v>3443</v>
      </c>
      <c r="G56">
        <f t="shared" ref="G56" si="59">G49-F49</f>
        <v>3629</v>
      </c>
      <c r="H56">
        <f t="shared" ref="H56" si="60">H49-G49</f>
        <v>3479</v>
      </c>
      <c r="I56">
        <f t="shared" si="34"/>
        <v>3539</v>
      </c>
      <c r="J56">
        <f t="shared" si="35"/>
        <v>3375</v>
      </c>
      <c r="K56">
        <f t="shared" si="35"/>
        <v>3656</v>
      </c>
      <c r="L56">
        <f t="shared" si="35"/>
        <v>3511</v>
      </c>
      <c r="M56">
        <f t="shared" si="36"/>
        <v>3613</v>
      </c>
      <c r="N56">
        <f t="shared" ref="N56:P56" si="61">N49-M49</f>
        <v>3447</v>
      </c>
      <c r="O56">
        <f t="shared" si="61"/>
        <v>3767</v>
      </c>
      <c r="P56">
        <f t="shared" si="61"/>
        <v>3640</v>
      </c>
      <c r="Q56">
        <f t="shared" si="38"/>
        <v>3732</v>
      </c>
      <c r="R56">
        <f t="shared" ref="R56:T56" si="62">R49-Q49</f>
        <v>3595</v>
      </c>
      <c r="S56">
        <f t="shared" si="62"/>
        <v>3811</v>
      </c>
      <c r="T56">
        <f t="shared" si="62"/>
        <v>3703</v>
      </c>
      <c r="U56">
        <f t="shared" si="40"/>
        <v>3768</v>
      </c>
      <c r="V56">
        <f t="shared" ref="V56:W56" si="63">V49-U49</f>
        <v>3650</v>
      </c>
      <c r="W56">
        <f t="shared" si="63"/>
        <v>3849</v>
      </c>
      <c r="Z56">
        <f t="shared" si="42"/>
        <v>14119</v>
      </c>
      <c r="AA56">
        <f t="shared" si="43"/>
        <v>14081</v>
      </c>
      <c r="AB56">
        <f t="shared" si="44"/>
        <v>14467</v>
      </c>
      <c r="AC56">
        <f t="shared" si="45"/>
        <v>14841</v>
      </c>
    </row>
    <row r="57" spans="1:29" x14ac:dyDescent="0.2">
      <c r="A57" t="s">
        <v>387</v>
      </c>
      <c r="E57">
        <f t="shared" si="30"/>
        <v>8796</v>
      </c>
      <c r="F57">
        <f t="shared" ref="F57" si="64">F50-E50</f>
        <v>23702</v>
      </c>
      <c r="G57">
        <f t="shared" ref="G57" si="65">G50-F50</f>
        <v>16965</v>
      </c>
      <c r="H57">
        <f t="shared" ref="H57" si="66">H50-G50</f>
        <v>17434</v>
      </c>
      <c r="I57">
        <f t="shared" si="34"/>
        <v>20706</v>
      </c>
      <c r="J57">
        <f>J50-I50</f>
        <v>18574</v>
      </c>
      <c r="K57">
        <f t="shared" si="35"/>
        <v>15891</v>
      </c>
      <c r="L57">
        <f t="shared" si="35"/>
        <v>17187</v>
      </c>
      <c r="M57">
        <f t="shared" si="36"/>
        <v>24775</v>
      </c>
      <c r="N57">
        <f t="shared" ref="N57:P57" si="67">N50-M50</f>
        <v>18548</v>
      </c>
      <c r="O57">
        <f t="shared" si="67"/>
        <v>22900</v>
      </c>
      <c r="P57">
        <f t="shared" si="67"/>
        <v>19748</v>
      </c>
      <c r="Q57">
        <f t="shared" si="38"/>
        <v>20478</v>
      </c>
      <c r="R57">
        <f t="shared" ref="R57:T57" si="68">R50-Q50</f>
        <v>22631</v>
      </c>
      <c r="S57">
        <f t="shared" si="68"/>
        <v>21865</v>
      </c>
      <c r="T57">
        <f t="shared" si="68"/>
        <v>24428</v>
      </c>
      <c r="U57">
        <f t="shared" si="40"/>
        <v>19475</v>
      </c>
      <c r="V57">
        <f t="shared" ref="V57:W57" si="69">V50-U50</f>
        <v>19594</v>
      </c>
      <c r="W57">
        <f t="shared" si="69"/>
        <v>17478</v>
      </c>
      <c r="Z57">
        <f t="shared" si="42"/>
        <v>66897</v>
      </c>
      <c r="AA57">
        <f t="shared" si="43"/>
        <v>72358</v>
      </c>
      <c r="AB57">
        <f t="shared" si="44"/>
        <v>85971</v>
      </c>
      <c r="AC57">
        <f t="shared" si="45"/>
        <v>89402</v>
      </c>
    </row>
    <row r="63" spans="1:29" x14ac:dyDescent="0.2">
      <c r="J63">
        <v>-1</v>
      </c>
    </row>
  </sheetData>
  <phoneticPr fontId="7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X64"/>
  <sheetViews>
    <sheetView zoomScale="70" zoomScaleNormal="70" workbookViewId="0">
      <selection activeCell="B63" sqref="B63"/>
    </sheetView>
  </sheetViews>
  <sheetFormatPr defaultColWidth="11.28515625" defaultRowHeight="14.25" x14ac:dyDescent="0.2"/>
  <cols>
    <col min="1" max="1" width="34" style="219" customWidth="1"/>
    <col min="2" max="10" width="14" style="219" customWidth="1"/>
    <col min="11" max="12" width="14" style="220" customWidth="1"/>
    <col min="13" max="14" width="14" style="219" customWidth="1"/>
    <col min="15" max="15" width="14.28515625" style="219" customWidth="1"/>
    <col min="16" max="16" width="11.28515625" style="219" customWidth="1"/>
    <col min="17" max="17" width="17" style="219" customWidth="1"/>
    <col min="18" max="18" width="18" style="219" bestFit="1" customWidth="1"/>
    <col min="19" max="29" width="14.7109375" style="219" customWidth="1"/>
    <col min="30" max="16384" width="11.28515625" style="219"/>
  </cols>
  <sheetData>
    <row r="1" spans="1:30" x14ac:dyDescent="0.2">
      <c r="A1" s="219" t="s">
        <v>345</v>
      </c>
    </row>
    <row r="2" spans="1:30" x14ac:dyDescent="0.2">
      <c r="A2" s="219" t="s">
        <v>346</v>
      </c>
      <c r="B2" s="250"/>
      <c r="C2" s="250" t="s">
        <v>423</v>
      </c>
      <c r="D2" s="250"/>
      <c r="E2" s="250"/>
      <c r="F2" s="250"/>
      <c r="G2" s="250"/>
      <c r="H2" s="250"/>
      <c r="I2" s="250"/>
      <c r="J2" s="250"/>
      <c r="K2" s="250"/>
      <c r="L2" s="250"/>
    </row>
    <row r="3" spans="1:30" x14ac:dyDescent="0.2">
      <c r="A3" s="219" t="e" vm="1">
        <v>#VALUE!</v>
      </c>
      <c r="D3" s="224"/>
      <c r="G3" s="818" t="e" vm="1">
        <v>#VALUE!</v>
      </c>
      <c r="H3" s="818"/>
    </row>
    <row r="4" spans="1:30" x14ac:dyDescent="0.2">
      <c r="A4" s="219" t="str" cm="1">
        <f t="array" aca="1" ref="A4" ca="1">_FV(A3,"Símbolo do ticker",TRUE)</f>
        <v>LAUR</v>
      </c>
      <c r="D4" s="224"/>
      <c r="K4" s="219"/>
      <c r="L4" s="219"/>
    </row>
    <row r="5" spans="1:30" ht="15" x14ac:dyDescent="0.25">
      <c r="A5" s="251" t="s">
        <v>250</v>
      </c>
      <c r="B5" s="251">
        <v>2023</v>
      </c>
      <c r="C5" s="251">
        <v>2022</v>
      </c>
      <c r="D5" s="251">
        <v>2021</v>
      </c>
      <c r="E5" s="251">
        <v>2020</v>
      </c>
      <c r="F5" s="251">
        <v>2019</v>
      </c>
      <c r="G5" s="251">
        <v>2018</v>
      </c>
      <c r="H5" s="251">
        <v>2017</v>
      </c>
      <c r="I5" s="251">
        <v>2016</v>
      </c>
      <c r="J5" s="251">
        <v>2015</v>
      </c>
      <c r="K5" s="251">
        <v>2014</v>
      </c>
      <c r="L5" s="251">
        <v>2013</v>
      </c>
      <c r="M5" s="251">
        <v>2012</v>
      </c>
      <c r="S5" s="367"/>
    </row>
    <row r="6" spans="1:30" x14ac:dyDescent="0.2">
      <c r="A6" s="507" t="s">
        <v>199</v>
      </c>
      <c r="B6" s="508">
        <v>1484.288</v>
      </c>
      <c r="C6" s="508">
        <v>1242.271</v>
      </c>
      <c r="D6" s="508">
        <v>1086.701</v>
      </c>
      <c r="E6" s="508">
        <v>1024.9169999999999</v>
      </c>
      <c r="F6" s="508">
        <v>1212.07</v>
      </c>
      <c r="G6" s="508">
        <v>3290.2130000000002</v>
      </c>
      <c r="H6" s="508">
        <v>3385.8760000000002</v>
      </c>
      <c r="I6" s="508">
        <v>4244.192</v>
      </c>
      <c r="J6" s="508">
        <v>4291.6589999999997</v>
      </c>
      <c r="K6" s="508">
        <v>4414.6819999999998</v>
      </c>
      <c r="L6" s="508">
        <v>3913.8809999999999</v>
      </c>
      <c r="M6" s="508">
        <v>3567.1170000000002</v>
      </c>
      <c r="N6" s="412"/>
      <c r="O6" s="220"/>
      <c r="P6" s="220"/>
    </row>
    <row r="7" spans="1:30" x14ac:dyDescent="0.2">
      <c r="A7" s="507" t="s">
        <v>201</v>
      </c>
      <c r="B7" s="508">
        <v>394.50700000000001</v>
      </c>
      <c r="C7" s="508">
        <v>334.90600000000001</v>
      </c>
      <c r="D7" s="508">
        <v>272.21100000000001</v>
      </c>
      <c r="E7" s="508">
        <v>222.459</v>
      </c>
      <c r="F7" s="508">
        <v>262.59899999999999</v>
      </c>
      <c r="G7" s="508">
        <v>593.16399999999999</v>
      </c>
      <c r="H7" s="508">
        <v>564.58500000000004</v>
      </c>
      <c r="I7" s="508">
        <v>628.85400000000004</v>
      </c>
      <c r="J7" s="508">
        <v>531.64300000000003</v>
      </c>
      <c r="K7" s="508">
        <v>576.50300000000004</v>
      </c>
      <c r="L7" s="508">
        <v>495.43200000000002</v>
      </c>
      <c r="M7" s="508">
        <v>418.58699999999999</v>
      </c>
      <c r="N7" s="412"/>
      <c r="O7" s="220"/>
      <c r="P7" s="368"/>
      <c r="S7" s="369"/>
      <c r="T7" s="367"/>
    </row>
    <row r="8" spans="1:30" x14ac:dyDescent="0.2">
      <c r="A8" s="507" t="s">
        <v>204</v>
      </c>
      <c r="B8" s="508">
        <v>341.92200000000003</v>
      </c>
      <c r="C8" s="508">
        <v>270.91199999999998</v>
      </c>
      <c r="D8" s="508">
        <v>143.85300000000001</v>
      </c>
      <c r="E8" s="508">
        <v>96.835999999999999</v>
      </c>
      <c r="F8" s="508">
        <v>-621.774</v>
      </c>
      <c r="G8" s="508">
        <v>389.67</v>
      </c>
      <c r="H8" s="508">
        <v>349.31400000000002</v>
      </c>
      <c r="I8" s="508">
        <v>406.358</v>
      </c>
      <c r="J8" s="508">
        <v>336.95699999999999</v>
      </c>
      <c r="K8" s="508">
        <v>425.28800000000001</v>
      </c>
      <c r="L8" s="508">
        <v>354.23500000000001</v>
      </c>
      <c r="M8" s="508">
        <v>308.50900000000001</v>
      </c>
      <c r="N8" s="412"/>
      <c r="O8" s="220"/>
      <c r="P8" s="370"/>
    </row>
    <row r="9" spans="1:30" ht="15" x14ac:dyDescent="0.25">
      <c r="A9" s="507" t="s">
        <v>251</v>
      </c>
      <c r="B9" s="508">
        <v>87.6</v>
      </c>
      <c r="C9" s="508">
        <v>26.250999999999998</v>
      </c>
      <c r="D9" s="508">
        <v>28.096999999999998</v>
      </c>
      <c r="E9" s="508">
        <v>85.225000000000009</v>
      </c>
      <c r="F9" s="508">
        <v>129.84800000000001</v>
      </c>
      <c r="G9" s="508">
        <v>255.958</v>
      </c>
      <c r="H9" s="508">
        <v>320.536</v>
      </c>
      <c r="I9" s="508">
        <v>335.76599999999996</v>
      </c>
      <c r="J9" s="508">
        <v>533.91399999999999</v>
      </c>
      <c r="K9" s="508">
        <v>473.93200000000002</v>
      </c>
      <c r="L9" s="508">
        <v>331.49100000000004</v>
      </c>
      <c r="M9" s="508">
        <v>273.86100000000005</v>
      </c>
      <c r="N9" s="412"/>
      <c r="O9" s="220"/>
      <c r="P9" s="220"/>
      <c r="S9" s="251">
        <f>C5</f>
        <v>2022</v>
      </c>
      <c r="T9" s="251">
        <f t="shared" ref="T9:AB9" si="0">D5</f>
        <v>2021</v>
      </c>
      <c r="U9" s="251">
        <f t="shared" si="0"/>
        <v>2020</v>
      </c>
      <c r="V9" s="251">
        <f t="shared" si="0"/>
        <v>2019</v>
      </c>
      <c r="W9" s="251">
        <f t="shared" si="0"/>
        <v>2018</v>
      </c>
      <c r="X9" s="251">
        <f t="shared" si="0"/>
        <v>2017</v>
      </c>
      <c r="Y9" s="251">
        <f t="shared" si="0"/>
        <v>2016</v>
      </c>
      <c r="Z9" s="251">
        <f t="shared" si="0"/>
        <v>2015</v>
      </c>
      <c r="AA9" s="251">
        <f t="shared" si="0"/>
        <v>2014</v>
      </c>
      <c r="AB9" s="251">
        <f t="shared" si="0"/>
        <v>2013</v>
      </c>
      <c r="AC9" s="251"/>
    </row>
    <row r="10" spans="1:30" x14ac:dyDescent="0.2">
      <c r="A10" s="507" t="s">
        <v>252</v>
      </c>
      <c r="B10" s="508">
        <v>8.9</v>
      </c>
      <c r="C10" s="508">
        <v>-9.5</v>
      </c>
      <c r="D10" s="508">
        <v>-222.29999999999995</v>
      </c>
      <c r="E10" s="508">
        <v>755</v>
      </c>
      <c r="F10" s="508">
        <v>-1721.1</v>
      </c>
      <c r="G10" s="508">
        <v>-368.1</v>
      </c>
      <c r="H10" s="508">
        <v>28.599999999999994</v>
      </c>
      <c r="I10" s="508">
        <v>-366.3</v>
      </c>
      <c r="J10" s="508">
        <v>1.5999999999999956</v>
      </c>
      <c r="K10" s="508">
        <v>148.70000000000002</v>
      </c>
      <c r="L10" s="508">
        <v>15.699999999999998</v>
      </c>
      <c r="M10" s="508">
        <v>167.59999999999997</v>
      </c>
      <c r="N10" s="412"/>
      <c r="O10" s="220"/>
      <c r="P10" s="220"/>
      <c r="R10" s="219" t="s">
        <v>347</v>
      </c>
      <c r="S10" s="224">
        <f>C24</f>
        <v>0</v>
      </c>
      <c r="T10" s="224">
        <f t="shared" ref="T10:AC10" si="1">D24</f>
        <v>0</v>
      </c>
      <c r="U10" s="224">
        <f t="shared" si="1"/>
        <v>0</v>
      </c>
      <c r="V10" s="224">
        <f t="shared" si="1"/>
        <v>0</v>
      </c>
      <c r="W10" s="224">
        <f t="shared" si="1"/>
        <v>0</v>
      </c>
      <c r="X10" s="224">
        <f t="shared" si="1"/>
        <v>0</v>
      </c>
      <c r="Y10" s="224">
        <f t="shared" si="1"/>
        <v>0</v>
      </c>
      <c r="Z10" s="224">
        <f t="shared" si="1"/>
        <v>1.8280000000000001</v>
      </c>
      <c r="AA10" s="224">
        <f t="shared" si="1"/>
        <v>3.36</v>
      </c>
      <c r="AB10" s="224">
        <f t="shared" si="1"/>
        <v>0</v>
      </c>
      <c r="AC10" s="224" t="str">
        <f t="shared" si="1"/>
        <v>-</v>
      </c>
      <c r="AD10" s="224"/>
    </row>
    <row r="11" spans="1:30" x14ac:dyDescent="0.2">
      <c r="A11" s="507" t="s">
        <v>253</v>
      </c>
      <c r="B11" s="508">
        <v>69.617999999999995</v>
      </c>
      <c r="C11" s="508">
        <v>59.131999999999998</v>
      </c>
      <c r="D11" s="508">
        <v>101.178</v>
      </c>
      <c r="E11" s="508">
        <v>143.51599999999999</v>
      </c>
      <c r="F11" s="508">
        <v>193.35599999999999</v>
      </c>
      <c r="G11" s="508">
        <v>239.99799999999999</v>
      </c>
      <c r="H11" s="508">
        <v>264.74200000000002</v>
      </c>
      <c r="I11" s="508">
        <v>264.87900000000002</v>
      </c>
      <c r="J11" s="508">
        <v>282.94600000000003</v>
      </c>
      <c r="K11" s="508">
        <v>288.33100000000002</v>
      </c>
      <c r="L11" s="508">
        <v>0</v>
      </c>
      <c r="M11" s="508">
        <v>221.23500000000001</v>
      </c>
      <c r="N11" s="412"/>
      <c r="O11" s="220"/>
      <c r="P11" s="220"/>
      <c r="R11" s="219" t="s">
        <v>348</v>
      </c>
      <c r="S11" s="224">
        <f>C23</f>
        <v>55.761000000000003</v>
      </c>
      <c r="T11" s="224">
        <f t="shared" ref="T11:AC11" si="2">D23</f>
        <v>62.043999999999997</v>
      </c>
      <c r="U11" s="224">
        <f t="shared" si="2"/>
        <v>62.667000000000002</v>
      </c>
      <c r="V11" s="224">
        <f t="shared" si="2"/>
        <v>237.673</v>
      </c>
      <c r="W11" s="224">
        <f t="shared" si="2"/>
        <v>295.89</v>
      </c>
      <c r="X11" s="224">
        <f t="shared" si="2"/>
        <v>304.14699999999999</v>
      </c>
      <c r="Y11" s="224">
        <f t="shared" si="2"/>
        <v>283.04500000000002</v>
      </c>
      <c r="Z11" s="224">
        <f t="shared" si="2"/>
        <v>287.745</v>
      </c>
      <c r="AA11" s="224">
        <f t="shared" si="2"/>
        <v>266.96800000000002</v>
      </c>
      <c r="AB11" s="224">
        <f t="shared" si="2"/>
        <v>0</v>
      </c>
      <c r="AC11" s="224" t="str">
        <f t="shared" si="2"/>
        <v>-</v>
      </c>
      <c r="AD11" s="224"/>
    </row>
    <row r="12" spans="1:30" x14ac:dyDescent="0.2">
      <c r="A12" s="507" t="s">
        <v>210</v>
      </c>
      <c r="B12" s="508">
        <v>-43.795999999999999</v>
      </c>
      <c r="C12" s="508">
        <v>-1.8580000000000001</v>
      </c>
      <c r="D12" s="508">
        <v>-179.874</v>
      </c>
      <c r="E12" s="508">
        <v>-299.17700000000002</v>
      </c>
      <c r="F12" s="508">
        <v>-235.89500000000001</v>
      </c>
      <c r="G12" s="508">
        <v>-81.3</v>
      </c>
      <c r="H12" s="508">
        <v>-230.488</v>
      </c>
      <c r="I12" s="508">
        <v>-172.047</v>
      </c>
      <c r="J12" s="508">
        <v>-212.58199999999999</v>
      </c>
      <c r="K12" s="508">
        <v>-130.70500000000001</v>
      </c>
      <c r="L12" s="508">
        <v>-119.06</v>
      </c>
      <c r="M12" s="508">
        <v>-48.933999999999997</v>
      </c>
      <c r="N12" s="412"/>
      <c r="O12" s="220"/>
      <c r="P12" s="220"/>
      <c r="R12" s="219" t="s">
        <v>349</v>
      </c>
      <c r="S12" s="224"/>
      <c r="T12" s="224"/>
      <c r="U12" s="224"/>
      <c r="V12" s="224"/>
      <c r="W12" s="224"/>
      <c r="X12" s="224"/>
      <c r="Y12" s="224"/>
      <c r="Z12" s="224"/>
      <c r="AA12" s="224"/>
      <c r="AB12" s="224"/>
      <c r="AC12" s="224"/>
      <c r="AD12" s="224"/>
    </row>
    <row r="13" spans="1:30" x14ac:dyDescent="0.2">
      <c r="A13" s="507" t="s">
        <v>117</v>
      </c>
      <c r="B13" s="508">
        <v>-51.898000000000003</v>
      </c>
      <c r="C13" s="508">
        <v>30.658000000000001</v>
      </c>
      <c r="D13" s="508">
        <v>2100.3760000000002</v>
      </c>
      <c r="E13" s="508">
        <v>601.94500000000005</v>
      </c>
      <c r="F13" s="508">
        <v>1110.4010000000001</v>
      </c>
      <c r="G13" s="508">
        <v>137.761</v>
      </c>
      <c r="H13" s="508">
        <v>-264.23200000000003</v>
      </c>
      <c r="I13" s="508">
        <v>314.18299999999999</v>
      </c>
      <c r="J13" s="508">
        <v>-139.97999999999999</v>
      </c>
      <c r="K13" s="508">
        <v>-412.18099999999998</v>
      </c>
      <c r="L13" s="508">
        <v>0</v>
      </c>
      <c r="M13" s="508">
        <v>0</v>
      </c>
      <c r="N13" s="412"/>
      <c r="T13" s="224"/>
    </row>
    <row r="14" spans="1:30" x14ac:dyDescent="0.2">
      <c r="A14" s="507" t="s">
        <v>19</v>
      </c>
      <c r="B14" s="508">
        <v>0</v>
      </c>
      <c r="C14" s="508">
        <v>0</v>
      </c>
      <c r="D14" s="508">
        <v>0</v>
      </c>
      <c r="E14" s="508">
        <v>0</v>
      </c>
      <c r="F14" s="508">
        <v>-1.2050000000000001</v>
      </c>
      <c r="G14" s="508">
        <v>-17.018999999999998</v>
      </c>
      <c r="H14" s="508">
        <v>-0.83499999999999996</v>
      </c>
      <c r="I14" s="508">
        <v>0</v>
      </c>
      <c r="J14" s="508">
        <v>-7.98</v>
      </c>
      <c r="K14" s="508">
        <v>-287.94499999999999</v>
      </c>
      <c r="L14" s="508">
        <v>0</v>
      </c>
      <c r="M14" s="508">
        <v>0</v>
      </c>
      <c r="N14" s="412"/>
      <c r="O14" s="220"/>
      <c r="P14" s="220"/>
      <c r="S14" s="220">
        <f>(S10-T10)</f>
        <v>0</v>
      </c>
      <c r="T14" s="220">
        <f t="shared" ref="T14:AB14" si="3">(T10-U10)</f>
        <v>0</v>
      </c>
      <c r="U14" s="220">
        <f t="shared" si="3"/>
        <v>0</v>
      </c>
      <c r="V14" s="220">
        <f t="shared" si="3"/>
        <v>0</v>
      </c>
      <c r="W14" s="220">
        <f t="shared" si="3"/>
        <v>0</v>
      </c>
      <c r="X14" s="220">
        <f t="shared" si="3"/>
        <v>0</v>
      </c>
      <c r="Y14" s="220">
        <f t="shared" si="3"/>
        <v>-1.8280000000000001</v>
      </c>
      <c r="Z14" s="220">
        <f t="shared" si="3"/>
        <v>-1.5319999999999998</v>
      </c>
      <c r="AA14" s="220">
        <f t="shared" si="3"/>
        <v>3.36</v>
      </c>
      <c r="AB14" s="220" t="e">
        <f t="shared" si="3"/>
        <v>#VALUE!</v>
      </c>
      <c r="AC14" s="371"/>
      <c r="AD14" s="371"/>
    </row>
    <row r="15" spans="1:30" x14ac:dyDescent="0.2">
      <c r="A15" s="507" t="s">
        <v>212</v>
      </c>
      <c r="B15" s="508">
        <v>137.803</v>
      </c>
      <c r="C15" s="508">
        <v>184.59099999999998</v>
      </c>
      <c r="D15" s="508">
        <v>145.6</v>
      </c>
      <c r="E15" s="508">
        <v>-130.1</v>
      </c>
      <c r="F15" s="508">
        <v>31.041</v>
      </c>
      <c r="G15" s="508">
        <v>131.77099999999999</v>
      </c>
      <c r="H15" s="508">
        <v>-91.308000000000007</v>
      </c>
      <c r="I15" s="508">
        <v>65.001000000000005</v>
      </c>
      <c r="J15" s="508">
        <v>117.73</v>
      </c>
      <c r="K15" s="508">
        <v>-39.06</v>
      </c>
      <c r="L15" s="508">
        <v>76.745999999999995</v>
      </c>
      <c r="M15" s="508">
        <v>68.099999999999994</v>
      </c>
      <c r="N15" s="412"/>
      <c r="O15" s="414"/>
      <c r="P15" s="220"/>
      <c r="R15" s="224"/>
      <c r="S15" s="220">
        <f t="shared" ref="S15:AB16" si="4">(S11-T11)</f>
        <v>-6.2829999999999941</v>
      </c>
      <c r="T15" s="220">
        <f t="shared" si="4"/>
        <v>-0.62300000000000466</v>
      </c>
      <c r="U15" s="220">
        <f t="shared" si="4"/>
        <v>-175.006</v>
      </c>
      <c r="V15" s="220">
        <f t="shared" si="4"/>
        <v>-58.216999999999985</v>
      </c>
      <c r="W15" s="220">
        <f t="shared" si="4"/>
        <v>-8.257000000000005</v>
      </c>
      <c r="X15" s="220">
        <f t="shared" si="4"/>
        <v>21.101999999999975</v>
      </c>
      <c r="Y15" s="220">
        <f t="shared" si="4"/>
        <v>-4.6999999999999886</v>
      </c>
      <c r="Z15" s="220">
        <f t="shared" si="4"/>
        <v>20.776999999999987</v>
      </c>
      <c r="AA15" s="220">
        <f t="shared" si="4"/>
        <v>266.96800000000002</v>
      </c>
      <c r="AB15" s="220" t="e">
        <f t="shared" si="4"/>
        <v>#VALUE!</v>
      </c>
      <c r="AC15" s="371"/>
      <c r="AD15" s="371"/>
    </row>
    <row r="16" spans="1:30" x14ac:dyDescent="0.2">
      <c r="A16" s="507" t="s">
        <v>41</v>
      </c>
      <c r="B16" s="508">
        <v>107.59</v>
      </c>
      <c r="C16" s="508">
        <v>69.572999999999993</v>
      </c>
      <c r="D16" s="508">
        <v>192.446</v>
      </c>
      <c r="E16" s="508">
        <v>-613.33100000000002</v>
      </c>
      <c r="F16" s="508">
        <v>938.48400000000004</v>
      </c>
      <c r="G16" s="508">
        <v>370.06700000000001</v>
      </c>
      <c r="H16" s="508">
        <v>91.465000000000003</v>
      </c>
      <c r="I16" s="508">
        <v>371.84699999999998</v>
      </c>
      <c r="J16" s="508">
        <v>-316.24799999999999</v>
      </c>
      <c r="K16" s="508">
        <v>-158.291</v>
      </c>
      <c r="L16" s="508">
        <v>-69.7</v>
      </c>
      <c r="M16" s="508">
        <v>-201.05799999999999</v>
      </c>
      <c r="N16" s="412"/>
      <c r="O16" s="220"/>
      <c r="P16" s="220"/>
      <c r="R16" s="224"/>
      <c r="S16" s="220">
        <f t="shared" si="4"/>
        <v>0</v>
      </c>
      <c r="T16" s="220">
        <f t="shared" si="4"/>
        <v>0</v>
      </c>
      <c r="U16" s="220">
        <f t="shared" si="4"/>
        <v>0</v>
      </c>
      <c r="V16" s="220">
        <f t="shared" si="4"/>
        <v>0</v>
      </c>
      <c r="W16" s="220">
        <f t="shared" si="4"/>
        <v>0</v>
      </c>
      <c r="X16" s="220">
        <f t="shared" si="4"/>
        <v>0</v>
      </c>
      <c r="Y16" s="220">
        <f t="shared" si="4"/>
        <v>0</v>
      </c>
      <c r="Z16" s="220">
        <f t="shared" si="4"/>
        <v>0</v>
      </c>
      <c r="AA16" s="220">
        <f t="shared" si="4"/>
        <v>0</v>
      </c>
      <c r="AB16" s="220">
        <f t="shared" si="4"/>
        <v>0</v>
      </c>
      <c r="AC16" s="371"/>
      <c r="AD16" s="371"/>
    </row>
    <row r="17" spans="1:102" ht="15" x14ac:dyDescent="0.25">
      <c r="A17" s="507" t="s">
        <v>216</v>
      </c>
      <c r="B17" s="508">
        <v>0</v>
      </c>
      <c r="C17" s="508">
        <v>0</v>
      </c>
      <c r="D17" s="508">
        <v>0</v>
      </c>
      <c r="E17" s="508">
        <v>0</v>
      </c>
      <c r="F17" s="508">
        <v>0</v>
      </c>
      <c r="G17" s="508">
        <v>-11.103</v>
      </c>
      <c r="H17" s="508">
        <v>-19.370999999999999</v>
      </c>
      <c r="I17" s="508">
        <v>-2.1589999999999998</v>
      </c>
      <c r="J17" s="508">
        <v>-23.053999999999998</v>
      </c>
      <c r="K17" s="508">
        <v>-8.3810000000000002</v>
      </c>
      <c r="L17" s="508">
        <v>0</v>
      </c>
      <c r="M17" s="508">
        <v>-15.561</v>
      </c>
      <c r="N17" s="412"/>
      <c r="O17" s="220"/>
      <c r="P17" s="220"/>
      <c r="R17" s="227" t="s">
        <v>350</v>
      </c>
      <c r="S17" s="226">
        <f>SUM(S14:S16)</f>
        <v>-6.2829999999999941</v>
      </c>
      <c r="T17" s="226">
        <f t="shared" ref="T17:AB17" si="5">SUM(T14:T16)</f>
        <v>-0.62300000000000466</v>
      </c>
      <c r="U17" s="226">
        <f t="shared" si="5"/>
        <v>-175.006</v>
      </c>
      <c r="V17" s="226">
        <f t="shared" si="5"/>
        <v>-58.216999999999985</v>
      </c>
      <c r="W17" s="226">
        <f t="shared" si="5"/>
        <v>-8.257000000000005</v>
      </c>
      <c r="X17" s="226">
        <f t="shared" si="5"/>
        <v>21.101999999999975</v>
      </c>
      <c r="Y17" s="226">
        <f t="shared" si="5"/>
        <v>-6.5279999999999889</v>
      </c>
      <c r="Z17" s="226">
        <f t="shared" si="5"/>
        <v>19.244999999999987</v>
      </c>
      <c r="AA17" s="226">
        <f t="shared" si="5"/>
        <v>270.32800000000003</v>
      </c>
      <c r="AB17" s="226" t="e">
        <f t="shared" si="5"/>
        <v>#VALUE!</v>
      </c>
      <c r="AC17" s="371"/>
      <c r="AD17" s="371"/>
    </row>
    <row r="18" spans="1:102" x14ac:dyDescent="0.2">
      <c r="A18" s="507" t="s">
        <v>254</v>
      </c>
      <c r="B18" s="584">
        <v>-112.47799999999999</v>
      </c>
      <c r="C18" s="508">
        <v>-535.33899999999994</v>
      </c>
      <c r="D18" s="508">
        <v>-380.505</v>
      </c>
      <c r="E18" s="508">
        <v>-264.02999999999997</v>
      </c>
      <c r="F18" s="584">
        <v>-99.253</v>
      </c>
      <c r="G18" s="508">
        <v>0</v>
      </c>
      <c r="H18" s="508">
        <v>0</v>
      </c>
      <c r="I18" s="508">
        <v>0</v>
      </c>
      <c r="J18" s="508">
        <v>0</v>
      </c>
      <c r="K18" s="508">
        <v>0</v>
      </c>
      <c r="L18" s="508">
        <v>0</v>
      </c>
      <c r="M18" s="508">
        <v>0</v>
      </c>
      <c r="N18" s="412"/>
      <c r="O18" s="220"/>
      <c r="P18" s="220"/>
      <c r="S18" s="371"/>
    </row>
    <row r="19" spans="1:102" x14ac:dyDescent="0.2">
      <c r="B19" s="220">
        <f t="shared" ref="B19:M19" si="6">B8-B9-B10-B15</f>
        <v>107.61900000000003</v>
      </c>
      <c r="C19" s="220">
        <f t="shared" si="6"/>
        <v>69.569999999999993</v>
      </c>
      <c r="D19" s="379">
        <f t="shared" si="6"/>
        <v>192.45599999999999</v>
      </c>
      <c r="E19" s="220">
        <f t="shared" si="6"/>
        <v>-613.28899999999999</v>
      </c>
      <c r="F19" s="220">
        <f t="shared" si="6"/>
        <v>938.43699999999978</v>
      </c>
      <c r="G19" s="220">
        <f t="shared" si="6"/>
        <v>370.04100000000005</v>
      </c>
      <c r="H19" s="220">
        <f t="shared" si="6"/>
        <v>91.486000000000033</v>
      </c>
      <c r="I19" s="220">
        <f t="shared" si="6"/>
        <v>371.89100000000008</v>
      </c>
      <c r="J19" s="220">
        <f t="shared" si="6"/>
        <v>-316.28699999999998</v>
      </c>
      <c r="K19" s="220">
        <f t="shared" si="6"/>
        <v>-158.28400000000002</v>
      </c>
      <c r="L19" s="220">
        <f t="shared" si="6"/>
        <v>-69.702000000000027</v>
      </c>
      <c r="M19" s="220">
        <f t="shared" si="6"/>
        <v>-201.05199999999999</v>
      </c>
      <c r="Q19" s="224"/>
      <c r="S19" s="371"/>
    </row>
    <row r="20" spans="1:102" ht="15" x14ac:dyDescent="0.25">
      <c r="A20" s="251" t="s">
        <v>255</v>
      </c>
      <c r="B20" s="225">
        <f t="shared" ref="B20:M20" si="7">B16-B19</f>
        <v>-2.9000000000024784E-2</v>
      </c>
      <c r="C20" s="225">
        <f t="shared" si="7"/>
        <v>3.0000000000001137E-3</v>
      </c>
      <c r="D20" s="225">
        <f t="shared" si="7"/>
        <v>-9.9999999999909051E-3</v>
      </c>
      <c r="E20" s="225">
        <f t="shared" si="7"/>
        <v>-4.2000000000030013E-2</v>
      </c>
      <c r="F20" s="225">
        <f t="shared" si="7"/>
        <v>4.700000000025284E-2</v>
      </c>
      <c r="G20" s="225">
        <f t="shared" si="7"/>
        <v>2.5999999999953616E-2</v>
      </c>
      <c r="H20" s="225">
        <f t="shared" si="7"/>
        <v>-2.1000000000029218E-2</v>
      </c>
      <c r="I20" s="225">
        <f t="shared" si="7"/>
        <v>-4.4000000000096406E-2</v>
      </c>
      <c r="J20" s="225">
        <f t="shared" si="7"/>
        <v>3.8999999999987267E-2</v>
      </c>
      <c r="K20" s="225">
        <f t="shared" si="7"/>
        <v>-6.9999999999765805E-3</v>
      </c>
      <c r="L20" s="225">
        <f t="shared" si="7"/>
        <v>2.0000000000237605E-3</v>
      </c>
      <c r="M20" s="225">
        <f t="shared" si="7"/>
        <v>-6.0000000000002274E-3</v>
      </c>
      <c r="Q20" s="224"/>
      <c r="S20" s="371"/>
    </row>
    <row r="21" spans="1:102" ht="15" x14ac:dyDescent="0.25">
      <c r="A21" s="221" t="s">
        <v>222</v>
      </c>
      <c r="B21" s="227"/>
      <c r="C21" s="227"/>
      <c r="D21" s="227"/>
      <c r="E21" s="227"/>
      <c r="F21" s="227"/>
      <c r="G21" s="227"/>
      <c r="H21" s="227"/>
      <c r="I21" s="227"/>
      <c r="J21" s="227"/>
      <c r="K21" s="226"/>
      <c r="L21" s="226"/>
      <c r="Q21" s="224"/>
      <c r="S21" s="371"/>
    </row>
    <row r="22" spans="1:102" x14ac:dyDescent="0.2">
      <c r="A22" s="222" t="s">
        <v>223</v>
      </c>
      <c r="B22" s="412">
        <v>85.167000000000002</v>
      </c>
      <c r="C22" s="412">
        <v>324.80099999999999</v>
      </c>
      <c r="D22" s="412">
        <v>750.14700000000005</v>
      </c>
      <c r="E22" s="412">
        <v>61.576000000000001</v>
      </c>
      <c r="F22" s="412">
        <v>388.49</v>
      </c>
      <c r="G22" s="412">
        <v>320.56700000000001</v>
      </c>
      <c r="H22" s="412">
        <v>464.96499999999997</v>
      </c>
      <c r="I22" s="412">
        <v>458.673</v>
      </c>
      <c r="J22" s="412">
        <v>461.584</v>
      </c>
      <c r="K22" s="412">
        <v>559.9</v>
      </c>
      <c r="L22" s="412">
        <v>0</v>
      </c>
      <c r="M22" s="223" t="s">
        <v>422</v>
      </c>
      <c r="N22" s="223"/>
      <c r="O22" s="220"/>
      <c r="P22" s="220"/>
      <c r="Q22" s="224"/>
      <c r="R22" s="224"/>
      <c r="S22" s="224"/>
      <c r="T22" s="224"/>
      <c r="U22" s="224"/>
      <c r="V22" s="224"/>
      <c r="W22" s="224"/>
      <c r="X22" s="224"/>
      <c r="Y22" s="224"/>
      <c r="Z22" s="224"/>
      <c r="AA22" s="224"/>
      <c r="AB22" s="224"/>
      <c r="AC22" s="224"/>
    </row>
    <row r="23" spans="1:102" s="229" customFormat="1" x14ac:dyDescent="0.2">
      <c r="A23" s="228" t="s">
        <v>224</v>
      </c>
      <c r="B23" s="412">
        <v>71.222999999999999</v>
      </c>
      <c r="C23" s="412">
        <v>55.761000000000003</v>
      </c>
      <c r="D23" s="412">
        <v>62.043999999999997</v>
      </c>
      <c r="E23" s="412">
        <v>62.667000000000002</v>
      </c>
      <c r="F23" s="412">
        <v>237.673</v>
      </c>
      <c r="G23" s="412">
        <v>295.89</v>
      </c>
      <c r="H23" s="412">
        <v>304.14699999999999</v>
      </c>
      <c r="I23" s="412">
        <v>283.04500000000002</v>
      </c>
      <c r="J23" s="412">
        <v>287.745</v>
      </c>
      <c r="K23" s="412">
        <v>266.96800000000002</v>
      </c>
      <c r="L23" s="412">
        <v>0</v>
      </c>
      <c r="M23" s="223" t="s">
        <v>422</v>
      </c>
      <c r="N23" s="223"/>
      <c r="O23" s="220"/>
      <c r="P23" s="220"/>
      <c r="Q23" s="224"/>
      <c r="R23" s="224"/>
      <c r="S23" s="224"/>
      <c r="T23" s="224"/>
      <c r="U23" s="224"/>
      <c r="V23" s="224"/>
      <c r="W23" s="224"/>
      <c r="X23" s="224"/>
      <c r="Y23" s="224"/>
      <c r="Z23" s="224"/>
      <c r="AA23" s="224"/>
      <c r="AB23" s="224"/>
      <c r="AC23" s="224"/>
      <c r="AD23" s="219"/>
      <c r="AE23" s="219"/>
      <c r="AF23" s="219"/>
      <c r="AG23" s="219"/>
      <c r="AH23" s="219"/>
      <c r="AI23" s="219"/>
      <c r="AJ23" s="219"/>
      <c r="AK23" s="219"/>
      <c r="AL23" s="219"/>
      <c r="AM23" s="219"/>
      <c r="AN23" s="219"/>
      <c r="AO23" s="219"/>
      <c r="AP23" s="219"/>
      <c r="AQ23" s="219"/>
      <c r="AR23" s="219"/>
      <c r="AS23" s="219"/>
      <c r="AT23" s="219"/>
      <c r="AU23" s="219"/>
      <c r="AV23" s="219"/>
      <c r="AW23" s="219"/>
      <c r="AX23" s="219"/>
      <c r="AY23" s="219"/>
      <c r="AZ23" s="219"/>
      <c r="BA23" s="219"/>
      <c r="BB23" s="219"/>
      <c r="BC23" s="219"/>
      <c r="BD23" s="219"/>
      <c r="BE23" s="219"/>
      <c r="BF23" s="219"/>
      <c r="BG23" s="219"/>
      <c r="BH23" s="219"/>
      <c r="BI23" s="219"/>
      <c r="BJ23" s="219"/>
      <c r="BK23" s="219"/>
      <c r="BL23" s="219"/>
      <c r="BM23" s="219"/>
      <c r="BN23" s="219"/>
      <c r="BO23" s="219"/>
      <c r="BP23" s="219"/>
      <c r="BQ23" s="219"/>
      <c r="BR23" s="219"/>
      <c r="BS23" s="219"/>
      <c r="BT23" s="219"/>
      <c r="BU23" s="219"/>
      <c r="BV23" s="219"/>
      <c r="BW23" s="219"/>
      <c r="BX23" s="219"/>
      <c r="BY23" s="219"/>
      <c r="BZ23" s="219"/>
      <c r="CA23" s="219"/>
      <c r="CB23" s="219"/>
      <c r="CC23" s="219"/>
      <c r="CD23" s="219"/>
      <c r="CE23" s="219"/>
      <c r="CF23" s="219"/>
      <c r="CG23" s="219"/>
      <c r="CH23" s="219"/>
      <c r="CI23" s="219"/>
      <c r="CJ23" s="219"/>
      <c r="CK23" s="219"/>
      <c r="CL23" s="219"/>
      <c r="CM23" s="219"/>
      <c r="CN23" s="219"/>
      <c r="CO23" s="219"/>
      <c r="CP23" s="219"/>
      <c r="CQ23" s="219"/>
      <c r="CR23" s="219"/>
      <c r="CS23" s="219"/>
      <c r="CT23" s="219"/>
      <c r="CU23" s="219"/>
      <c r="CV23" s="219"/>
      <c r="CW23" s="219"/>
      <c r="CX23" s="219"/>
    </row>
    <row r="24" spans="1:102" x14ac:dyDescent="0.2">
      <c r="A24" s="222" t="s">
        <v>225</v>
      </c>
      <c r="B24" s="412">
        <v>0</v>
      </c>
      <c r="C24" s="412">
        <v>0</v>
      </c>
      <c r="D24" s="412">
        <v>0</v>
      </c>
      <c r="E24" s="412">
        <v>0</v>
      </c>
      <c r="F24" s="412">
        <v>0</v>
      </c>
      <c r="G24" s="412">
        <v>0</v>
      </c>
      <c r="H24" s="412">
        <v>0</v>
      </c>
      <c r="I24" s="412">
        <v>0</v>
      </c>
      <c r="J24" s="412">
        <v>1.8280000000000001</v>
      </c>
      <c r="K24" s="412">
        <v>3.36</v>
      </c>
      <c r="L24" s="412">
        <v>0</v>
      </c>
      <c r="M24" s="223" t="s">
        <v>422</v>
      </c>
      <c r="N24" s="223"/>
      <c r="O24" s="220"/>
      <c r="P24" s="220"/>
      <c r="Q24" s="224"/>
      <c r="R24" s="224"/>
      <c r="S24" s="224"/>
      <c r="T24" s="224"/>
      <c r="U24" s="224"/>
      <c r="V24" s="224"/>
      <c r="W24" s="224"/>
      <c r="X24" s="224"/>
      <c r="Y24" s="224"/>
      <c r="Z24" s="224"/>
      <c r="AA24" s="224"/>
      <c r="AB24" s="224"/>
      <c r="AC24" s="224"/>
    </row>
    <row r="25" spans="1:102" x14ac:dyDescent="0.2">
      <c r="A25" s="222" t="s">
        <v>256</v>
      </c>
      <c r="B25" s="412">
        <v>912.97199999999998</v>
      </c>
      <c r="C25" s="412">
        <v>883.86099999999999</v>
      </c>
      <c r="D25" s="412">
        <v>1041.251</v>
      </c>
      <c r="E25" s="412">
        <v>1162.394</v>
      </c>
      <c r="F25" s="412">
        <v>1278.9349999999999</v>
      </c>
      <c r="G25" s="412">
        <v>1380.4169999999999</v>
      </c>
      <c r="H25" s="412">
        <v>2151.6329999999998</v>
      </c>
      <c r="I25" s="412">
        <v>2290.9</v>
      </c>
      <c r="J25" s="412">
        <v>2514.319</v>
      </c>
      <c r="K25" s="412">
        <v>2656.7260000000001</v>
      </c>
      <c r="L25" s="412">
        <v>0</v>
      </c>
      <c r="M25" s="223" t="s">
        <v>422</v>
      </c>
      <c r="N25" s="223"/>
      <c r="O25" s="220"/>
      <c r="P25" s="220"/>
      <c r="Q25" s="224"/>
      <c r="R25" s="224"/>
      <c r="S25" s="224"/>
      <c r="T25" s="224"/>
      <c r="U25" s="224"/>
      <c r="V25" s="224"/>
      <c r="W25" s="224"/>
      <c r="X25" s="224"/>
      <c r="Y25" s="224"/>
      <c r="Z25" s="224"/>
      <c r="AA25" s="224"/>
      <c r="AB25" s="224"/>
      <c r="AC25" s="224"/>
    </row>
    <row r="26" spans="1:102" x14ac:dyDescent="0.2">
      <c r="A26" s="219" t="s">
        <v>227</v>
      </c>
      <c r="B26" s="413">
        <v>902.875</v>
      </c>
      <c r="C26" s="413">
        <v>946.88699999999994</v>
      </c>
      <c r="D26" s="413">
        <v>3117.4520000000002</v>
      </c>
      <c r="E26" s="413">
        <v>5209.7860000000001</v>
      </c>
      <c r="F26" s="413">
        <v>4864.5380000000005</v>
      </c>
      <c r="G26" s="413">
        <v>5394.4110000000001</v>
      </c>
      <c r="H26" s="413">
        <v>4141.7250000000004</v>
      </c>
      <c r="I26" s="413">
        <v>4406.4979999999996</v>
      </c>
      <c r="J26" s="413">
        <v>5172.7420000000011</v>
      </c>
      <c r="K26" s="413">
        <v>4968.1260000000002</v>
      </c>
      <c r="L26" s="413">
        <v>0</v>
      </c>
      <c r="M26" s="220">
        <v>0</v>
      </c>
      <c r="N26" s="220"/>
      <c r="O26" s="220"/>
      <c r="P26" s="220"/>
      <c r="Q26" s="224"/>
      <c r="R26" s="224"/>
      <c r="S26" s="224"/>
      <c r="T26" s="224"/>
      <c r="U26" s="224"/>
      <c r="V26" s="224"/>
      <c r="W26" s="224"/>
      <c r="X26" s="224"/>
      <c r="Y26" s="224"/>
      <c r="Z26" s="224"/>
    </row>
    <row r="27" spans="1:102" ht="15" x14ac:dyDescent="0.25">
      <c r="A27" s="222" t="s">
        <v>228</v>
      </c>
      <c r="B27" s="412">
        <v>1972.2370000000001</v>
      </c>
      <c r="C27" s="412">
        <v>2211.31</v>
      </c>
      <c r="D27" s="412">
        <v>4970.8940000000002</v>
      </c>
      <c r="E27" s="412">
        <v>6496.4229999999998</v>
      </c>
      <c r="F27" s="412">
        <v>6769.6360000000004</v>
      </c>
      <c r="G27" s="412">
        <v>7391.2849999999999</v>
      </c>
      <c r="H27" s="412">
        <v>7062.47</v>
      </c>
      <c r="I27" s="412">
        <v>7439.116</v>
      </c>
      <c r="J27" s="412">
        <v>8438.2180000000008</v>
      </c>
      <c r="K27" s="412">
        <v>8455.08</v>
      </c>
      <c r="L27" s="412">
        <v>0</v>
      </c>
      <c r="M27" s="230"/>
      <c r="N27" s="230"/>
      <c r="O27" s="220"/>
      <c r="P27" s="220"/>
      <c r="Q27" s="224"/>
      <c r="R27" s="224"/>
      <c r="S27" s="224"/>
      <c r="T27" s="224"/>
      <c r="U27" s="224"/>
      <c r="V27" s="224"/>
      <c r="W27" s="224"/>
      <c r="X27" s="224"/>
      <c r="Y27" s="224"/>
      <c r="Z27" s="224"/>
    </row>
    <row r="28" spans="1:102" x14ac:dyDescent="0.2">
      <c r="B28" s="224"/>
      <c r="C28" s="224"/>
      <c r="D28" s="224"/>
      <c r="E28" s="224"/>
      <c r="F28" s="224"/>
      <c r="G28" s="224"/>
      <c r="H28" s="224"/>
      <c r="I28" s="224"/>
      <c r="J28" s="224"/>
      <c r="K28" s="224"/>
      <c r="L28" s="224"/>
      <c r="Q28" s="224"/>
      <c r="R28" s="224"/>
      <c r="S28" s="224"/>
      <c r="T28" s="224"/>
      <c r="U28" s="224"/>
      <c r="V28" s="224"/>
      <c r="W28" s="224"/>
      <c r="X28" s="224"/>
      <c r="Y28" s="224"/>
      <c r="Z28" s="224"/>
    </row>
    <row r="29" spans="1:102" x14ac:dyDescent="0.2">
      <c r="B29" s="224"/>
      <c r="C29" s="224"/>
      <c r="D29" s="224"/>
      <c r="E29" s="224"/>
      <c r="F29" s="224"/>
      <c r="G29" s="224"/>
      <c r="H29" s="224"/>
      <c r="I29" s="224"/>
      <c r="J29" s="224"/>
      <c r="K29" s="224"/>
      <c r="L29" s="224"/>
      <c r="Q29" s="224"/>
      <c r="R29" s="224"/>
      <c r="S29" s="224"/>
      <c r="T29" s="224"/>
      <c r="U29" s="224"/>
      <c r="V29" s="224"/>
      <c r="W29" s="224"/>
      <c r="X29" s="224"/>
      <c r="Y29" s="224"/>
      <c r="Z29" s="224"/>
    </row>
    <row r="30" spans="1:102" ht="15" x14ac:dyDescent="0.25">
      <c r="A30" s="221" t="s">
        <v>229</v>
      </c>
      <c r="B30" s="227"/>
      <c r="C30" s="227"/>
      <c r="D30" s="227"/>
      <c r="E30" s="227"/>
      <c r="F30" s="227"/>
      <c r="G30" s="227"/>
      <c r="H30" s="227"/>
      <c r="I30" s="227"/>
      <c r="J30" s="227"/>
      <c r="K30" s="226"/>
      <c r="L30" s="226"/>
      <c r="Q30" s="224"/>
      <c r="R30" s="224"/>
      <c r="S30" s="224"/>
      <c r="T30" s="224"/>
      <c r="U30" s="224"/>
      <c r="V30" s="224"/>
      <c r="W30" s="224"/>
      <c r="X30" s="224"/>
      <c r="Y30" s="224"/>
      <c r="Z30" s="224"/>
    </row>
    <row r="31" spans="1:102" s="221" customFormat="1" ht="15" x14ac:dyDescent="0.25">
      <c r="A31" s="231" t="s">
        <v>230</v>
      </c>
      <c r="B31" s="412">
        <v>381.387</v>
      </c>
      <c r="C31" s="412">
        <v>371.928</v>
      </c>
      <c r="D31" s="412">
        <v>804.55499999999995</v>
      </c>
      <c r="E31" s="412">
        <v>1045.0550000000001</v>
      </c>
      <c r="F31" s="412">
        <v>1190.087</v>
      </c>
      <c r="G31" s="412">
        <v>1374.5889999999999</v>
      </c>
      <c r="H31" s="412">
        <v>1440.232</v>
      </c>
      <c r="I31" s="412">
        <v>0</v>
      </c>
      <c r="J31" s="412">
        <v>0</v>
      </c>
      <c r="K31" s="412">
        <v>1596.404</v>
      </c>
      <c r="L31" s="412">
        <v>0</v>
      </c>
      <c r="M31" s="230"/>
      <c r="N31" s="230"/>
      <c r="O31" s="226"/>
      <c r="P31" s="226"/>
      <c r="Q31" s="224"/>
      <c r="R31" s="224"/>
      <c r="S31" s="224"/>
      <c r="T31" s="224"/>
      <c r="U31" s="224"/>
      <c r="V31" s="224"/>
      <c r="W31" s="224"/>
      <c r="X31" s="224"/>
      <c r="Y31" s="224"/>
      <c r="Z31" s="224"/>
    </row>
    <row r="32" spans="1:102" x14ac:dyDescent="0.2">
      <c r="A32" s="222" t="s">
        <v>231</v>
      </c>
      <c r="B32" s="412">
        <v>0</v>
      </c>
      <c r="C32" s="412">
        <v>0</v>
      </c>
      <c r="D32" s="412">
        <v>0</v>
      </c>
      <c r="E32" s="412">
        <v>0</v>
      </c>
      <c r="F32" s="412">
        <v>0</v>
      </c>
      <c r="G32" s="412">
        <v>0</v>
      </c>
      <c r="H32" s="412">
        <v>0</v>
      </c>
      <c r="I32" s="412">
        <v>180.851</v>
      </c>
      <c r="J32" s="412">
        <v>0</v>
      </c>
      <c r="K32" s="412">
        <v>0</v>
      </c>
      <c r="L32" s="412">
        <v>0</v>
      </c>
      <c r="M32" s="223"/>
      <c r="N32" s="223"/>
      <c r="O32" s="220"/>
      <c r="P32" s="220"/>
      <c r="Q32" s="224"/>
      <c r="R32" s="224"/>
      <c r="S32" s="224"/>
      <c r="T32" s="224"/>
      <c r="U32" s="224"/>
      <c r="V32" s="224"/>
      <c r="W32" s="224"/>
      <c r="X32" s="224"/>
      <c r="Y32" s="224"/>
      <c r="Z32" s="224"/>
    </row>
    <row r="33" spans="1:26" x14ac:dyDescent="0.2">
      <c r="A33" s="222" t="s">
        <v>232</v>
      </c>
      <c r="B33" s="412">
        <v>45.167000000000002</v>
      </c>
      <c r="C33" s="412">
        <v>43.406999999999996</v>
      </c>
      <c r="D33" s="412">
        <v>50.061</v>
      </c>
      <c r="E33" s="412">
        <v>44.353000000000002</v>
      </c>
      <c r="F33" s="412">
        <v>6.3849999999999998</v>
      </c>
      <c r="G33" s="412">
        <v>0</v>
      </c>
      <c r="H33" s="412">
        <v>15.763</v>
      </c>
      <c r="I33" s="412">
        <v>11.503</v>
      </c>
      <c r="J33" s="412">
        <v>15.707000000000001</v>
      </c>
      <c r="K33" s="412">
        <v>0</v>
      </c>
      <c r="L33" s="412">
        <v>0</v>
      </c>
      <c r="M33" s="223"/>
      <c r="N33" s="223"/>
      <c r="O33" s="220"/>
      <c r="P33" s="220"/>
      <c r="Q33" s="224"/>
      <c r="R33" s="224"/>
      <c r="S33" s="224"/>
      <c r="T33" s="224"/>
      <c r="U33" s="224"/>
      <c r="V33" s="224"/>
      <c r="W33" s="224"/>
      <c r="X33" s="224"/>
      <c r="Y33" s="224"/>
      <c r="Z33" s="224"/>
    </row>
    <row r="34" spans="1:26" x14ac:dyDescent="0.2">
      <c r="A34" s="219" t="s">
        <v>233</v>
      </c>
      <c r="B34" s="220">
        <v>336.22</v>
      </c>
      <c r="C34" s="220">
        <v>328.52100000000002</v>
      </c>
      <c r="D34" s="220">
        <v>754.49399999999991</v>
      </c>
      <c r="E34" s="220">
        <v>1000.7020000000001</v>
      </c>
      <c r="F34" s="220">
        <v>1183.702</v>
      </c>
      <c r="G34" s="220">
        <v>1374.5889999999999</v>
      </c>
      <c r="H34" s="220">
        <v>1424.4690000000001</v>
      </c>
      <c r="I34" s="220">
        <v>-192.35399999999998</v>
      </c>
      <c r="J34" s="220">
        <v>-15.707000000000001</v>
      </c>
      <c r="K34" s="220">
        <v>1596.404</v>
      </c>
      <c r="L34" s="220">
        <v>0</v>
      </c>
      <c r="M34" s="220">
        <v>0</v>
      </c>
      <c r="N34" s="220"/>
      <c r="O34" s="220"/>
      <c r="P34" s="220"/>
      <c r="Q34" s="224"/>
      <c r="R34" s="224"/>
      <c r="S34" s="224"/>
      <c r="T34" s="224"/>
      <c r="U34" s="224"/>
      <c r="V34" s="224"/>
      <c r="W34" s="224"/>
      <c r="X34" s="224"/>
      <c r="Y34" s="224"/>
      <c r="Z34" s="224"/>
    </row>
    <row r="35" spans="1:26" s="221" customFormat="1" ht="15" x14ac:dyDescent="0.25">
      <c r="A35" s="231" t="s">
        <v>234</v>
      </c>
      <c r="B35" s="412">
        <v>815.09500000000003</v>
      </c>
      <c r="C35" s="412">
        <v>698.11</v>
      </c>
      <c r="D35" s="412">
        <v>1900.681</v>
      </c>
      <c r="E35" s="412">
        <v>2634.922</v>
      </c>
      <c r="F35" s="412">
        <v>3514.2069999999999</v>
      </c>
      <c r="G35" s="412">
        <v>4015.4169999999999</v>
      </c>
      <c r="H35" s="412">
        <v>0</v>
      </c>
      <c r="I35" s="412">
        <v>0</v>
      </c>
      <c r="J35" s="412">
        <v>5668.4790000000003</v>
      </c>
      <c r="K35" s="412">
        <v>5307.3739999999998</v>
      </c>
      <c r="L35" s="412">
        <v>0</v>
      </c>
      <c r="M35" s="230"/>
      <c r="N35" s="230"/>
      <c r="O35" s="226"/>
      <c r="P35" s="226"/>
      <c r="Q35" s="224"/>
      <c r="R35" s="224"/>
      <c r="S35" s="224"/>
      <c r="T35" s="224"/>
      <c r="U35" s="224"/>
      <c r="V35" s="224"/>
      <c r="W35" s="224"/>
      <c r="X35" s="224"/>
      <c r="Y35" s="224"/>
      <c r="Z35" s="224"/>
    </row>
    <row r="36" spans="1:26" x14ac:dyDescent="0.2">
      <c r="A36" s="222" t="s">
        <v>235</v>
      </c>
      <c r="B36" s="412">
        <v>133.916</v>
      </c>
      <c r="C36" s="412">
        <v>64.721999999999994</v>
      </c>
      <c r="D36" s="412">
        <v>852.68899999999996</v>
      </c>
      <c r="E36" s="412">
        <v>1077.5139999999999</v>
      </c>
      <c r="F36" s="412">
        <v>2480.328</v>
      </c>
      <c r="G36" s="412">
        <v>2973.3960000000002</v>
      </c>
      <c r="H36" s="412">
        <v>3394.2959999999998</v>
      </c>
      <c r="I36" s="412">
        <v>4083.181</v>
      </c>
      <c r="J36" s="412">
        <v>4045.1889999999999</v>
      </c>
      <c r="K36" s="412">
        <v>4118.97</v>
      </c>
      <c r="L36" s="412">
        <v>0</v>
      </c>
      <c r="M36" s="223"/>
      <c r="N36" s="223"/>
      <c r="O36" s="220"/>
      <c r="P36" s="220"/>
      <c r="Q36" s="224"/>
      <c r="R36" s="224"/>
      <c r="S36" s="224"/>
      <c r="T36" s="224"/>
      <c r="U36" s="224"/>
      <c r="V36" s="224"/>
      <c r="W36" s="224"/>
      <c r="X36" s="224"/>
      <c r="Y36" s="224"/>
      <c r="Z36" s="224"/>
    </row>
    <row r="37" spans="1:26" x14ac:dyDescent="0.2">
      <c r="A37" s="222" t="s">
        <v>236</v>
      </c>
      <c r="B37" s="412">
        <v>418.911</v>
      </c>
      <c r="C37" s="412">
        <v>416.97</v>
      </c>
      <c r="D37" s="412">
        <v>521.71600000000001</v>
      </c>
      <c r="E37" s="412">
        <v>542.76700000000005</v>
      </c>
      <c r="F37" s="412">
        <v>113.25700000000001</v>
      </c>
      <c r="G37" s="412">
        <v>0</v>
      </c>
      <c r="H37" s="412">
        <v>235.07900000000001</v>
      </c>
      <c r="I37" s="412">
        <v>235.75299999999999</v>
      </c>
      <c r="J37" s="412">
        <v>288.392</v>
      </c>
      <c r="K37" s="412">
        <v>0</v>
      </c>
      <c r="L37" s="412">
        <v>0</v>
      </c>
      <c r="M37" s="223"/>
      <c r="N37" s="223"/>
      <c r="O37" s="220"/>
      <c r="P37" s="220"/>
      <c r="Q37" s="224"/>
      <c r="R37" s="220"/>
    </row>
    <row r="38" spans="1:26" x14ac:dyDescent="0.2">
      <c r="A38" s="219" t="s">
        <v>237</v>
      </c>
      <c r="B38" s="220">
        <v>262.26800000000009</v>
      </c>
      <c r="C38" s="220">
        <v>216.41800000000001</v>
      </c>
      <c r="D38" s="220">
        <v>526.27600000000018</v>
      </c>
      <c r="E38" s="220">
        <v>1014.6410000000001</v>
      </c>
      <c r="F38" s="220">
        <v>920.62199999999984</v>
      </c>
      <c r="G38" s="220">
        <v>1042.0209999999997</v>
      </c>
      <c r="H38" s="220">
        <v>-3629.375</v>
      </c>
      <c r="I38" s="220">
        <v>-4318.9340000000002</v>
      </c>
      <c r="J38" s="220">
        <v>1334.8980000000004</v>
      </c>
      <c r="K38" s="220">
        <v>1188.4039999999995</v>
      </c>
      <c r="L38" s="220">
        <v>0</v>
      </c>
      <c r="M38" s="220">
        <v>0</v>
      </c>
      <c r="N38" s="220"/>
      <c r="O38" s="220"/>
      <c r="P38" s="220"/>
      <c r="Q38" s="220"/>
      <c r="R38" s="220"/>
    </row>
    <row r="39" spans="1:26" s="221" customFormat="1" ht="15" x14ac:dyDescent="0.25">
      <c r="A39" s="221" t="s">
        <v>238</v>
      </c>
      <c r="B39" s="226">
        <v>1196.482</v>
      </c>
      <c r="C39" s="226">
        <v>1070.038</v>
      </c>
      <c r="D39" s="226">
        <v>2705.2359999999999</v>
      </c>
      <c r="E39" s="226">
        <v>3679.9769999999999</v>
      </c>
      <c r="F39" s="226">
        <v>4704.2939999999999</v>
      </c>
      <c r="G39" s="226">
        <v>5390.0059999999994</v>
      </c>
      <c r="H39" s="226">
        <v>1440.232</v>
      </c>
      <c r="I39" s="226">
        <v>0</v>
      </c>
      <c r="J39" s="226">
        <v>5668.4790000000003</v>
      </c>
      <c r="K39" s="226">
        <v>6903.7780000000002</v>
      </c>
      <c r="L39" s="226">
        <v>0</v>
      </c>
      <c r="M39" s="226">
        <v>0</v>
      </c>
      <c r="N39" s="226"/>
      <c r="O39" s="226"/>
      <c r="P39" s="251"/>
      <c r="Q39" s="226"/>
      <c r="R39" s="226"/>
    </row>
    <row r="40" spans="1:26" ht="15" x14ac:dyDescent="0.25">
      <c r="B40" s="224"/>
      <c r="C40" s="224"/>
      <c r="D40" s="224"/>
      <c r="E40" s="224"/>
      <c r="F40" s="224"/>
      <c r="G40" s="224"/>
      <c r="H40" s="224"/>
      <c r="I40" s="224"/>
      <c r="J40" s="224"/>
      <c r="K40" s="224"/>
      <c r="L40" s="224"/>
      <c r="P40" s="251"/>
    </row>
    <row r="41" spans="1:26" ht="15" x14ac:dyDescent="0.25">
      <c r="B41" s="224"/>
      <c r="C41" s="224"/>
      <c r="D41" s="224"/>
      <c r="E41" s="224"/>
      <c r="F41" s="224"/>
      <c r="G41" s="224"/>
      <c r="H41" s="224"/>
      <c r="I41" s="224"/>
      <c r="J41" s="224"/>
      <c r="K41" s="224"/>
      <c r="L41" s="224"/>
      <c r="P41" s="251"/>
    </row>
    <row r="42" spans="1:26" s="221" customFormat="1" ht="15" x14ac:dyDescent="0.25">
      <c r="A42" s="231" t="s">
        <v>239</v>
      </c>
      <c r="B42" s="230">
        <v>0</v>
      </c>
      <c r="C42" s="230">
        <v>0</v>
      </c>
      <c r="D42" s="230">
        <v>0</v>
      </c>
      <c r="E42" s="230">
        <v>0</v>
      </c>
      <c r="F42" s="230">
        <v>0</v>
      </c>
      <c r="G42" s="230">
        <v>0</v>
      </c>
      <c r="H42" s="230">
        <v>0</v>
      </c>
      <c r="I42" s="230">
        <v>0</v>
      </c>
      <c r="J42" s="230">
        <v>0</v>
      </c>
      <c r="K42" s="230">
        <v>0</v>
      </c>
      <c r="L42" s="230">
        <v>0</v>
      </c>
      <c r="M42" s="230">
        <v>0</v>
      </c>
      <c r="N42" s="230"/>
      <c r="O42" s="220"/>
      <c r="P42" s="226"/>
      <c r="Q42" s="224"/>
      <c r="R42" s="224"/>
      <c r="S42" s="224"/>
      <c r="T42" s="224"/>
      <c r="U42" s="224"/>
      <c r="V42" s="224"/>
      <c r="W42" s="224"/>
      <c r="X42" s="224"/>
      <c r="Y42" s="224"/>
      <c r="Z42" s="224"/>
    </row>
    <row r="43" spans="1:26" ht="15" x14ac:dyDescent="0.25">
      <c r="B43" s="224"/>
      <c r="C43" s="224"/>
      <c r="D43" s="224"/>
      <c r="E43" s="224"/>
      <c r="F43" s="220"/>
      <c r="G43" s="220"/>
      <c r="H43" s="220"/>
      <c r="I43" s="220"/>
      <c r="J43" s="220"/>
      <c r="M43" s="220"/>
      <c r="N43" s="220"/>
      <c r="O43" s="220"/>
      <c r="P43" s="226"/>
      <c r="Q43" s="220"/>
      <c r="R43" s="220"/>
    </row>
    <row r="44" spans="1:26" ht="15" x14ac:dyDescent="0.25">
      <c r="A44" s="221" t="s">
        <v>240</v>
      </c>
      <c r="B44" s="226">
        <v>775.75500000000011</v>
      </c>
      <c r="C44" s="226">
        <v>1141.2719999999999</v>
      </c>
      <c r="D44" s="226">
        <v>2265.6580000000004</v>
      </c>
      <c r="E44" s="226">
        <v>2816.4459999999999</v>
      </c>
      <c r="F44" s="226">
        <v>2065.3420000000006</v>
      </c>
      <c r="G44" s="226">
        <v>2001.2790000000005</v>
      </c>
      <c r="H44" s="226">
        <v>5622.2380000000003</v>
      </c>
      <c r="I44" s="226">
        <v>7439.116</v>
      </c>
      <c r="J44" s="226">
        <v>2769.7390000000005</v>
      </c>
      <c r="K44" s="226">
        <v>1551.3019999999997</v>
      </c>
      <c r="L44" s="226">
        <v>0</v>
      </c>
      <c r="M44" s="226">
        <v>47791</v>
      </c>
      <c r="N44" s="226"/>
      <c r="O44" s="226"/>
      <c r="P44" s="226"/>
      <c r="Q44" s="226"/>
      <c r="R44" s="226"/>
    </row>
    <row r="45" spans="1:26" ht="15" x14ac:dyDescent="0.25">
      <c r="B45" s="224"/>
      <c r="C45" s="224"/>
      <c r="D45" s="224"/>
      <c r="P45" s="251"/>
    </row>
    <row r="46" spans="1:26" ht="15" x14ac:dyDescent="0.25">
      <c r="A46" s="251" t="s">
        <v>241</v>
      </c>
      <c r="B46" s="251"/>
      <c r="C46" s="251"/>
      <c r="D46" s="251"/>
      <c r="E46" s="251"/>
      <c r="F46" s="251"/>
      <c r="G46" s="251"/>
      <c r="H46" s="251"/>
      <c r="I46" s="251"/>
      <c r="J46" s="251"/>
      <c r="K46" s="226"/>
      <c r="L46" s="226"/>
      <c r="P46" s="251"/>
    </row>
    <row r="47" spans="1:26" ht="15" x14ac:dyDescent="0.25">
      <c r="A47" s="222" t="s">
        <v>351</v>
      </c>
      <c r="B47" s="223">
        <v>4400</v>
      </c>
      <c r="C47" s="223">
        <v>1800</v>
      </c>
      <c r="D47" s="223">
        <v>3000</v>
      </c>
      <c r="E47" s="223">
        <v>5000</v>
      </c>
      <c r="F47" s="223">
        <v>6000</v>
      </c>
      <c r="G47" s="223">
        <v>9000</v>
      </c>
      <c r="H47" s="223">
        <v>9000</v>
      </c>
      <c r="I47" s="223">
        <v>19900</v>
      </c>
      <c r="J47" s="223" t="s">
        <v>421</v>
      </c>
      <c r="K47" s="223" t="s">
        <v>421</v>
      </c>
      <c r="L47" s="223">
        <v>0</v>
      </c>
      <c r="M47" s="223">
        <v>0</v>
      </c>
      <c r="N47" s="223"/>
      <c r="O47" s="220"/>
      <c r="P47" s="226"/>
      <c r="Q47" s="220"/>
      <c r="R47" s="220"/>
    </row>
    <row r="48" spans="1:26" ht="15" x14ac:dyDescent="0.25">
      <c r="A48" s="222" t="s">
        <v>243</v>
      </c>
      <c r="B48" s="223">
        <v>157.37</v>
      </c>
      <c r="C48" s="223">
        <v>156</v>
      </c>
      <c r="D48" s="223">
        <v>181</v>
      </c>
      <c r="E48" s="223">
        <v>119</v>
      </c>
      <c r="F48" s="223">
        <v>127</v>
      </c>
      <c r="G48" s="223">
        <v>91</v>
      </c>
      <c r="H48" s="223">
        <v>55</v>
      </c>
      <c r="I48" s="223"/>
      <c r="J48" s="223"/>
      <c r="K48" s="223"/>
      <c r="L48" s="223"/>
      <c r="M48" s="223"/>
      <c r="N48" s="223"/>
      <c r="O48" s="220"/>
      <c r="P48" s="226"/>
      <c r="Q48" s="220"/>
      <c r="R48" s="220"/>
    </row>
    <row r="49" spans="1:18" ht="15" x14ac:dyDescent="0.25">
      <c r="A49" s="222" t="s">
        <v>170</v>
      </c>
      <c r="B49" s="372">
        <v>0.91439000000000004</v>
      </c>
      <c r="C49" s="372">
        <v>0.91579999999999995</v>
      </c>
      <c r="D49" s="372">
        <v>0.7641</v>
      </c>
      <c r="E49" s="372">
        <v>0.90529999999999999</v>
      </c>
      <c r="F49" s="372">
        <v>0.89029999999999998</v>
      </c>
      <c r="G49" s="372">
        <v>0.84857000000000005</v>
      </c>
      <c r="H49" s="372">
        <v>0.93069999999999997</v>
      </c>
      <c r="I49" s="372"/>
      <c r="J49" s="372"/>
      <c r="K49" s="372"/>
      <c r="L49" s="372"/>
      <c r="M49" s="372"/>
      <c r="N49" s="373"/>
      <c r="O49" s="374"/>
      <c r="P49" s="375"/>
      <c r="Q49" s="374"/>
      <c r="R49" s="374"/>
    </row>
    <row r="50" spans="1:18" ht="15" x14ac:dyDescent="0.25">
      <c r="A50" s="222" t="s">
        <v>244</v>
      </c>
      <c r="B50" s="372">
        <v>2.3199999999999998E-2</v>
      </c>
      <c r="C50" s="372">
        <v>2.1999999999999999E-2</v>
      </c>
      <c r="D50" s="372">
        <v>7.7999999999999996E-3</v>
      </c>
      <c r="E50" s="372">
        <v>1.2999999999999999E-2</v>
      </c>
      <c r="F50" s="372">
        <v>2.9000000000000001E-2</v>
      </c>
      <c r="G50" s="372">
        <v>1.9E-2</v>
      </c>
      <c r="H50" s="372">
        <v>2.5999999999999999E-2</v>
      </c>
      <c r="I50" s="372"/>
      <c r="J50" s="372"/>
      <c r="K50" s="372"/>
      <c r="L50" s="372"/>
      <c r="M50" s="372"/>
      <c r="N50" s="373" t="s">
        <v>425</v>
      </c>
      <c r="O50" s="374"/>
      <c r="P50" s="376"/>
      <c r="Q50" s="374"/>
      <c r="R50" s="377"/>
    </row>
    <row r="51" spans="1:18" ht="15" x14ac:dyDescent="0.25">
      <c r="A51" s="222" t="s">
        <v>245</v>
      </c>
      <c r="B51" s="223"/>
      <c r="C51" s="223"/>
      <c r="D51" s="223"/>
      <c r="E51" s="223"/>
      <c r="F51" s="223"/>
      <c r="G51" s="223"/>
      <c r="H51" s="223"/>
      <c r="I51" s="223"/>
      <c r="J51" s="223"/>
      <c r="K51" s="223"/>
      <c r="L51" s="223"/>
      <c r="M51" s="223"/>
      <c r="N51" s="223"/>
      <c r="O51" s="226"/>
      <c r="P51" s="226"/>
      <c r="Q51" s="226"/>
      <c r="R51" s="226"/>
    </row>
    <row r="52" spans="1:18" ht="15" x14ac:dyDescent="0.25">
      <c r="A52" s="222" t="s">
        <v>424</v>
      </c>
      <c r="B52" s="378">
        <v>13203.2</v>
      </c>
      <c r="C52" s="378">
        <v>27539.599999999999</v>
      </c>
      <c r="D52" s="378">
        <v>32727.3</v>
      </c>
      <c r="E52" s="378">
        <v>11364.4</v>
      </c>
      <c r="F52" s="378">
        <v>29945.9</v>
      </c>
      <c r="G52" s="378">
        <v>26416.3</v>
      </c>
      <c r="H52" s="378">
        <v>13758.5</v>
      </c>
      <c r="I52" s="378"/>
      <c r="J52" s="378"/>
      <c r="K52" s="378"/>
      <c r="L52" s="378"/>
      <c r="M52" s="378"/>
      <c r="N52" s="223"/>
      <c r="P52" s="251"/>
    </row>
    <row r="53" spans="1:18" ht="15" x14ac:dyDescent="0.25">
      <c r="B53" s="251">
        <v>2021</v>
      </c>
      <c r="C53" s="251">
        <v>2022</v>
      </c>
      <c r="D53" s="251">
        <v>2023</v>
      </c>
      <c r="E53" s="379"/>
      <c r="G53" s="379"/>
      <c r="H53" s="379"/>
      <c r="I53" s="379"/>
      <c r="J53" s="379"/>
      <c r="K53" s="379"/>
      <c r="L53" s="379"/>
      <c r="P53" s="251"/>
    </row>
    <row r="54" spans="1:18" ht="15" x14ac:dyDescent="0.25">
      <c r="A54" s="222" t="s">
        <v>352</v>
      </c>
      <c r="B54" s="372">
        <v>8.6199999999999992E-3</v>
      </c>
      <c r="C54" s="372">
        <v>2.8369999999999999E-2</v>
      </c>
      <c r="D54" s="372">
        <v>8.0390000000000003E-2</v>
      </c>
      <c r="K54" s="219"/>
      <c r="L54" s="219"/>
      <c r="P54" s="251"/>
    </row>
    <row r="55" spans="1:18" ht="15" x14ac:dyDescent="0.25">
      <c r="A55" s="222" t="s">
        <v>134</v>
      </c>
      <c r="B55" s="378">
        <f>1.01</f>
        <v>1.01</v>
      </c>
      <c r="C55" s="378">
        <f>0.42</f>
        <v>0.42</v>
      </c>
      <c r="D55" s="378">
        <v>0.68</v>
      </c>
      <c r="K55" s="219"/>
      <c r="L55" s="219"/>
      <c r="P55" s="251"/>
    </row>
    <row r="56" spans="1:18" ht="15" x14ac:dyDescent="0.25">
      <c r="P56" s="251"/>
    </row>
    <row r="57" spans="1:18" ht="15" x14ac:dyDescent="0.25">
      <c r="A57" s="251" t="s">
        <v>353</v>
      </c>
      <c r="B57" s="251" t="s">
        <v>246</v>
      </c>
      <c r="C57" s="251" t="s">
        <v>245</v>
      </c>
      <c r="D57" s="251" t="s">
        <v>354</v>
      </c>
      <c r="E57" s="251" t="s">
        <v>249</v>
      </c>
      <c r="J57" s="220"/>
      <c r="L57" s="189"/>
      <c r="P57" s="251"/>
    </row>
    <row r="58" spans="1:18" ht="15" x14ac:dyDescent="0.25">
      <c r="A58" s="222"/>
      <c r="B58" s="380"/>
      <c r="C58" s="223"/>
      <c r="D58" s="381"/>
      <c r="E58" s="223"/>
      <c r="J58" s="220"/>
      <c r="L58" s="189"/>
      <c r="P58" s="251"/>
    </row>
    <row r="59" spans="1:18" ht="15" x14ac:dyDescent="0.25">
      <c r="A59" s="222"/>
      <c r="B59" s="380"/>
      <c r="C59" s="223"/>
      <c r="D59" s="381"/>
      <c r="E59" s="223"/>
      <c r="J59" s="220"/>
      <c r="L59" s="189"/>
      <c r="P59" s="251"/>
    </row>
    <row r="60" spans="1:18" ht="15" x14ac:dyDescent="0.25">
      <c r="A60" s="222"/>
      <c r="B60" s="380"/>
      <c r="C60" s="223"/>
      <c r="D60" s="381"/>
      <c r="E60" s="223"/>
      <c r="J60" s="220"/>
      <c r="L60" s="189"/>
      <c r="P60" s="251"/>
    </row>
    <row r="61" spans="1:18" ht="15" x14ac:dyDescent="0.25">
      <c r="A61" s="222"/>
      <c r="B61" s="380"/>
      <c r="C61" s="223"/>
      <c r="D61" s="381"/>
      <c r="E61" s="223"/>
      <c r="J61" s="220"/>
      <c r="L61" s="189"/>
      <c r="P61" s="251"/>
    </row>
    <row r="62" spans="1:18" ht="15" x14ac:dyDescent="0.25">
      <c r="P62" s="251"/>
    </row>
    <row r="63" spans="1:18" ht="15" x14ac:dyDescent="0.25">
      <c r="P63" s="251"/>
    </row>
    <row r="64" spans="1:18" ht="15" x14ac:dyDescent="0.25">
      <c r="P64" s="251"/>
    </row>
  </sheetData>
  <mergeCells count="1">
    <mergeCell ref="G3:H3"/>
  </mergeCells>
  <pageMargins left="0.75" right="0.75" top="1" bottom="1" header="0" footer="0"/>
  <pageSetup orientation="portrait" horizontalDpi="4294967292" r:id="rId1"/>
  <headerFooter alignWithMargins="0"/>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235e0e40c567e6394453f2090fab65a6">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be2affa39fb2f3cdc665ba7b2e6a6e47"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4F95F15-C902-4F29-BCC3-173A7BFB5290}">
  <ds:schemaRefs>
    <ds:schemaRef ds:uri="http://purl.org/dc/terms/"/>
    <ds:schemaRef ds:uri="http://schemas.microsoft.com/office/2006/documentManagement/types"/>
    <ds:schemaRef ds:uri="http://schemas.microsoft.com/office/infopath/2007/PartnerControls"/>
    <ds:schemaRef ds:uri="http://purl.org/dc/elements/1.1/"/>
    <ds:schemaRef ds:uri="http://schemas.openxmlformats.org/package/2006/metadata/core-properties"/>
    <ds:schemaRef ds:uri="http://purl.org/dc/dcmitype/"/>
    <ds:schemaRef ds:uri="http://schemas.microsoft.com/office/2006/metadata/properties"/>
    <ds:schemaRef ds:uri="8c89d0e4-a8d9-42ba-a773-c59a56f7723e"/>
    <ds:schemaRef ds:uri="6ba73c8a-1af7-4183-b158-1cd1291da2b6"/>
    <ds:schemaRef ds:uri="http://www.w3.org/XML/1998/namespace"/>
  </ds:schemaRefs>
</ds:datastoreItem>
</file>

<file path=customXml/itemProps2.xml><?xml version="1.0" encoding="utf-8"?>
<ds:datastoreItem xmlns:ds="http://schemas.openxmlformats.org/officeDocument/2006/customXml" ds:itemID="{6206C075-38B2-4794-9284-163FF9CCDD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ba73c8a-1af7-4183-b158-1cd1291da2b6"/>
    <ds:schemaRef ds:uri="8c89d0e4-a8d9-42ba-a773-c59a56f772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7FB3ED4-AE09-4A5F-AFD9-51C7AB84015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OP</vt:lpstr>
      <vt:lpstr>COVID-19 impact</vt:lpstr>
      <vt:lpstr>Segments</vt:lpstr>
      <vt:lpstr>Peers</vt:lpstr>
      <vt:lpstr>Acuerdo</vt:lpstr>
      <vt:lpstr>DCF</vt:lpstr>
      <vt:lpstr>DCFF</vt:lpstr>
      <vt:lpstr>ESG</vt:lpstr>
      <vt:lpstr>Cifras_en_Millones</vt:lpstr>
      <vt:lpstr>Q</vt:lpstr>
      <vt:lpstr>Cifras_Originales</vt:lpstr>
      <vt:lpstr>Cifras_en_Millones!Print_Area</vt:lpstr>
      <vt:lpstr>OP!Print_Area</vt:lpstr>
    </vt:vector>
  </TitlesOfParts>
  <Company>HIL CONSULTORES, S.C.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ABRAHAM E. HERNANDEZ P.</dc:creator>
  <cp:lastModifiedBy>THOR CORDEIRO ALVES PINTO</cp:lastModifiedBy>
  <cp:lastPrinted>2019-08-19T22:45:59Z</cp:lastPrinted>
  <dcterms:created xsi:type="dcterms:W3CDTF">2000-04-19T14:51:26Z</dcterms:created>
  <dcterms:modified xsi:type="dcterms:W3CDTF">2025-10-15T17:06:11Z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MediaServiceImageTags">
    <vt:lpwstr/>
  </property>
</Properties>
</file>