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3"/>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24-25/1st cycle/Team 6 (Catarina Margalhau)/"/>
    </mc:Choice>
  </mc:AlternateContent>
  <xr:revisionPtr revIDLastSave="10408" documentId="13_ncr:1_{26D5CA1E-45FE-425A-8F05-72ED85C7BA47}" xr6:coauthVersionLast="47" xr6:coauthVersionMax="47" xr10:uidLastSave="{FAE432D1-97D7-419C-A438-36CC0E8339C7}"/>
  <bookViews>
    <workbookView xWindow="-120" yWindow="-120" windowWidth="29040" windowHeight="15720" tabRatio="644" firstSheet="10" activeTab="10" xr2:uid="{00000000-000D-0000-FFFF-FFFF00000000}"/>
  </bookViews>
  <sheets>
    <sheet name="OP" sheetId="1" r:id="rId1"/>
    <sheet name="Segments" sheetId="3" r:id="rId2"/>
    <sheet name="Acuerdo" sheetId="11" state="hidden" r:id="rId3"/>
    <sheet name="Peers" sheetId="10" r:id="rId4"/>
    <sheet name="ESG" sheetId="19" r:id="rId5"/>
    <sheet name="DCF" sheetId="4" r:id="rId6"/>
    <sheet name="Assumptions" sheetId="22" r:id="rId7"/>
    <sheet name="Fin. Data" sheetId="16" r:id="rId8"/>
    <sheet name="Sector Impact" sheetId="18" state="hidden" r:id="rId9"/>
    <sheet name="Inputs" sheetId="17" r:id="rId10"/>
    <sheet name="Market Data" sheetId="26" r:id="rId11"/>
  </sheets>
  <externalReferences>
    <externalReference r:id="rId12"/>
  </externalReferences>
  <definedNames>
    <definedName name="_xlnm.Print_Area" localSheetId="0">OP!$A$1:$M$82</definedName>
    <definedName name="_xlnm.Print_Area" localSheetId="1">Segments!#REF!</definedName>
    <definedName name="Sectors" localSheetId="6">'[1]Sector Impact'!$K$4:$K$16</definedName>
    <definedName name="Sectors">'Sector Impact'!$K$4:$K$16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9" i="4" l="1"/>
  <c r="D22" i="4" s="1"/>
  <c r="G21" i="10"/>
  <c r="D62" i="4"/>
  <c r="C94" i="22"/>
  <c r="D94" i="22"/>
  <c r="E94" i="22"/>
  <c r="J98" i="22"/>
  <c r="K98" i="22"/>
  <c r="L98" i="22"/>
  <c r="M98" i="22"/>
  <c r="N98" i="22"/>
  <c r="O98" i="22"/>
  <c r="P98" i="22"/>
  <c r="Q98" i="22"/>
  <c r="R98" i="22"/>
  <c r="S98" i="22"/>
  <c r="T98" i="22"/>
  <c r="U98" i="22"/>
  <c r="V98" i="22"/>
  <c r="W98" i="22"/>
  <c r="X98" i="22"/>
  <c r="Y98" i="22"/>
  <c r="Z98" i="22"/>
  <c r="AA98" i="22"/>
  <c r="AB98" i="22"/>
  <c r="AC98" i="22"/>
  <c r="AD98" i="22"/>
  <c r="AE98" i="22"/>
  <c r="F87" i="22"/>
  <c r="G87" i="22"/>
  <c r="H87" i="22" s="1"/>
  <c r="I87" i="22" s="1"/>
  <c r="J87" i="22" s="1"/>
  <c r="K87" i="22" s="1"/>
  <c r="L87" i="22" s="1"/>
  <c r="M87" i="22" s="1"/>
  <c r="N87" i="22" s="1"/>
  <c r="O87" i="22" s="1"/>
  <c r="P87" i="22" s="1"/>
  <c r="Q87" i="22" s="1"/>
  <c r="R87" i="22" s="1"/>
  <c r="S87" i="22" s="1"/>
  <c r="T87" i="22" s="1"/>
  <c r="U87" i="22" s="1"/>
  <c r="V87" i="22" s="1"/>
  <c r="W87" i="22" s="1"/>
  <c r="X87" i="22" s="1"/>
  <c r="Y87" i="22" s="1"/>
  <c r="Z87" i="22" s="1"/>
  <c r="AA87" i="22" s="1"/>
  <c r="AB87" i="22" s="1"/>
  <c r="AC87" i="22" s="1"/>
  <c r="AD87" i="22" s="1"/>
  <c r="F27" i="4"/>
  <c r="E27" i="4"/>
  <c r="E19" i="4"/>
  <c r="F19" i="4"/>
  <c r="F21" i="4"/>
  <c r="F22" i="4"/>
  <c r="F11" i="4"/>
  <c r="E11" i="4"/>
  <c r="D11" i="4"/>
  <c r="C27" i="22"/>
  <c r="D17" i="22"/>
  <c r="E17" i="22"/>
  <c r="F17" i="22"/>
  <c r="G17" i="22"/>
  <c r="H17" i="22"/>
  <c r="I17" i="22"/>
  <c r="J17" i="22"/>
  <c r="K17" i="22"/>
  <c r="L17" i="22"/>
  <c r="C17" i="22"/>
  <c r="F28" i="1"/>
  <c r="F29" i="1"/>
  <c r="F30" i="1"/>
  <c r="O18" i="22"/>
  <c r="J176" i="22"/>
  <c r="I173" i="22"/>
  <c r="B55" i="17"/>
  <c r="L173" i="22"/>
  <c r="K173" i="22"/>
  <c r="J173" i="22"/>
  <c r="H173" i="22"/>
  <c r="G173" i="22"/>
  <c r="F173" i="22"/>
  <c r="L12" i="17"/>
  <c r="L19" i="17" s="1"/>
  <c r="E172" i="22"/>
  <c r="E173" i="22" s="1"/>
  <c r="E178" i="22" s="1"/>
  <c r="E179" i="22" s="1"/>
  <c r="D172" i="22"/>
  <c r="C172" i="22"/>
  <c r="L176" i="22"/>
  <c r="K176" i="22"/>
  <c r="I176" i="22"/>
  <c r="H176" i="22"/>
  <c r="G176" i="22"/>
  <c r="F176" i="22"/>
  <c r="C173" i="22"/>
  <c r="F22" i="10"/>
  <c r="H49" i="10"/>
  <c r="H44" i="10"/>
  <c r="H39" i="10"/>
  <c r="G49" i="10"/>
  <c r="G44" i="10"/>
  <c r="G39" i="10"/>
  <c r="F49" i="10"/>
  <c r="F44" i="10"/>
  <c r="F39" i="10"/>
  <c r="M20" i="1"/>
  <c r="D176" i="22"/>
  <c r="E176" i="22"/>
  <c r="C176" i="22"/>
  <c r="D38" i="4"/>
  <c r="E38" i="4"/>
  <c r="F38" i="4"/>
  <c r="D165" i="22"/>
  <c r="E165" i="22"/>
  <c r="F165" i="22"/>
  <c r="F174" i="22" s="1"/>
  <c r="F178" i="22" s="1"/>
  <c r="F179" i="22" s="1"/>
  <c r="G165" i="22"/>
  <c r="H165" i="22"/>
  <c r="H174" i="22" s="1"/>
  <c r="H178" i="22" s="1"/>
  <c r="H179" i="22" s="1"/>
  <c r="I165" i="22"/>
  <c r="I174" i="22"/>
  <c r="I178" i="22" s="1"/>
  <c r="J165" i="22"/>
  <c r="J174" i="22" s="1"/>
  <c r="K165" i="22"/>
  <c r="K174" i="22"/>
  <c r="K178" i="22" s="1"/>
  <c r="K179" i="22" s="1"/>
  <c r="L165" i="22"/>
  <c r="C165" i="22"/>
  <c r="C174" i="22" s="1"/>
  <c r="C178" i="22" s="1"/>
  <c r="D162" i="22"/>
  <c r="D171" i="22" s="1"/>
  <c r="D164" i="22"/>
  <c r="D166" i="22" s="1"/>
  <c r="E162" i="22"/>
  <c r="E171" i="22" s="1"/>
  <c r="F162" i="22"/>
  <c r="F164" i="22" s="1"/>
  <c r="G162" i="22"/>
  <c r="G164" i="22" s="1"/>
  <c r="H162" i="22"/>
  <c r="H164" i="22"/>
  <c r="H166" i="22" s="1"/>
  <c r="I162" i="22"/>
  <c r="I164" i="22"/>
  <c r="I166" i="22" s="1"/>
  <c r="J162" i="22"/>
  <c r="J164" i="22" s="1"/>
  <c r="K162" i="22"/>
  <c r="K164" i="22" s="1"/>
  <c r="K166" i="22" s="1"/>
  <c r="L162" i="22"/>
  <c r="L171" i="22" s="1"/>
  <c r="C162" i="22"/>
  <c r="F40" i="4" s="1"/>
  <c r="G30" i="22"/>
  <c r="H30" i="22"/>
  <c r="I30" i="22"/>
  <c r="J30" i="22"/>
  <c r="K30" i="22"/>
  <c r="L30" i="22"/>
  <c r="D147" i="22"/>
  <c r="E147" i="22"/>
  <c r="E148" i="22" s="1"/>
  <c r="F147" i="22"/>
  <c r="G147" i="22"/>
  <c r="G148" i="22" s="1"/>
  <c r="H147" i="22"/>
  <c r="I147" i="22"/>
  <c r="J147" i="22"/>
  <c r="J148" i="22" s="1"/>
  <c r="K147" i="22"/>
  <c r="L147" i="22"/>
  <c r="C147" i="22"/>
  <c r="C148" i="22" s="1"/>
  <c r="D145" i="22"/>
  <c r="E145" i="22"/>
  <c r="F145" i="22"/>
  <c r="G145" i="22"/>
  <c r="H145" i="22"/>
  <c r="I145" i="22"/>
  <c r="J145" i="22"/>
  <c r="K145" i="22"/>
  <c r="L145" i="22"/>
  <c r="C145" i="22"/>
  <c r="L141" i="22"/>
  <c r="K141" i="22"/>
  <c r="J141" i="22"/>
  <c r="I141" i="22"/>
  <c r="H141" i="22"/>
  <c r="G141" i="22"/>
  <c r="F141" i="22"/>
  <c r="E141" i="22"/>
  <c r="D141" i="22"/>
  <c r="C23" i="22"/>
  <c r="L139" i="22"/>
  <c r="K139" i="22"/>
  <c r="J139" i="22"/>
  <c r="I139" i="22"/>
  <c r="I142" i="22" s="1"/>
  <c r="H139" i="22"/>
  <c r="G139" i="22"/>
  <c r="F139" i="22"/>
  <c r="E139" i="22"/>
  <c r="D139" i="22"/>
  <c r="C139" i="22"/>
  <c r="C142" i="22" s="1"/>
  <c r="C29" i="22"/>
  <c r="Q29" i="22" s="1"/>
  <c r="S29" i="22" s="1"/>
  <c r="D65" i="4" s="1"/>
  <c r="C26" i="22"/>
  <c r="E95" i="22" s="1"/>
  <c r="L129" i="22"/>
  <c r="K129" i="22"/>
  <c r="J129" i="22"/>
  <c r="I129" i="22"/>
  <c r="I130" i="22" s="1"/>
  <c r="I133" i="22" s="1"/>
  <c r="H129" i="22"/>
  <c r="G129" i="22"/>
  <c r="G130" i="22" s="1"/>
  <c r="F129" i="22"/>
  <c r="E129" i="22"/>
  <c r="D129" i="22"/>
  <c r="C129" i="22"/>
  <c r="D130" i="22" s="1"/>
  <c r="D128" i="22"/>
  <c r="E128" i="22"/>
  <c r="F128" i="22"/>
  <c r="G128" i="22"/>
  <c r="H128" i="22"/>
  <c r="I128" i="22"/>
  <c r="J128" i="22"/>
  <c r="K128" i="22"/>
  <c r="L128" i="22"/>
  <c r="C128" i="22"/>
  <c r="C24" i="22"/>
  <c r="S22" i="22"/>
  <c r="C126" i="22"/>
  <c r="T22" i="22" s="1"/>
  <c r="E58" i="4" s="1"/>
  <c r="D14" i="10"/>
  <c r="D13" i="10"/>
  <c r="C119" i="22"/>
  <c r="C118" i="22"/>
  <c r="C19" i="22"/>
  <c r="Q19" i="22" s="1"/>
  <c r="L106" i="22"/>
  <c r="L107" i="22" s="1"/>
  <c r="K106" i="22"/>
  <c r="K131" i="22" s="1"/>
  <c r="J106" i="22"/>
  <c r="I106" i="22"/>
  <c r="H106" i="22"/>
  <c r="G106" i="22"/>
  <c r="G107" i="22" s="1"/>
  <c r="F106" i="22"/>
  <c r="F131" i="22" s="1"/>
  <c r="E106" i="22"/>
  <c r="E107" i="22" s="1"/>
  <c r="D106" i="22"/>
  <c r="D107" i="22" s="1"/>
  <c r="C106" i="22"/>
  <c r="C131" i="22" s="1"/>
  <c r="L24" i="22"/>
  <c r="K24" i="22"/>
  <c r="J24" i="22"/>
  <c r="I24" i="22"/>
  <c r="H24" i="22"/>
  <c r="G24" i="22"/>
  <c r="F24" i="22"/>
  <c r="E24" i="22"/>
  <c r="D24" i="22"/>
  <c r="O24" i="22" s="1"/>
  <c r="S24" i="22" s="1"/>
  <c r="D60" i="4" s="1"/>
  <c r="L19" i="22"/>
  <c r="K19" i="22"/>
  <c r="J19" i="22"/>
  <c r="I19" i="22"/>
  <c r="H19" i="22"/>
  <c r="G19" i="22"/>
  <c r="F19" i="22"/>
  <c r="E19" i="22"/>
  <c r="D19" i="22"/>
  <c r="C100" i="22"/>
  <c r="D28" i="4"/>
  <c r="F56" i="4"/>
  <c r="D6" i="4"/>
  <c r="E6" i="4"/>
  <c r="F6" i="4"/>
  <c r="J8" i="4"/>
  <c r="K8" i="4"/>
  <c r="L8" i="4"/>
  <c r="AG9" i="4"/>
  <c r="D100" i="22"/>
  <c r="E100" i="22"/>
  <c r="L29" i="22"/>
  <c r="K29" i="22"/>
  <c r="J29" i="22"/>
  <c r="O29" i="22" s="1"/>
  <c r="I29" i="22"/>
  <c r="H29" i="22"/>
  <c r="G29" i="22"/>
  <c r="F29" i="22"/>
  <c r="E29" i="22"/>
  <c r="C101" i="22" s="1"/>
  <c r="D29" i="22"/>
  <c r="D101" i="22" s="1"/>
  <c r="C28" i="22"/>
  <c r="E98" i="22" s="1"/>
  <c r="D81" i="22"/>
  <c r="E81" i="22"/>
  <c r="E97" i="22" s="1"/>
  <c r="L28" i="22"/>
  <c r="K28" i="22"/>
  <c r="O28" i="22" s="1"/>
  <c r="J28" i="22"/>
  <c r="I28" i="22"/>
  <c r="H28" i="22"/>
  <c r="G28" i="22"/>
  <c r="F28" i="22"/>
  <c r="E28" i="22"/>
  <c r="C98" i="22" s="1"/>
  <c r="D28" i="22"/>
  <c r="D98" i="22" s="1"/>
  <c r="D97" i="22" s="1"/>
  <c r="C81" i="22"/>
  <c r="E78" i="22"/>
  <c r="D78" i="22"/>
  <c r="C78" i="22"/>
  <c r="E76" i="22"/>
  <c r="F76" i="22" s="1"/>
  <c r="D76" i="22"/>
  <c r="C76" i="22"/>
  <c r="L21" i="22"/>
  <c r="K21" i="22"/>
  <c r="J21" i="22"/>
  <c r="I21" i="22"/>
  <c r="H21" i="22"/>
  <c r="G21" i="22"/>
  <c r="F21" i="22"/>
  <c r="E21" i="22"/>
  <c r="D21" i="22"/>
  <c r="P21" i="22" s="1"/>
  <c r="S21" i="22" s="1"/>
  <c r="D57" i="4" s="1"/>
  <c r="C21" i="22"/>
  <c r="J171" i="22"/>
  <c r="G171" i="22"/>
  <c r="K171" i="22"/>
  <c r="H171" i="22"/>
  <c r="I171" i="22"/>
  <c r="E174" i="22"/>
  <c r="C164" i="22"/>
  <c r="C166" i="22" s="1"/>
  <c r="E164" i="22"/>
  <c r="E166" i="22" s="1"/>
  <c r="D174" i="22"/>
  <c r="E140" i="22"/>
  <c r="G140" i="22"/>
  <c r="H140" i="22"/>
  <c r="L140" i="22"/>
  <c r="G146" i="22"/>
  <c r="K148" i="22"/>
  <c r="H148" i="22"/>
  <c r="F148" i="22"/>
  <c r="C107" i="22"/>
  <c r="H107" i="22"/>
  <c r="H142" i="22"/>
  <c r="H131" i="22"/>
  <c r="I107" i="22"/>
  <c r="I131" i="22"/>
  <c r="J107" i="22"/>
  <c r="J131" i="22"/>
  <c r="K107" i="22"/>
  <c r="E130" i="22"/>
  <c r="F130" i="22"/>
  <c r="J130" i="22"/>
  <c r="K130" i="22"/>
  <c r="L130" i="22"/>
  <c r="I132" i="22"/>
  <c r="J132" i="22"/>
  <c r="G26" i="22"/>
  <c r="H69" i="22"/>
  <c r="G69" i="22"/>
  <c r="F69" i="22"/>
  <c r="E69" i="22"/>
  <c r="D69" i="22"/>
  <c r="C69" i="22"/>
  <c r="H68" i="22"/>
  <c r="G68" i="22"/>
  <c r="F68" i="22"/>
  <c r="E68" i="22"/>
  <c r="D68" i="22"/>
  <c r="C68" i="22"/>
  <c r="H67" i="22"/>
  <c r="G67" i="22"/>
  <c r="F67" i="22"/>
  <c r="E67" i="22"/>
  <c r="D67" i="22"/>
  <c r="C67" i="22"/>
  <c r="H66" i="22"/>
  <c r="G66" i="22"/>
  <c r="F66" i="22"/>
  <c r="E66" i="22"/>
  <c r="D66" i="22"/>
  <c r="C66" i="22"/>
  <c r="H65" i="22"/>
  <c r="G65" i="22"/>
  <c r="F65" i="22"/>
  <c r="E65" i="22"/>
  <c r="D65" i="22"/>
  <c r="C65" i="22"/>
  <c r="H64" i="22"/>
  <c r="G64" i="22"/>
  <c r="F64" i="22"/>
  <c r="E64" i="22"/>
  <c r="D64" i="22"/>
  <c r="C64" i="22"/>
  <c r="H63" i="22"/>
  <c r="G63" i="22"/>
  <c r="F63" i="22"/>
  <c r="E63" i="22"/>
  <c r="D63" i="22"/>
  <c r="C63" i="22"/>
  <c r="H62" i="22"/>
  <c r="G62" i="22"/>
  <c r="F62" i="22"/>
  <c r="E62" i="22"/>
  <c r="D62" i="22"/>
  <c r="C62" i="22"/>
  <c r="H61" i="22"/>
  <c r="H74" i="22" s="1"/>
  <c r="G61" i="22"/>
  <c r="F61" i="22"/>
  <c r="F74" i="22" s="1"/>
  <c r="H60" i="22"/>
  <c r="G60" i="22"/>
  <c r="F60" i="22"/>
  <c r="E60" i="22"/>
  <c r="D60" i="22"/>
  <c r="C60" i="22"/>
  <c r="M41" i="22"/>
  <c r="L41" i="22"/>
  <c r="L42" i="22" s="1"/>
  <c r="K41" i="22"/>
  <c r="J41" i="22"/>
  <c r="I41" i="22"/>
  <c r="H41" i="22"/>
  <c r="G41" i="22"/>
  <c r="F41" i="22"/>
  <c r="E41" i="22"/>
  <c r="D41" i="22"/>
  <c r="C41" i="22"/>
  <c r="D42" i="22" s="1"/>
  <c r="N16" i="26"/>
  <c r="O16" i="26" s="1"/>
  <c r="P16" i="26" s="1"/>
  <c r="Q16" i="26" s="1"/>
  <c r="R16" i="26" s="1"/>
  <c r="S16" i="26" s="1"/>
  <c r="T16" i="26" s="1"/>
  <c r="U16" i="26" s="1"/>
  <c r="V16" i="26" s="1"/>
  <c r="W16" i="26" s="1"/>
  <c r="X16" i="26" s="1"/>
  <c r="Y16" i="26" s="1"/>
  <c r="Z16" i="26" s="1"/>
  <c r="AA16" i="26" s="1"/>
  <c r="AB16" i="26" s="1"/>
  <c r="AC16" i="26" s="1"/>
  <c r="AD16" i="26" s="1"/>
  <c r="AE16" i="26" s="1"/>
  <c r="C22" i="26"/>
  <c r="C48" i="22"/>
  <c r="D22" i="26"/>
  <c r="D48" i="22" s="1"/>
  <c r="E22" i="26"/>
  <c r="E48" i="22" s="1"/>
  <c r="C23" i="26"/>
  <c r="C49" i="22"/>
  <c r="D23" i="26"/>
  <c r="D49" i="22"/>
  <c r="E23" i="26"/>
  <c r="E49" i="22"/>
  <c r="C24" i="26"/>
  <c r="C50" i="22"/>
  <c r="D24" i="26"/>
  <c r="D50" i="22" s="1"/>
  <c r="E24" i="26"/>
  <c r="E50" i="22" s="1"/>
  <c r="C25" i="26"/>
  <c r="C51" i="22"/>
  <c r="D25" i="26"/>
  <c r="D51" i="22"/>
  <c r="E25" i="26"/>
  <c r="E51" i="22"/>
  <c r="C26" i="26"/>
  <c r="C52" i="22"/>
  <c r="D26" i="26"/>
  <c r="D52" i="22" s="1"/>
  <c r="E26" i="26"/>
  <c r="E52" i="22" s="1"/>
  <c r="C27" i="26"/>
  <c r="C53" i="22"/>
  <c r="D27" i="26"/>
  <c r="D53" i="22"/>
  <c r="E27" i="26"/>
  <c r="E53" i="22"/>
  <c r="C28" i="26"/>
  <c r="C54" i="22"/>
  <c r="D28" i="26"/>
  <c r="D54" i="22" s="1"/>
  <c r="E28" i="26"/>
  <c r="E54" i="22" s="1"/>
  <c r="C29" i="26"/>
  <c r="C55" i="22"/>
  <c r="D29" i="26"/>
  <c r="D55" i="22"/>
  <c r="E29" i="26"/>
  <c r="E55" i="22"/>
  <c r="D20" i="26"/>
  <c r="D46" i="22"/>
  <c r="C20" i="26"/>
  <c r="C46" i="22" s="1"/>
  <c r="E20" i="26"/>
  <c r="E46" i="22" s="1"/>
  <c r="F3" i="26"/>
  <c r="G3" i="26" s="1"/>
  <c r="H3" i="26" s="1"/>
  <c r="I3" i="26" s="1"/>
  <c r="J3" i="26" s="1"/>
  <c r="K3" i="26" s="1"/>
  <c r="L3" i="26" s="1"/>
  <c r="M3" i="26" s="1"/>
  <c r="N3" i="26" s="1"/>
  <c r="O3" i="26" s="1"/>
  <c r="P3" i="26" s="1"/>
  <c r="Q3" i="26" s="1"/>
  <c r="R3" i="26" s="1"/>
  <c r="S3" i="26" s="1"/>
  <c r="T3" i="26" s="1"/>
  <c r="U3" i="26" s="1"/>
  <c r="V3" i="26" s="1"/>
  <c r="W3" i="26" s="1"/>
  <c r="X3" i="26" s="1"/>
  <c r="Y3" i="26" s="1"/>
  <c r="Z3" i="26" s="1"/>
  <c r="AA3" i="26" s="1"/>
  <c r="AB3" i="26" s="1"/>
  <c r="AC3" i="26" s="1"/>
  <c r="AD3" i="26" s="1"/>
  <c r="AE3" i="26" s="1"/>
  <c r="D3" i="26"/>
  <c r="D37" i="22"/>
  <c r="F37" i="22"/>
  <c r="G37" i="22"/>
  <c r="H37" i="22"/>
  <c r="I37" i="22"/>
  <c r="J37" i="22" s="1"/>
  <c r="K37" i="22" s="1"/>
  <c r="L37" i="22" s="1"/>
  <c r="M37" i="22" s="1"/>
  <c r="N37" i="22" s="1"/>
  <c r="O37" i="22" s="1"/>
  <c r="P37" i="22" s="1"/>
  <c r="Q37" i="22" s="1"/>
  <c r="R37" i="22" s="1"/>
  <c r="S37" i="22" s="1"/>
  <c r="T37" i="22" s="1"/>
  <c r="U37" i="22" s="1"/>
  <c r="V37" i="22" s="1"/>
  <c r="W37" i="22" s="1"/>
  <c r="X37" i="22" s="1"/>
  <c r="Y37" i="22" s="1"/>
  <c r="Z37" i="22" s="1"/>
  <c r="AA37" i="22" s="1"/>
  <c r="AB37" i="22" s="1"/>
  <c r="AC37" i="22" s="1"/>
  <c r="AD37" i="22" s="1"/>
  <c r="AE37" i="22" s="1"/>
  <c r="F50" i="4"/>
  <c r="H6" i="4"/>
  <c r="I6" i="4"/>
  <c r="G42" i="22"/>
  <c r="H42" i="22"/>
  <c r="I42" i="22"/>
  <c r="G74" i="22"/>
  <c r="B54" i="1"/>
  <c r="B53" i="1" s="1"/>
  <c r="B52" i="1" s="1"/>
  <c r="B51" i="1" s="1"/>
  <c r="B50" i="1" s="1"/>
  <c r="B49" i="1" s="1"/>
  <c r="B48" i="1" s="1"/>
  <c r="B47" i="1" s="1"/>
  <c r="B46" i="1" s="1"/>
  <c r="K12" i="17"/>
  <c r="K13" i="17" s="1"/>
  <c r="B12" i="17"/>
  <c r="B13" i="17" s="1"/>
  <c r="F158" i="22"/>
  <c r="F159" i="22" s="1"/>
  <c r="F30" i="22" s="1"/>
  <c r="E158" i="22"/>
  <c r="E159" i="22" s="1"/>
  <c r="E30" i="22" s="1"/>
  <c r="D158" i="22"/>
  <c r="D159" i="22" s="1"/>
  <c r="D30" i="22" s="1"/>
  <c r="C158" i="22"/>
  <c r="C159" i="22" s="1"/>
  <c r="C30" i="22" s="1"/>
  <c r="B22" i="17"/>
  <c r="B76" i="17"/>
  <c r="C49" i="10"/>
  <c r="K5" i="3"/>
  <c r="D39" i="3"/>
  <c r="E2" i="1"/>
  <c r="L2" i="1" s="1" a="1"/>
  <c r="L2" i="1" s="1"/>
  <c r="I19" i="1"/>
  <c r="M107" i="1"/>
  <c r="L107" i="1"/>
  <c r="K107" i="1"/>
  <c r="J107" i="1"/>
  <c r="I107" i="1"/>
  <c r="M21" i="1"/>
  <c r="M23" i="1"/>
  <c r="P18" i="22"/>
  <c r="Q18" i="22"/>
  <c r="T18" i="22" s="1"/>
  <c r="E54" i="4" s="1"/>
  <c r="P19" i="22"/>
  <c r="Q21" i="22"/>
  <c r="P24" i="22"/>
  <c r="Q24" i="22"/>
  <c r="O16" i="22"/>
  <c r="P16" i="22"/>
  <c r="Q16" i="22"/>
  <c r="O19" i="22"/>
  <c r="H23" i="22"/>
  <c r="I23" i="22"/>
  <c r="J23" i="22"/>
  <c r="K23" i="22"/>
  <c r="H26" i="22"/>
  <c r="I26" i="22"/>
  <c r="J26" i="22"/>
  <c r="K26" i="22"/>
  <c r="L26" i="22"/>
  <c r="H27" i="22"/>
  <c r="I27" i="22"/>
  <c r="J27" i="22"/>
  <c r="K27" i="22"/>
  <c r="L27" i="22"/>
  <c r="H9" i="22"/>
  <c r="I9" i="22"/>
  <c r="J9" i="22"/>
  <c r="K9" i="22"/>
  <c r="H10" i="22"/>
  <c r="I10" i="22"/>
  <c r="J10" i="22"/>
  <c r="K10" i="22"/>
  <c r="L10" i="22"/>
  <c r="D23" i="22"/>
  <c r="E23" i="22"/>
  <c r="F23" i="22"/>
  <c r="G23" i="22"/>
  <c r="C97" i="22"/>
  <c r="D26" i="22"/>
  <c r="D95" i="22" s="1"/>
  <c r="E26" i="22"/>
  <c r="C95" i="22" s="1"/>
  <c r="F26" i="22"/>
  <c r="D27" i="22"/>
  <c r="Q27" i="22" s="1"/>
  <c r="E27" i="22"/>
  <c r="F27" i="22"/>
  <c r="G27" i="22"/>
  <c r="F54" i="4"/>
  <c r="F55" i="4"/>
  <c r="F57" i="4"/>
  <c r="F58" i="4"/>
  <c r="F59" i="4"/>
  <c r="F60" i="4"/>
  <c r="F61" i="4"/>
  <c r="F62" i="4"/>
  <c r="F63" i="4"/>
  <c r="F64" i="4"/>
  <c r="F65" i="4"/>
  <c r="F66" i="4"/>
  <c r="F67" i="4"/>
  <c r="F53" i="4"/>
  <c r="E56" i="4"/>
  <c r="D58" i="4"/>
  <c r="D59" i="4"/>
  <c r="E59" i="4"/>
  <c r="D61" i="4"/>
  <c r="E61" i="4"/>
  <c r="E62" i="4"/>
  <c r="E64" i="4"/>
  <c r="D66" i="4"/>
  <c r="E66" i="4"/>
  <c r="D18" i="10"/>
  <c r="E18" i="10"/>
  <c r="F18" i="10"/>
  <c r="G18" i="10"/>
  <c r="H18" i="10"/>
  <c r="B86" i="17"/>
  <c r="S18" i="22"/>
  <c r="D54" i="4"/>
  <c r="G10" i="4" s="1"/>
  <c r="G38" i="4" s="1"/>
  <c r="I27" i="4"/>
  <c r="P28" i="22"/>
  <c r="P29" i="22"/>
  <c r="T29" i="22" s="1"/>
  <c r="E65" i="4" s="1"/>
  <c r="P23" i="22"/>
  <c r="H27" i="4"/>
  <c r="I48" i="10"/>
  <c r="O6" i="3"/>
  <c r="O7" i="3"/>
  <c r="O8" i="3"/>
  <c r="O9" i="3"/>
  <c r="N6" i="3"/>
  <c r="N7" i="3"/>
  <c r="N8" i="3"/>
  <c r="N9" i="3"/>
  <c r="M6" i="3"/>
  <c r="M7" i="3"/>
  <c r="M8" i="3"/>
  <c r="M9" i="3"/>
  <c r="L6" i="3"/>
  <c r="L7" i="3"/>
  <c r="L8" i="3"/>
  <c r="L9" i="3"/>
  <c r="K6" i="3"/>
  <c r="K7" i="3"/>
  <c r="K8" i="3"/>
  <c r="K9" i="3"/>
  <c r="H23" i="4"/>
  <c r="D64" i="4"/>
  <c r="E63" i="4"/>
  <c r="H8" i="10"/>
  <c r="H52" i="10" s="1"/>
  <c r="G8" i="10"/>
  <c r="P4" i="19" s="1"/>
  <c r="F8" i="10"/>
  <c r="O4" i="19" s="1"/>
  <c r="E8" i="10"/>
  <c r="E45" i="10" s="1" a="1"/>
  <c r="E45" i="10" s="1"/>
  <c r="E47" i="10" s="1"/>
  <c r="D8" i="10"/>
  <c r="D45" i="10" s="1" a="1"/>
  <c r="D45" i="10" s="1"/>
  <c r="D47" i="10" s="1"/>
  <c r="C59" i="17"/>
  <c r="D59" i="17"/>
  <c r="E59" i="17"/>
  <c r="F59" i="17"/>
  <c r="F62" i="17" s="1"/>
  <c r="G59" i="17"/>
  <c r="H59" i="17"/>
  <c r="I59" i="17"/>
  <c r="I62" i="17" s="1"/>
  <c r="J59" i="17"/>
  <c r="J62" i="17" s="1"/>
  <c r="K59" i="17"/>
  <c r="L59" i="17"/>
  <c r="M59" i="17"/>
  <c r="M62" i="17" s="1"/>
  <c r="B59" i="17"/>
  <c r="B62" i="17" s="1"/>
  <c r="F66" i="17"/>
  <c r="G66" i="17"/>
  <c r="H66" i="17"/>
  <c r="I66" i="17"/>
  <c r="J66" i="17"/>
  <c r="K66" i="17"/>
  <c r="L66" i="17"/>
  <c r="M66" i="17"/>
  <c r="E46" i="17"/>
  <c r="F46" i="17"/>
  <c r="G46" i="17"/>
  <c r="H46" i="17"/>
  <c r="I46" i="17"/>
  <c r="J46" i="17"/>
  <c r="K46" i="17"/>
  <c r="K49" i="17" s="1"/>
  <c r="L46" i="17"/>
  <c r="M46" i="17"/>
  <c r="D46" i="17"/>
  <c r="E31" i="17"/>
  <c r="E35" i="17" s="1"/>
  <c r="F31" i="17"/>
  <c r="G31" i="17"/>
  <c r="H31" i="17"/>
  <c r="I31" i="17"/>
  <c r="J31" i="17"/>
  <c r="K31" i="17"/>
  <c r="L31" i="17"/>
  <c r="M31" i="17"/>
  <c r="D31" i="17"/>
  <c r="F22" i="1"/>
  <c r="F23" i="1"/>
  <c r="F24" i="1"/>
  <c r="F25" i="1"/>
  <c r="H10" i="10" a="1"/>
  <c r="H10" i="10" s="1"/>
  <c r="B74" i="17"/>
  <c r="F31" i="4" s="1"/>
  <c r="B66" i="17"/>
  <c r="F25" i="4" s="1"/>
  <c r="B46" i="17"/>
  <c r="B49" i="17" s="1"/>
  <c r="B45" i="17"/>
  <c r="B31" i="17"/>
  <c r="B35" i="17" s="1"/>
  <c r="B30" i="17"/>
  <c r="G52" i="10"/>
  <c r="E10" i="22"/>
  <c r="F10" i="22"/>
  <c r="G10" i="22"/>
  <c r="G9" i="22"/>
  <c r="F9" i="22"/>
  <c r="E9" i="22"/>
  <c r="Q9" i="22" s="1"/>
  <c r="D10" i="22"/>
  <c r="D9" i="22"/>
  <c r="C10" i="22"/>
  <c r="O10" i="22" s="1"/>
  <c r="C9" i="22"/>
  <c r="O9" i="22"/>
  <c r="D8" i="22"/>
  <c r="E8" i="22" s="1"/>
  <c r="F8" i="22" s="1"/>
  <c r="G8" i="22" s="1"/>
  <c r="H8" i="22" s="1"/>
  <c r="I8" i="22" s="1"/>
  <c r="J8" i="22" s="1"/>
  <c r="K8" i="22" s="1"/>
  <c r="L8" i="22" s="1"/>
  <c r="M8" i="22" s="1"/>
  <c r="I49" i="10"/>
  <c r="J49" i="10"/>
  <c r="J40" i="1"/>
  <c r="O18" i="3"/>
  <c r="N18" i="3"/>
  <c r="M18" i="3"/>
  <c r="L18" i="3"/>
  <c r="K18" i="3"/>
  <c r="I44" i="10"/>
  <c r="J44" i="10" s="1"/>
  <c r="I46" i="10"/>
  <c r="J46" i="10"/>
  <c r="H22" i="10"/>
  <c r="G22" i="10"/>
  <c r="E22" i="10"/>
  <c r="D22" i="10"/>
  <c r="C76" i="17"/>
  <c r="F53" i="1" s="1"/>
  <c r="D76" i="17"/>
  <c r="F52" i="1" s="1"/>
  <c r="Q53" i="1" s="1"/>
  <c r="E76" i="17"/>
  <c r="F51" i="1"/>
  <c r="F76" i="17"/>
  <c r="F50" i="1" s="1"/>
  <c r="Q50" i="1" s="1"/>
  <c r="G76" i="17"/>
  <c r="F49" i="1" s="1"/>
  <c r="H76" i="17"/>
  <c r="F48" i="1"/>
  <c r="I76" i="17"/>
  <c r="F47" i="1"/>
  <c r="J76" i="17"/>
  <c r="F46" i="1" s="1"/>
  <c r="K76" i="17"/>
  <c r="L76" i="17"/>
  <c r="M76" i="17"/>
  <c r="F54" i="1"/>
  <c r="E28" i="10"/>
  <c r="L6" i="19"/>
  <c r="P9" i="19"/>
  <c r="P8" i="19"/>
  <c r="P7" i="19"/>
  <c r="P6" i="19"/>
  <c r="C22" i="17"/>
  <c r="B21" i="17" s="1"/>
  <c r="D22" i="17"/>
  <c r="E22" i="17"/>
  <c r="F22" i="17"/>
  <c r="G22" i="17"/>
  <c r="H22" i="17"/>
  <c r="I22" i="17"/>
  <c r="J22" i="17"/>
  <c r="K22" i="17"/>
  <c r="L22" i="17"/>
  <c r="K21" i="17" s="1"/>
  <c r="K15" i="16" s="1"/>
  <c r="M22" i="17"/>
  <c r="D21" i="4"/>
  <c r="E21" i="4"/>
  <c r="E22" i="4" s="1"/>
  <c r="D24" i="4"/>
  <c r="D27" i="4"/>
  <c r="K74" i="17"/>
  <c r="L74" i="17"/>
  <c r="M74" i="17"/>
  <c r="J74" i="17"/>
  <c r="E66" i="17"/>
  <c r="E62" i="17"/>
  <c r="G62" i="17"/>
  <c r="H62" i="17"/>
  <c r="F27" i="1"/>
  <c r="F21" i="1"/>
  <c r="E28" i="4"/>
  <c r="F28" i="4"/>
  <c r="D73" i="4"/>
  <c r="E74" i="17"/>
  <c r="F74" i="17"/>
  <c r="G74" i="17"/>
  <c r="H74" i="17"/>
  <c r="I74" i="17"/>
  <c r="F45" i="17"/>
  <c r="C31" i="17"/>
  <c r="D74" i="17"/>
  <c r="D31" i="4" s="1"/>
  <c r="C74" i="17"/>
  <c r="E31" i="4"/>
  <c r="D62" i="17"/>
  <c r="C8" i="19"/>
  <c r="M6" i="19"/>
  <c r="N6" i="19"/>
  <c r="O6" i="19"/>
  <c r="Q6" i="19"/>
  <c r="M7" i="19"/>
  <c r="N7" i="19"/>
  <c r="O7" i="19"/>
  <c r="Q7" i="19"/>
  <c r="M8" i="19"/>
  <c r="N8" i="19"/>
  <c r="O8" i="19"/>
  <c r="Q8" i="19"/>
  <c r="M9" i="19"/>
  <c r="R9" i="19" s="1"/>
  <c r="N9" i="19"/>
  <c r="O9" i="19"/>
  <c r="Q9" i="19"/>
  <c r="L7" i="19"/>
  <c r="L8" i="19"/>
  <c r="L9" i="19"/>
  <c r="L17" i="3"/>
  <c r="M17" i="3"/>
  <c r="N17" i="3"/>
  <c r="O17" i="3"/>
  <c r="L19" i="3"/>
  <c r="M19" i="3"/>
  <c r="N19" i="3"/>
  <c r="O19" i="3"/>
  <c r="L20" i="3"/>
  <c r="M20" i="3"/>
  <c r="N20" i="3"/>
  <c r="O20" i="3"/>
  <c r="K19" i="3"/>
  <c r="K20" i="3"/>
  <c r="K17" i="3"/>
  <c r="O5" i="3"/>
  <c r="N5" i="3"/>
  <c r="M5" i="3"/>
  <c r="L5" i="3"/>
  <c r="C62" i="17"/>
  <c r="D66" i="17"/>
  <c r="D25" i="4" s="1"/>
  <c r="R8" i="19"/>
  <c r="C6" i="19"/>
  <c r="D21" i="3"/>
  <c r="H4" i="4"/>
  <c r="I4" i="4" s="1"/>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G28" i="10"/>
  <c r="D11" i="10"/>
  <c r="E11" i="10"/>
  <c r="F11" i="10"/>
  <c r="G11" i="10"/>
  <c r="H11" i="10"/>
  <c r="E13" i="10"/>
  <c r="F13" i="10"/>
  <c r="G13" i="10"/>
  <c r="H13" i="10"/>
  <c r="E14" i="10"/>
  <c r="F14" i="10"/>
  <c r="G14" i="10"/>
  <c r="H14" i="10"/>
  <c r="D15" i="10"/>
  <c r="E15" i="10"/>
  <c r="F15" i="10"/>
  <c r="G15" i="10"/>
  <c r="H15" i="10"/>
  <c r="D16" i="10"/>
  <c r="E16" i="10"/>
  <c r="F16" i="10"/>
  <c r="G16" i="10"/>
  <c r="H16" i="10"/>
  <c r="D17" i="10"/>
  <c r="E17" i="10"/>
  <c r="F17" i="10"/>
  <c r="G17" i="10"/>
  <c r="H17" i="10"/>
  <c r="D20" i="10"/>
  <c r="E20" i="10"/>
  <c r="F20" i="10"/>
  <c r="G20" i="10"/>
  <c r="H20" i="10"/>
  <c r="D21" i="10"/>
  <c r="E21" i="10"/>
  <c r="F21" i="10"/>
  <c r="H21" i="10"/>
  <c r="D24" i="10"/>
  <c r="E24" i="10"/>
  <c r="F24" i="10"/>
  <c r="G24" i="10"/>
  <c r="H24" i="10"/>
  <c r="D25" i="10"/>
  <c r="E25" i="10"/>
  <c r="F25" i="10"/>
  <c r="G25" i="10"/>
  <c r="H25" i="10"/>
  <c r="D27" i="10"/>
  <c r="E27" i="10"/>
  <c r="F27" i="10"/>
  <c r="G27" i="10"/>
  <c r="H27" i="10"/>
  <c r="D28" i="10"/>
  <c r="F28" i="10"/>
  <c r="H28" i="10"/>
  <c r="D29" i="10"/>
  <c r="E29" i="10"/>
  <c r="F29" i="10"/>
  <c r="G29" i="10"/>
  <c r="H29" i="10"/>
  <c r="D30" i="10"/>
  <c r="E30" i="10"/>
  <c r="F30" i="10"/>
  <c r="G30" i="10"/>
  <c r="H30" i="10"/>
  <c r="D31" i="10"/>
  <c r="E31" i="10"/>
  <c r="F31" i="10"/>
  <c r="G31" i="10"/>
  <c r="H31" i="10"/>
  <c r="C39" i="10"/>
  <c r="I9" i="10"/>
  <c r="I38" i="10"/>
  <c r="C72" i="10"/>
  <c r="C71" i="10"/>
  <c r="C68" i="10"/>
  <c r="C24" i="10" s="1"/>
  <c r="B14" i="3"/>
  <c r="E21" i="3"/>
  <c r="F21" i="3"/>
  <c r="G21" i="3"/>
  <c r="H21" i="3"/>
  <c r="I21" i="3"/>
  <c r="E12" i="3"/>
  <c r="F12" i="3"/>
  <c r="G12" i="3"/>
  <c r="H12" i="3"/>
  <c r="I12" i="3"/>
  <c r="K16" i="3"/>
  <c r="L16" i="3" s="1"/>
  <c r="M16" i="3" s="1"/>
  <c r="N16" i="3" s="1"/>
  <c r="O16" i="3" s="1"/>
  <c r="P16" i="3" s="1"/>
  <c r="K4" i="3"/>
  <c r="L4" i="3" s="1"/>
  <c r="M4" i="3" s="1"/>
  <c r="N4" i="3" s="1"/>
  <c r="O4" i="3" s="1"/>
  <c r="P4" i="3" s="1"/>
  <c r="D16" i="3"/>
  <c r="E16" i="3" s="1"/>
  <c r="F16" i="3" s="1"/>
  <c r="G16" i="3" s="1"/>
  <c r="H16" i="3" s="1"/>
  <c r="I16" i="3" s="1"/>
  <c r="D4" i="3"/>
  <c r="E4" i="3" s="1"/>
  <c r="F4" i="3" s="1"/>
  <c r="G4" i="3" s="1"/>
  <c r="H4" i="3" s="1"/>
  <c r="I4" i="3" s="1"/>
  <c r="M71" i="16"/>
  <c r="L71" i="16"/>
  <c r="K71" i="16"/>
  <c r="J71" i="16"/>
  <c r="I71" i="16"/>
  <c r="H71" i="16"/>
  <c r="G71" i="16"/>
  <c r="F71" i="16"/>
  <c r="E71" i="16"/>
  <c r="D71" i="16"/>
  <c r="C71" i="16"/>
  <c r="B71" i="16"/>
  <c r="M70" i="16"/>
  <c r="L70" i="16"/>
  <c r="K70" i="16"/>
  <c r="J70" i="16"/>
  <c r="I70" i="16"/>
  <c r="H70" i="16"/>
  <c r="G70" i="16"/>
  <c r="F70" i="16"/>
  <c r="E70" i="16"/>
  <c r="D70" i="16"/>
  <c r="C70" i="16"/>
  <c r="B70" i="16"/>
  <c r="M69" i="16"/>
  <c r="L69" i="16"/>
  <c r="K69" i="16"/>
  <c r="J69" i="16"/>
  <c r="I69" i="16"/>
  <c r="H69" i="16"/>
  <c r="G69" i="16"/>
  <c r="F69" i="16"/>
  <c r="E69" i="16"/>
  <c r="D69" i="16"/>
  <c r="C69" i="16"/>
  <c r="B69" i="16"/>
  <c r="M67" i="16"/>
  <c r="L67" i="16"/>
  <c r="K67" i="16"/>
  <c r="J67" i="16"/>
  <c r="I67" i="16"/>
  <c r="H67" i="16"/>
  <c r="G67" i="16"/>
  <c r="F67" i="16"/>
  <c r="E67" i="16"/>
  <c r="D67" i="16"/>
  <c r="C67" i="16"/>
  <c r="B67" i="16"/>
  <c r="M66" i="16"/>
  <c r="L66" i="16"/>
  <c r="K66" i="16"/>
  <c r="J66" i="16"/>
  <c r="I66" i="16"/>
  <c r="H66" i="16"/>
  <c r="G66" i="16"/>
  <c r="F66" i="16"/>
  <c r="E66" i="16"/>
  <c r="D66" i="16"/>
  <c r="C66" i="16"/>
  <c r="B66" i="16"/>
  <c r="B20" i="16"/>
  <c r="M59" i="16"/>
  <c r="L59" i="16"/>
  <c r="K59" i="16"/>
  <c r="J59" i="16"/>
  <c r="I59" i="16"/>
  <c r="H59" i="16"/>
  <c r="G59" i="16"/>
  <c r="F59" i="16"/>
  <c r="E59" i="16"/>
  <c r="D59" i="16"/>
  <c r="C59" i="16"/>
  <c r="B59" i="16"/>
  <c r="M81" i="16"/>
  <c r="L81" i="16"/>
  <c r="K81" i="16"/>
  <c r="J81" i="16"/>
  <c r="I81" i="16"/>
  <c r="H81" i="16"/>
  <c r="G81" i="16"/>
  <c r="F81" i="16"/>
  <c r="E81" i="16"/>
  <c r="D81" i="16"/>
  <c r="C81" i="16"/>
  <c r="B81" i="16"/>
  <c r="M80" i="16"/>
  <c r="L80" i="16"/>
  <c r="K80" i="16"/>
  <c r="J80" i="16"/>
  <c r="I80" i="16"/>
  <c r="H80" i="16"/>
  <c r="G80" i="16"/>
  <c r="F80" i="16"/>
  <c r="E80" i="16"/>
  <c r="D80" i="16"/>
  <c r="C80" i="16"/>
  <c r="B80" i="16"/>
  <c r="M79" i="16"/>
  <c r="L79" i="16"/>
  <c r="K79" i="16"/>
  <c r="J79" i="16"/>
  <c r="I79" i="16"/>
  <c r="H79" i="16"/>
  <c r="G79" i="16"/>
  <c r="F79" i="16"/>
  <c r="E79" i="16"/>
  <c r="D79" i="16"/>
  <c r="C79" i="16"/>
  <c r="M78" i="16"/>
  <c r="L78" i="16"/>
  <c r="K78" i="16"/>
  <c r="J78" i="16"/>
  <c r="I78" i="16"/>
  <c r="H78" i="16"/>
  <c r="G78" i="16"/>
  <c r="F78" i="16"/>
  <c r="E78" i="16"/>
  <c r="D78" i="16"/>
  <c r="C78" i="16"/>
  <c r="M77" i="16"/>
  <c r="L77" i="16"/>
  <c r="K77" i="16"/>
  <c r="J77" i="16"/>
  <c r="I77" i="16"/>
  <c r="H77" i="16"/>
  <c r="G77" i="16"/>
  <c r="F77" i="16"/>
  <c r="E77" i="16"/>
  <c r="D77" i="16"/>
  <c r="C77" i="16"/>
  <c r="M76" i="16"/>
  <c r="L76" i="16"/>
  <c r="K76" i="16"/>
  <c r="J76" i="16"/>
  <c r="I76" i="16"/>
  <c r="H76" i="16"/>
  <c r="G76" i="16"/>
  <c r="F76" i="16"/>
  <c r="E76" i="16"/>
  <c r="D76" i="16"/>
  <c r="C76" i="16"/>
  <c r="B76" i="16"/>
  <c r="M75" i="16"/>
  <c r="L75" i="16"/>
  <c r="K75" i="16"/>
  <c r="J75" i="16"/>
  <c r="I75" i="16"/>
  <c r="H75" i="16"/>
  <c r="G75" i="16"/>
  <c r="F75" i="16"/>
  <c r="E75" i="16"/>
  <c r="D75" i="16"/>
  <c r="C75" i="16"/>
  <c r="B75" i="16"/>
  <c r="M49" i="16"/>
  <c r="L49" i="16"/>
  <c r="J49" i="16"/>
  <c r="I49" i="16"/>
  <c r="H49" i="16"/>
  <c r="G49" i="16"/>
  <c r="F49" i="16"/>
  <c r="E49" i="16"/>
  <c r="D49" i="16"/>
  <c r="B49" i="16"/>
  <c r="C45" i="16"/>
  <c r="D45" i="16"/>
  <c r="E45" i="16"/>
  <c r="F45" i="16"/>
  <c r="G45" i="16"/>
  <c r="H45" i="16"/>
  <c r="I45" i="16"/>
  <c r="J45" i="16"/>
  <c r="K45" i="16"/>
  <c r="L45" i="16"/>
  <c r="M45" i="16"/>
  <c r="B45" i="16"/>
  <c r="M51" i="16"/>
  <c r="L51" i="16"/>
  <c r="K51" i="16"/>
  <c r="J51" i="16"/>
  <c r="I51" i="16"/>
  <c r="H51" i="16"/>
  <c r="G51" i="16"/>
  <c r="F51" i="16"/>
  <c r="E51" i="16"/>
  <c r="D51" i="16"/>
  <c r="C51" i="16"/>
  <c r="B51" i="16"/>
  <c r="M50" i="16"/>
  <c r="L50" i="16"/>
  <c r="K50" i="16"/>
  <c r="J50" i="16"/>
  <c r="I50" i="16"/>
  <c r="H50" i="16"/>
  <c r="G50" i="16"/>
  <c r="F50" i="16"/>
  <c r="E50" i="16"/>
  <c r="D50" i="16"/>
  <c r="C50" i="16"/>
  <c r="B50" i="16"/>
  <c r="M47" i="16"/>
  <c r="L47" i="16"/>
  <c r="K47" i="16"/>
  <c r="K55" i="16" s="1"/>
  <c r="J47" i="16"/>
  <c r="I47" i="16"/>
  <c r="H47" i="16"/>
  <c r="G47" i="16"/>
  <c r="F47" i="16"/>
  <c r="E47" i="16"/>
  <c r="D47" i="16"/>
  <c r="C47" i="16"/>
  <c r="B47" i="16"/>
  <c r="M46" i="16"/>
  <c r="L46" i="16"/>
  <c r="K46" i="16"/>
  <c r="J46" i="16"/>
  <c r="J55" i="16" s="1"/>
  <c r="I46" i="16"/>
  <c r="I55" i="16" s="1"/>
  <c r="J149" i="22" s="1"/>
  <c r="H46" i="16"/>
  <c r="G46" i="16"/>
  <c r="G55" i="16" s="1"/>
  <c r="F46" i="16"/>
  <c r="E46" i="16"/>
  <c r="E55" i="16" s="1"/>
  <c r="D46" i="16"/>
  <c r="C46" i="16"/>
  <c r="B46" i="16"/>
  <c r="B41" i="16"/>
  <c r="C70" i="10"/>
  <c r="M39" i="16"/>
  <c r="L39" i="16"/>
  <c r="K39" i="16"/>
  <c r="J39" i="16"/>
  <c r="I39" i="16"/>
  <c r="H39" i="16"/>
  <c r="G39" i="16"/>
  <c r="F39" i="16"/>
  <c r="E39" i="16"/>
  <c r="D39" i="16"/>
  <c r="C85" i="22"/>
  <c r="C39" i="16"/>
  <c r="D85" i="22"/>
  <c r="B39" i="16"/>
  <c r="M38" i="16"/>
  <c r="L38" i="16"/>
  <c r="K38" i="16"/>
  <c r="J38" i="16"/>
  <c r="I38" i="16"/>
  <c r="H38" i="16"/>
  <c r="G38" i="16"/>
  <c r="F38" i="16"/>
  <c r="E38" i="16"/>
  <c r="D38" i="16"/>
  <c r="C38" i="16"/>
  <c r="B38" i="16"/>
  <c r="C67" i="10" s="1"/>
  <c r="M37" i="16"/>
  <c r="L37" i="16"/>
  <c r="K37" i="16"/>
  <c r="J37" i="16"/>
  <c r="I37" i="16"/>
  <c r="H37" i="16"/>
  <c r="G37" i="16"/>
  <c r="F37" i="16"/>
  <c r="E37" i="16"/>
  <c r="D37" i="16"/>
  <c r="C37" i="16"/>
  <c r="B37" i="16"/>
  <c r="C66" i="10" s="1"/>
  <c r="M36" i="16"/>
  <c r="M23" i="16" s="1"/>
  <c r="M26" i="16" s="1"/>
  <c r="L36" i="16"/>
  <c r="K36" i="16"/>
  <c r="J36" i="16"/>
  <c r="I36" i="16"/>
  <c r="H36" i="16"/>
  <c r="G36" i="16"/>
  <c r="F36" i="16"/>
  <c r="E36" i="16"/>
  <c r="D36" i="16"/>
  <c r="C36" i="16"/>
  <c r="B23" i="16" s="1"/>
  <c r="B26" i="16" s="1"/>
  <c r="B36" i="16"/>
  <c r="C24" i="1" s="1"/>
  <c r="M30" i="16"/>
  <c r="L30" i="16"/>
  <c r="K30" i="16"/>
  <c r="J30" i="16"/>
  <c r="I30" i="16"/>
  <c r="H30" i="16"/>
  <c r="G30" i="16"/>
  <c r="F30" i="16"/>
  <c r="E30" i="16"/>
  <c r="D30" i="16"/>
  <c r="C30" i="16"/>
  <c r="E24" i="4" s="1"/>
  <c r="B30" i="16"/>
  <c r="M29" i="16"/>
  <c r="M31" i="16" s="1"/>
  <c r="L29" i="16"/>
  <c r="K29" i="16"/>
  <c r="K31" i="16" s="1"/>
  <c r="J29" i="16"/>
  <c r="I29" i="16"/>
  <c r="H29" i="16"/>
  <c r="H31" i="16" s="1"/>
  <c r="G29" i="16"/>
  <c r="F29" i="16"/>
  <c r="E29" i="16"/>
  <c r="E31" i="16" s="1"/>
  <c r="D29" i="16"/>
  <c r="C29" i="16"/>
  <c r="B29" i="16"/>
  <c r="F23" i="4"/>
  <c r="M25" i="16"/>
  <c r="L25" i="16"/>
  <c r="K25" i="16"/>
  <c r="K32" i="16" s="1"/>
  <c r="K33" i="16" s="1"/>
  <c r="J25" i="16"/>
  <c r="J32" i="16" s="1"/>
  <c r="J33" i="16" s="1"/>
  <c r="I25" i="16"/>
  <c r="H25" i="16"/>
  <c r="G25" i="16"/>
  <c r="F25" i="16"/>
  <c r="E25" i="16"/>
  <c r="E32" i="16" s="1"/>
  <c r="E33" i="16" s="1"/>
  <c r="D25" i="16"/>
  <c r="D29" i="4" s="1"/>
  <c r="D35" i="4" s="1"/>
  <c r="C25" i="16"/>
  <c r="E29" i="4" s="1"/>
  <c r="B25" i="16"/>
  <c r="F29" i="4" s="1"/>
  <c r="M24" i="16"/>
  <c r="L24" i="16"/>
  <c r="K24" i="16"/>
  <c r="J24" i="16"/>
  <c r="I24" i="16"/>
  <c r="I32" i="16"/>
  <c r="I33" i="16" s="1"/>
  <c r="H24" i="16"/>
  <c r="G24" i="16"/>
  <c r="G32" i="16" s="1"/>
  <c r="F24" i="16"/>
  <c r="F32" i="16" s="1"/>
  <c r="F33" i="16" s="1"/>
  <c r="E24" i="16"/>
  <c r="D24" i="16"/>
  <c r="C24" i="16"/>
  <c r="E30" i="4" s="1"/>
  <c r="B24" i="16"/>
  <c r="M20" i="16"/>
  <c r="L20" i="16"/>
  <c r="K20" i="16"/>
  <c r="J20" i="16"/>
  <c r="I20" i="16"/>
  <c r="I21" i="16" s="1"/>
  <c r="H20" i="16"/>
  <c r="G20" i="16"/>
  <c r="G21" i="16" s="1"/>
  <c r="F20" i="16"/>
  <c r="F21" i="16" s="1"/>
  <c r="E20" i="16"/>
  <c r="E21" i="16" s="1"/>
  <c r="D20" i="16"/>
  <c r="C20" i="16"/>
  <c r="M18" i="16"/>
  <c r="L18" i="16"/>
  <c r="K18" i="16"/>
  <c r="J18" i="16"/>
  <c r="I18" i="16"/>
  <c r="H18" i="16"/>
  <c r="G18" i="16"/>
  <c r="F18" i="16"/>
  <c r="F19" i="16" s="1"/>
  <c r="E18" i="16"/>
  <c r="D18" i="16"/>
  <c r="C18" i="16"/>
  <c r="E16" i="4" s="1"/>
  <c r="B18" i="16"/>
  <c r="C61" i="10" s="1"/>
  <c r="M14" i="16"/>
  <c r="L14" i="16"/>
  <c r="K14" i="16"/>
  <c r="K16" i="16" s="1"/>
  <c r="L151" i="22" s="1"/>
  <c r="J14" i="16"/>
  <c r="I14" i="16"/>
  <c r="H14" i="16"/>
  <c r="G14" i="16"/>
  <c r="F14" i="16"/>
  <c r="F16" i="16" s="1"/>
  <c r="E14" i="16"/>
  <c r="D14" i="16"/>
  <c r="C91" i="22" s="1"/>
  <c r="D9" i="4" s="1"/>
  <c r="C14" i="16"/>
  <c r="D91" i="22" s="1"/>
  <c r="E9" i="4" s="1"/>
  <c r="B14" i="16"/>
  <c r="M12" i="16"/>
  <c r="L12" i="16"/>
  <c r="K12" i="16"/>
  <c r="J12" i="16"/>
  <c r="I12" i="16"/>
  <c r="H12" i="16"/>
  <c r="G12" i="16"/>
  <c r="F12" i="16"/>
  <c r="E12" i="16"/>
  <c r="D12" i="16"/>
  <c r="D14" i="4" s="1"/>
  <c r="C12" i="16"/>
  <c r="E14" i="4" s="1"/>
  <c r="B12" i="16"/>
  <c r="F14" i="4"/>
  <c r="M11" i="16"/>
  <c r="L11" i="16"/>
  <c r="K11" i="16"/>
  <c r="J11" i="16"/>
  <c r="I11" i="16"/>
  <c r="H11" i="16"/>
  <c r="G11" i="16"/>
  <c r="F11" i="16"/>
  <c r="E11" i="16"/>
  <c r="D11" i="16"/>
  <c r="D13" i="4" s="1"/>
  <c r="C11" i="16"/>
  <c r="E13" i="4"/>
  <c r="B11" i="16"/>
  <c r="F13" i="4"/>
  <c r="C8" i="16"/>
  <c r="C16" i="16" s="1"/>
  <c r="D8" i="16"/>
  <c r="D6" i="16" s="1"/>
  <c r="D7" i="16" s="1"/>
  <c r="C73" i="22"/>
  <c r="E8" i="16"/>
  <c r="F8" i="16"/>
  <c r="F9" i="16" s="1"/>
  <c r="G8" i="16"/>
  <c r="G13" i="16" s="1"/>
  <c r="H8" i="16"/>
  <c r="I8" i="16"/>
  <c r="J8" i="16"/>
  <c r="K8" i="16"/>
  <c r="K13" i="16" s="1"/>
  <c r="L8" i="16"/>
  <c r="M8" i="16"/>
  <c r="B8" i="16"/>
  <c r="E73" i="22"/>
  <c r="I8" i="4" s="1"/>
  <c r="I7" i="4" s="1"/>
  <c r="M5" i="16"/>
  <c r="M9" i="16" s="1"/>
  <c r="M10" i="16" s="1"/>
  <c r="L5" i="16"/>
  <c r="K5" i="16"/>
  <c r="J5" i="16"/>
  <c r="I5" i="16"/>
  <c r="H5" i="16"/>
  <c r="G5" i="16"/>
  <c r="F5" i="16"/>
  <c r="E5" i="16"/>
  <c r="D5" i="16"/>
  <c r="C6" i="26"/>
  <c r="C5" i="16"/>
  <c r="C55" i="10" s="1"/>
  <c r="B5" i="16"/>
  <c r="C56" i="10" s="1"/>
  <c r="M12" i="17"/>
  <c r="J12" i="17"/>
  <c r="J13" i="17" s="1"/>
  <c r="I12" i="17"/>
  <c r="I13" i="17" s="1"/>
  <c r="H12" i="17"/>
  <c r="G12" i="17"/>
  <c r="F12" i="17"/>
  <c r="E12" i="17"/>
  <c r="D65" i="16"/>
  <c r="E65" i="16"/>
  <c r="F65" i="16"/>
  <c r="G65" i="16"/>
  <c r="H65" i="16"/>
  <c r="I65" i="16"/>
  <c r="K65" i="16"/>
  <c r="M68" i="16"/>
  <c r="L68" i="16"/>
  <c r="K68" i="16"/>
  <c r="J68" i="16"/>
  <c r="I68" i="16"/>
  <c r="H68" i="16"/>
  <c r="G68" i="16"/>
  <c r="F68" i="16"/>
  <c r="E68" i="16"/>
  <c r="D68" i="16"/>
  <c r="C68" i="16"/>
  <c r="B68" i="16"/>
  <c r="B64" i="16"/>
  <c r="M72" i="16"/>
  <c r="L72" i="16"/>
  <c r="K72" i="16"/>
  <c r="J72" i="16"/>
  <c r="I72" i="16"/>
  <c r="H72" i="16"/>
  <c r="G72" i="16"/>
  <c r="F72" i="16"/>
  <c r="E72" i="16"/>
  <c r="D72" i="16"/>
  <c r="C72" i="16"/>
  <c r="M64" i="16"/>
  <c r="J64" i="16"/>
  <c r="I64" i="16"/>
  <c r="H64" i="16"/>
  <c r="G64" i="16"/>
  <c r="F64" i="16"/>
  <c r="E64" i="16"/>
  <c r="D64" i="16"/>
  <c r="C64" i="16"/>
  <c r="C35" i="17"/>
  <c r="C36" i="17" s="1"/>
  <c r="C40" i="16" s="1"/>
  <c r="C30" i="17"/>
  <c r="D30" i="17"/>
  <c r="E30" i="17"/>
  <c r="E36" i="17" s="1"/>
  <c r="E40" i="16" s="1"/>
  <c r="F30" i="17"/>
  <c r="G30" i="17"/>
  <c r="H30" i="17"/>
  <c r="I30" i="17"/>
  <c r="J30" i="17"/>
  <c r="K30" i="17"/>
  <c r="L30" i="17"/>
  <c r="L36" i="17" s="1"/>
  <c r="L40" i="16" s="1"/>
  <c r="M30" i="17"/>
  <c r="C41" i="16"/>
  <c r="B53" i="16"/>
  <c r="D49" i="17"/>
  <c r="D52" i="16" s="1"/>
  <c r="E49" i="17"/>
  <c r="E52" i="16" s="1"/>
  <c r="F49" i="17"/>
  <c r="F52" i="16" s="1"/>
  <c r="G49" i="17"/>
  <c r="G52" i="16" s="1"/>
  <c r="H49" i="17"/>
  <c r="I49" i="17"/>
  <c r="I52" i="16" s="1"/>
  <c r="J49" i="17"/>
  <c r="L49" i="17"/>
  <c r="L52" i="16" s="1"/>
  <c r="M49" i="17"/>
  <c r="M52" i="16"/>
  <c r="B52" i="16"/>
  <c r="C45" i="17"/>
  <c r="C48" i="16"/>
  <c r="D45" i="17"/>
  <c r="D48" i="16" s="1"/>
  <c r="E45" i="17"/>
  <c r="E48" i="16" s="1"/>
  <c r="G45" i="17"/>
  <c r="H45" i="17"/>
  <c r="H48" i="16" s="1"/>
  <c r="I45" i="17"/>
  <c r="J45" i="17"/>
  <c r="J48" i="16"/>
  <c r="K45" i="17"/>
  <c r="K48" i="16" s="1"/>
  <c r="L45" i="17"/>
  <c r="M45" i="17"/>
  <c r="M48" i="16" s="1"/>
  <c r="B48" i="16"/>
  <c r="AB37" i="17"/>
  <c r="D92" i="22"/>
  <c r="C92" i="22"/>
  <c r="E92" i="22"/>
  <c r="J20" i="22"/>
  <c r="L20" i="22"/>
  <c r="B20" i="3"/>
  <c r="H30" i="1" s="1"/>
  <c r="B18" i="3"/>
  <c r="H28" i="1" s="1"/>
  <c r="B19" i="3"/>
  <c r="H29" i="1" s="1"/>
  <c r="C62" i="10"/>
  <c r="B17" i="3"/>
  <c r="I43" i="10"/>
  <c r="J43" i="10" s="1"/>
  <c r="D30" i="4"/>
  <c r="H10" i="4"/>
  <c r="G46" i="4"/>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C60" i="10"/>
  <c r="M12" i="3"/>
  <c r="L12" i="3"/>
  <c r="O21" i="3"/>
  <c r="N21" i="3"/>
  <c r="M21" i="3"/>
  <c r="L21" i="3"/>
  <c r="K21" i="3"/>
  <c r="N12" i="3"/>
  <c r="O12" i="3"/>
  <c r="D12" i="17"/>
  <c r="D13" i="17" s="1"/>
  <c r="C12" i="17"/>
  <c r="C13" i="17" s="1"/>
  <c r="F17" i="4"/>
  <c r="E5" i="4"/>
  <c r="L48" i="16"/>
  <c r="F48" i="16"/>
  <c r="J21" i="16"/>
  <c r="H52" i="16"/>
  <c r="J52" i="16"/>
  <c r="G48" i="16"/>
  <c r="I48" i="16"/>
  <c r="I9" i="16"/>
  <c r="F13" i="16"/>
  <c r="I19" i="16"/>
  <c r="K9" i="16"/>
  <c r="B2" i="3"/>
  <c r="C5" i="17"/>
  <c r="D5" i="17" s="1"/>
  <c r="B4" i="16"/>
  <c r="B88" i="16" s="1"/>
  <c r="L46" i="1"/>
  <c r="M46" i="1" s="1"/>
  <c r="I26" i="10"/>
  <c r="C12" i="19"/>
  <c r="C13" i="19"/>
  <c r="C14" i="19"/>
  <c r="C15" i="19"/>
  <c r="C16" i="19"/>
  <c r="C17" i="19"/>
  <c r="C18" i="19"/>
  <c r="C19" i="19"/>
  <c r="C20" i="19"/>
  <c r="C21" i="19"/>
  <c r="C22" i="19"/>
  <c r="C7" i="19"/>
  <c r="C9" i="19"/>
  <c r="C10" i="19"/>
  <c r="I12" i="10"/>
  <c r="M21" i="17"/>
  <c r="M15" i="16" s="1"/>
  <c r="AD52" i="17"/>
  <c r="AC52" i="17"/>
  <c r="AD51" i="17"/>
  <c r="AC51" i="17"/>
  <c r="AG48" i="17"/>
  <c r="AG51" i="17" s="1"/>
  <c r="AF48" i="17"/>
  <c r="AE48" i="17"/>
  <c r="AB48" i="17"/>
  <c r="AB51" i="17" s="1"/>
  <c r="AA48" i="17"/>
  <c r="AA51" i="17"/>
  <c r="Z48" i="17"/>
  <c r="E55" i="17"/>
  <c r="E61" i="16" s="1"/>
  <c r="AD47" i="17"/>
  <c r="AC47" i="17"/>
  <c r="AB47" i="17"/>
  <c r="AA47" i="17"/>
  <c r="Z47" i="17"/>
  <c r="AG43" i="17"/>
  <c r="AG47" i="17" s="1"/>
  <c r="AF43" i="17"/>
  <c r="AF47" i="17"/>
  <c r="AE43" i="17"/>
  <c r="AE47" i="17"/>
  <c r="AG38" i="17"/>
  <c r="AF38" i="17"/>
  <c r="AE38" i="17"/>
  <c r="AD38" i="17"/>
  <c r="AC38" i="17"/>
  <c r="AB30" i="17"/>
  <c r="AA30" i="17"/>
  <c r="AA38" i="17" s="1"/>
  <c r="Z30" i="17"/>
  <c r="Z38" i="17" s="1"/>
  <c r="H13" i="17"/>
  <c r="G13" i="17"/>
  <c r="F13" i="17"/>
  <c r="E13" i="17"/>
  <c r="AA24" i="17"/>
  <c r="O73" i="17"/>
  <c r="AE11" i="17"/>
  <c r="AG10" i="17"/>
  <c r="AF10" i="17"/>
  <c r="AE10" i="17"/>
  <c r="AD10" i="17"/>
  <c r="AD12" i="17" s="1"/>
  <c r="AD13" i="17" s="1"/>
  <c r="L21" i="17"/>
  <c r="L15" i="16" s="1"/>
  <c r="H21" i="17"/>
  <c r="H15" i="16" s="1"/>
  <c r="D21" i="17"/>
  <c r="J21" i="17"/>
  <c r="J15" i="16" s="1"/>
  <c r="G21" i="17"/>
  <c r="G15" i="16" s="1"/>
  <c r="F21" i="17"/>
  <c r="F15" i="16" s="1"/>
  <c r="E21" i="17"/>
  <c r="E15" i="16" s="1"/>
  <c r="C21" i="17"/>
  <c r="C15" i="16" s="1"/>
  <c r="AG8" i="17"/>
  <c r="AF8" i="17"/>
  <c r="AD8" i="17"/>
  <c r="AC8" i="17"/>
  <c r="AB8" i="17"/>
  <c r="AA8" i="17"/>
  <c r="Z8" i="17"/>
  <c r="AG9" i="17"/>
  <c r="AF9" i="17"/>
  <c r="AE9" i="17"/>
  <c r="AE12" i="17" s="1"/>
  <c r="AE13" i="17" s="1"/>
  <c r="AD9" i="17"/>
  <c r="AC9" i="17"/>
  <c r="AB9" i="17"/>
  <c r="AA9" i="17"/>
  <c r="Z9" i="17"/>
  <c r="AG7" i="17"/>
  <c r="AF7" i="17"/>
  <c r="AE7" i="17"/>
  <c r="AD7" i="17"/>
  <c r="AC7" i="17"/>
  <c r="AC12" i="17" s="1"/>
  <c r="AC13" i="17" s="1"/>
  <c r="AB7" i="17"/>
  <c r="AB12" i="17" s="1"/>
  <c r="AB13" i="17" s="1"/>
  <c r="AA7" i="17"/>
  <c r="AA12" i="17" s="1"/>
  <c r="AA13" i="17" s="1"/>
  <c r="Z7" i="17"/>
  <c r="A2" i="16"/>
  <c r="A1" i="16"/>
  <c r="D12" i="3"/>
  <c r="B10" i="3" s="1"/>
  <c r="P17" i="22"/>
  <c r="Q17" i="22"/>
  <c r="O17" i="22"/>
  <c r="B6" i="3"/>
  <c r="H22" i="1"/>
  <c r="B7" i="3"/>
  <c r="B8" i="3"/>
  <c r="H24" i="1" s="1"/>
  <c r="B9" i="3"/>
  <c r="H25" i="1" s="1"/>
  <c r="C86" i="17"/>
  <c r="B5" i="3"/>
  <c r="K12" i="3"/>
  <c r="F5" i="4"/>
  <c r="L54" i="1"/>
  <c r="L52" i="1"/>
  <c r="K23" i="1"/>
  <c r="E21" i="1"/>
  <c r="D53" i="16"/>
  <c r="B15" i="16"/>
  <c r="G53" i="16"/>
  <c r="J53" i="16"/>
  <c r="E53" i="16"/>
  <c r="B77" i="16"/>
  <c r="B61" i="16"/>
  <c r="C74" i="10" s="1"/>
  <c r="H53" i="16"/>
  <c r="B79" i="16"/>
  <c r="B78" i="16"/>
  <c r="L53" i="16"/>
  <c r="M53" i="16"/>
  <c r="F53" i="16"/>
  <c r="I53" i="16"/>
  <c r="D15" i="16"/>
  <c r="AB52" i="17"/>
  <c r="AA52" i="17"/>
  <c r="AE51" i="17"/>
  <c r="C4" i="16"/>
  <c r="D4" i="16"/>
  <c r="I39" i="10"/>
  <c r="J39" i="10" s="1"/>
  <c r="I50" i="10"/>
  <c r="J50" i="10"/>
  <c r="M42" i="1"/>
  <c r="M40" i="1"/>
  <c r="H21" i="1"/>
  <c r="I24" i="10"/>
  <c r="J24" i="10" s="1"/>
  <c r="I19" i="10"/>
  <c r="K6" i="16"/>
  <c r="K7" i="16"/>
  <c r="I6" i="16"/>
  <c r="I7" i="16"/>
  <c r="C88" i="16"/>
  <c r="F23" i="16"/>
  <c r="I57" i="16"/>
  <c r="L31" i="16"/>
  <c r="E23" i="16"/>
  <c r="M32" i="16"/>
  <c r="C32" i="16"/>
  <c r="G16" i="16"/>
  <c r="E6" i="16"/>
  <c r="E7" i="16" s="1"/>
  <c r="D5" i="4"/>
  <c r="L6" i="16"/>
  <c r="L7" i="16" s="1"/>
  <c r="G31" i="16"/>
  <c r="F6" i="16"/>
  <c r="F7" i="16" s="1"/>
  <c r="F31" i="16"/>
  <c r="I32" i="10"/>
  <c r="Q52" i="1"/>
  <c r="Q48" i="1"/>
  <c r="F55" i="1"/>
  <c r="F58" i="1"/>
  <c r="Q49" i="1"/>
  <c r="Q54" i="1"/>
  <c r="F35" i="17"/>
  <c r="F36" i="17" s="1"/>
  <c r="F40" i="16" s="1"/>
  <c r="J55" i="17"/>
  <c r="J61" i="16" s="1"/>
  <c r="J35" i="17"/>
  <c r="J36" i="17" s="1"/>
  <c r="M41" i="16"/>
  <c r="M35" i="17"/>
  <c r="I41" i="16"/>
  <c r="I35" i="17"/>
  <c r="E41" i="16"/>
  <c r="G35" i="17"/>
  <c r="G36" i="17"/>
  <c r="G40" i="16" s="1"/>
  <c r="K35" i="17"/>
  <c r="K36" i="17" s="1"/>
  <c r="K40" i="16" s="1"/>
  <c r="H55" i="17"/>
  <c r="H61" i="16" s="1"/>
  <c r="H35" i="17"/>
  <c r="H36" i="17" s="1"/>
  <c r="H40" i="16" s="1"/>
  <c r="L41" i="16"/>
  <c r="L35" i="17"/>
  <c r="G55" i="17"/>
  <c r="G61" i="16" s="1"/>
  <c r="J41" i="16"/>
  <c r="J40" i="16"/>
  <c r="M55" i="17"/>
  <c r="M61" i="16" s="1"/>
  <c r="F55" i="17"/>
  <c r="K41" i="16"/>
  <c r="F41" i="16"/>
  <c r="G41" i="16"/>
  <c r="G56" i="16" s="1"/>
  <c r="H41" i="16"/>
  <c r="L55" i="17"/>
  <c r="I55" i="17"/>
  <c r="I61" i="16" s="1"/>
  <c r="F61" i="16"/>
  <c r="L61" i="16"/>
  <c r="D35" i="17"/>
  <c r="D36" i="17" s="1"/>
  <c r="D40" i="16" s="1"/>
  <c r="D55" i="17"/>
  <c r="D61" i="16" s="1"/>
  <c r="C55" i="17"/>
  <c r="C61" i="16" s="1"/>
  <c r="C53" i="16"/>
  <c r="C46" i="17"/>
  <c r="C49" i="17"/>
  <c r="C52" i="16" s="1"/>
  <c r="D41" i="16"/>
  <c r="C49" i="16"/>
  <c r="B65" i="16"/>
  <c r="L49" i="1" s="1"/>
  <c r="B72" i="16"/>
  <c r="C65" i="16"/>
  <c r="M49" i="1" s="1"/>
  <c r="C66" i="17"/>
  <c r="E25" i="4" s="1"/>
  <c r="K55" i="17"/>
  <c r="K53" i="16"/>
  <c r="K49" i="16"/>
  <c r="K52" i="16"/>
  <c r="K61" i="16"/>
  <c r="H38" i="4"/>
  <c r="I10" i="4" s="1"/>
  <c r="H39" i="4"/>
  <c r="K62" i="17"/>
  <c r="K64" i="16"/>
  <c r="L62" i="17"/>
  <c r="L64" i="16"/>
  <c r="J65" i="16"/>
  <c r="L65" i="16"/>
  <c r="M65" i="16"/>
  <c r="I5" i="4"/>
  <c r="F45" i="4"/>
  <c r="F46" i="4"/>
  <c r="F47" i="4"/>
  <c r="I23" i="4"/>
  <c r="I21" i="4"/>
  <c r="H28" i="4"/>
  <c r="I28" i="4"/>
  <c r="F26" i="26"/>
  <c r="F52" i="22" s="1"/>
  <c r="F22" i="26"/>
  <c r="F21" i="26"/>
  <c r="F24" i="26"/>
  <c r="F50" i="22" s="1"/>
  <c r="F23" i="26"/>
  <c r="F49" i="22"/>
  <c r="F28" i="26"/>
  <c r="F27" i="26"/>
  <c r="F20" i="26"/>
  <c r="F25" i="26"/>
  <c r="F51" i="22" s="1"/>
  <c r="F15" i="26"/>
  <c r="F70" i="22" s="1"/>
  <c r="F29" i="26"/>
  <c r="F55" i="22" s="1"/>
  <c r="H27" i="26"/>
  <c r="H53" i="22" s="1"/>
  <c r="H21" i="26"/>
  <c r="H47" i="22" s="1"/>
  <c r="H22" i="26"/>
  <c r="H28" i="26"/>
  <c r="H54" i="22" s="1"/>
  <c r="H29" i="26"/>
  <c r="H55" i="22" s="1"/>
  <c r="H24" i="26"/>
  <c r="H25" i="26"/>
  <c r="H51" i="22" s="1"/>
  <c r="H20" i="26"/>
  <c r="H23" i="26"/>
  <c r="H49" i="22" s="1"/>
  <c r="H15" i="26"/>
  <c r="H70" i="22" s="1"/>
  <c r="H26" i="26"/>
  <c r="H52" i="22" s="1"/>
  <c r="G22" i="26"/>
  <c r="G48" i="22"/>
  <c r="G21" i="26"/>
  <c r="G47" i="22"/>
  <c r="G25" i="26"/>
  <c r="G23" i="26"/>
  <c r="G49" i="22" s="1"/>
  <c r="G28" i="26"/>
  <c r="G54" i="22"/>
  <c r="G29" i="26"/>
  <c r="G55" i="22" s="1"/>
  <c r="G26" i="26"/>
  <c r="G24" i="26"/>
  <c r="G50" i="22"/>
  <c r="G20" i="26"/>
  <c r="G46" i="22" s="1"/>
  <c r="G15" i="26"/>
  <c r="G27" i="26"/>
  <c r="G53" i="22"/>
  <c r="H30" i="26"/>
  <c r="H56" i="22" s="1"/>
  <c r="G30" i="26"/>
  <c r="G56" i="22" s="1"/>
  <c r="G70" i="22"/>
  <c r="J28" i="4"/>
  <c r="K28" i="4"/>
  <c r="L28" i="4"/>
  <c r="M28" i="4"/>
  <c r="N28" i="4"/>
  <c r="O28" i="4"/>
  <c r="P28" i="4"/>
  <c r="Q28" i="4"/>
  <c r="R28" i="4"/>
  <c r="S28" i="4"/>
  <c r="T28" i="4"/>
  <c r="U28" i="4"/>
  <c r="V28" i="4"/>
  <c r="W28" i="4"/>
  <c r="X28" i="4"/>
  <c r="Y28" i="4"/>
  <c r="Z28" i="4"/>
  <c r="AA28" i="4"/>
  <c r="AB28" i="4"/>
  <c r="AC28" i="4"/>
  <c r="AD28" i="4"/>
  <c r="AE28" i="4"/>
  <c r="AF28" i="4"/>
  <c r="H9" i="16" l="1"/>
  <c r="H16" i="16"/>
  <c r="F17" i="16"/>
  <c r="G151" i="22"/>
  <c r="C11" i="10"/>
  <c r="I11" i="10" s="1"/>
  <c r="J11" i="10" s="1"/>
  <c r="C16" i="10"/>
  <c r="I16" i="10" s="1"/>
  <c r="B6" i="16"/>
  <c r="B7" i="16" s="1"/>
  <c r="F30" i="26"/>
  <c r="F56" i="22" s="1"/>
  <c r="E9" i="16"/>
  <c r="E10" i="16" s="1"/>
  <c r="E16" i="16"/>
  <c r="E13" i="16"/>
  <c r="D19" i="16"/>
  <c r="D16" i="4"/>
  <c r="S19" i="22"/>
  <c r="D55" i="4" s="1"/>
  <c r="I11" i="4" s="1"/>
  <c r="I20" i="4" s="1"/>
  <c r="T19" i="22"/>
  <c r="E55" i="4" s="1"/>
  <c r="F54" i="22"/>
  <c r="I28" i="26"/>
  <c r="F57" i="1"/>
  <c r="C28" i="10"/>
  <c r="F56" i="1"/>
  <c r="G9" i="16"/>
  <c r="E23" i="4"/>
  <c r="E26" i="4" s="1"/>
  <c r="E34" i="4" s="1"/>
  <c r="M50" i="1"/>
  <c r="D16" i="16"/>
  <c r="D9" i="16"/>
  <c r="D10" i="16" s="1"/>
  <c r="B9" i="16"/>
  <c r="E26" i="16"/>
  <c r="G6" i="16"/>
  <c r="G7" i="16" s="1"/>
  <c r="G33" i="16"/>
  <c r="Q51" i="1"/>
  <c r="AE52" i="17"/>
  <c r="F8" i="4"/>
  <c r="F7" i="4" s="1"/>
  <c r="F78" i="22"/>
  <c r="F81" i="22" s="1"/>
  <c r="G13" i="4"/>
  <c r="M6" i="16"/>
  <c r="M7" i="16" s="1"/>
  <c r="AG12" i="17"/>
  <c r="AG13" i="17" s="1"/>
  <c r="C59" i="10"/>
  <c r="C15" i="10" s="1"/>
  <c r="F16" i="4"/>
  <c r="C65" i="10"/>
  <c r="D23" i="4"/>
  <c r="D26" i="4" s="1"/>
  <c r="D34" i="4" s="1"/>
  <c r="D36" i="4" s="1"/>
  <c r="D31" i="16"/>
  <c r="E5" i="17"/>
  <c r="F5" i="17" s="1"/>
  <c r="G5" i="17" s="1"/>
  <c r="H5" i="17" s="1"/>
  <c r="I5" i="17" s="1"/>
  <c r="J5" i="17" s="1"/>
  <c r="K5" i="17" s="1"/>
  <c r="L5" i="17" s="1"/>
  <c r="M5" i="17" s="1"/>
  <c r="D86" i="17"/>
  <c r="M21" i="16"/>
  <c r="M22" i="16" s="1"/>
  <c r="J31" i="16"/>
  <c r="J23" i="16"/>
  <c r="I23" i="16"/>
  <c r="I26" i="16" s="1"/>
  <c r="F149" i="22"/>
  <c r="F150" i="22" s="1"/>
  <c r="E56" i="16"/>
  <c r="H13" i="16"/>
  <c r="L32" i="16"/>
  <c r="F55" i="16"/>
  <c r="M51" i="1"/>
  <c r="D32" i="4"/>
  <c r="M19" i="16"/>
  <c r="G10" i="16"/>
  <c r="C57" i="10"/>
  <c r="B21" i="16"/>
  <c r="E6" i="26"/>
  <c r="E21" i="26" s="1"/>
  <c r="F22" i="16"/>
  <c r="Z51" i="17"/>
  <c r="Z52" i="17"/>
  <c r="F26" i="16"/>
  <c r="F10" i="16"/>
  <c r="D32" i="16"/>
  <c r="C8" i="10"/>
  <c r="C45" i="10" s="1" a="1"/>
  <c r="C45" i="10" s="1"/>
  <c r="C47" i="10" s="1"/>
  <c r="E52" i="10"/>
  <c r="P26" i="22"/>
  <c r="M42" i="22"/>
  <c r="F171" i="22"/>
  <c r="D142" i="22"/>
  <c r="H76" i="22"/>
  <c r="H78" i="22" s="1"/>
  <c r="H81" i="22" s="1"/>
  <c r="F140" i="22"/>
  <c r="F146" i="22"/>
  <c r="C179" i="22"/>
  <c r="R7" i="19"/>
  <c r="Q4" i="19"/>
  <c r="P9" i="22"/>
  <c r="G76" i="22"/>
  <c r="J166" i="22"/>
  <c r="E19" i="16"/>
  <c r="C31" i="10"/>
  <c r="I31" i="10" s="1"/>
  <c r="J31" i="10" s="1"/>
  <c r="L55" i="16"/>
  <c r="L57" i="16" s="1"/>
  <c r="K17" i="16"/>
  <c r="AF12" i="17"/>
  <c r="AF13" i="17" s="1"/>
  <c r="AB38" i="17"/>
  <c r="B11" i="3"/>
  <c r="B12" i="3" s="1"/>
  <c r="C54" i="10"/>
  <c r="F15" i="4"/>
  <c r="L16" i="16"/>
  <c r="L17" i="16" s="1"/>
  <c r="B55" i="16"/>
  <c r="I36" i="17"/>
  <c r="I40" i="16" s="1"/>
  <c r="M55" i="1"/>
  <c r="H6" i="16"/>
  <c r="H7" i="16" s="1"/>
  <c r="B13" i="16"/>
  <c r="K24" i="1" s="1"/>
  <c r="M16" i="16"/>
  <c r="M17" i="16" s="1"/>
  <c r="G23" i="16"/>
  <c r="G26" i="16" s="1"/>
  <c r="C55" i="16"/>
  <c r="P10" i="22"/>
  <c r="K132" i="22"/>
  <c r="K133" i="22" s="1"/>
  <c r="D173" i="22"/>
  <c r="D178" i="22" s="1"/>
  <c r="D179" i="22" s="1"/>
  <c r="I56" i="16"/>
  <c r="AG52" i="17"/>
  <c r="Z12" i="17"/>
  <c r="Z13" i="17" s="1"/>
  <c r="B16" i="16"/>
  <c r="I31" i="16"/>
  <c r="D55" i="16"/>
  <c r="D57" i="16" s="1"/>
  <c r="P27" i="22"/>
  <c r="Q23" i="22"/>
  <c r="F42" i="22"/>
  <c r="H130" i="22"/>
  <c r="Q10" i="22"/>
  <c r="J133" i="22"/>
  <c r="G131" i="22"/>
  <c r="H132" i="22" s="1"/>
  <c r="O21" i="22"/>
  <c r="T21" i="22" s="1"/>
  <c r="E57" i="4" s="1"/>
  <c r="J178" i="22"/>
  <c r="J179" i="22" s="1"/>
  <c r="H94" i="22"/>
  <c r="R6" i="19"/>
  <c r="B17" i="1" a="1"/>
  <c r="B17" i="1" s="1"/>
  <c r="G142" i="22"/>
  <c r="J140" i="22"/>
  <c r="I179" i="22"/>
  <c r="L13" i="17"/>
  <c r="E131" i="22"/>
  <c r="F132" i="22" s="1"/>
  <c r="F133" i="22" s="1"/>
  <c r="D140" i="22"/>
  <c r="K140" i="22"/>
  <c r="H45" i="10" a="1"/>
  <c r="H45" i="10" s="1"/>
  <c r="H47" i="10" s="1"/>
  <c r="H71" i="22"/>
  <c r="K42" i="22"/>
  <c r="L164" i="22"/>
  <c r="L166" i="22" s="1"/>
  <c r="O23" i="22"/>
  <c r="C171" i="22"/>
  <c r="D40" i="4"/>
  <c r="I21" i="17"/>
  <c r="I15" i="16" s="1"/>
  <c r="H17" i="16"/>
  <c r="I151" i="22"/>
  <c r="N4" i="19"/>
  <c r="H55" i="16"/>
  <c r="I149" i="22" s="1"/>
  <c r="H19" i="16"/>
  <c r="C52" i="10"/>
  <c r="E10" i="10" a="1"/>
  <c r="E10" i="10" s="1"/>
  <c r="E35" i="10" s="1"/>
  <c r="H10" i="16"/>
  <c r="H23" i="16"/>
  <c r="H26" i="16" s="1"/>
  <c r="H27" i="16" s="1"/>
  <c r="H28" i="16" s="1"/>
  <c r="I20" i="22"/>
  <c r="H32" i="16"/>
  <c r="H33" i="16" s="1"/>
  <c r="M4" i="19"/>
  <c r="D52" i="10"/>
  <c r="D10" i="10" a="1"/>
  <c r="D10" i="10" s="1"/>
  <c r="F52" i="10"/>
  <c r="G107" i="1"/>
  <c r="F10" i="10" a="1"/>
  <c r="F10" i="10" s="1"/>
  <c r="F34" i="10" s="1"/>
  <c r="M22" i="1" a="1"/>
  <c r="M22" i="1" s="1"/>
  <c r="C40" i="10" s="1"/>
  <c r="I22" i="26"/>
  <c r="F48" i="22"/>
  <c r="H48" i="22"/>
  <c r="I20" i="26"/>
  <c r="F46" i="22"/>
  <c r="F31" i="26"/>
  <c r="K20" i="26"/>
  <c r="J20" i="26"/>
  <c r="G51" i="22"/>
  <c r="J25" i="26"/>
  <c r="I25" i="26"/>
  <c r="F53" i="22"/>
  <c r="I27" i="26"/>
  <c r="J27" i="26" s="1"/>
  <c r="I23" i="26"/>
  <c r="G52" i="22"/>
  <c r="H151" i="22"/>
  <c r="G17" i="16"/>
  <c r="H23" i="1"/>
  <c r="E17" i="4"/>
  <c r="D20" i="22"/>
  <c r="D79" i="22" s="1"/>
  <c r="C21" i="16"/>
  <c r="B22" i="16" s="1"/>
  <c r="M47" i="1"/>
  <c r="D43" i="4"/>
  <c r="D23" i="16"/>
  <c r="D26" i="16" s="1"/>
  <c r="D27" i="16" s="1"/>
  <c r="D28" i="16" s="1"/>
  <c r="C23" i="16"/>
  <c r="C26" i="16" s="1"/>
  <c r="K23" i="16"/>
  <c r="K26" i="16" s="1"/>
  <c r="L23" i="16"/>
  <c r="L26" i="16" s="1"/>
  <c r="H31" i="22"/>
  <c r="G57" i="16"/>
  <c r="H149" i="22"/>
  <c r="C57" i="16"/>
  <c r="C56" i="16"/>
  <c r="D149" i="22"/>
  <c r="E44" i="4"/>
  <c r="D31" i="22"/>
  <c r="L149" i="22"/>
  <c r="L152" i="22" s="1"/>
  <c r="L31" i="22"/>
  <c r="K57" i="16"/>
  <c r="K56" i="16"/>
  <c r="G19" i="16"/>
  <c r="H20" i="22"/>
  <c r="D17" i="4"/>
  <c r="D21" i="16"/>
  <c r="D22" i="16" s="1"/>
  <c r="E20" i="22"/>
  <c r="C79" i="22" s="1"/>
  <c r="D33" i="16"/>
  <c r="L21" i="16"/>
  <c r="L22" i="16" s="1"/>
  <c r="L33" i="16"/>
  <c r="E35" i="4"/>
  <c r="E36" i="4" s="1"/>
  <c r="E43" i="4" s="1"/>
  <c r="E32" i="4"/>
  <c r="L56" i="16"/>
  <c r="G31" i="26"/>
  <c r="H46" i="22"/>
  <c r="H31" i="26"/>
  <c r="H27" i="1"/>
  <c r="B21" i="3"/>
  <c r="F47" i="22"/>
  <c r="E4" i="16"/>
  <c r="D88" i="16"/>
  <c r="C17" i="10"/>
  <c r="E47" i="22"/>
  <c r="M36" i="17"/>
  <c r="M40" i="16" s="1"/>
  <c r="C17" i="16"/>
  <c r="D151" i="22"/>
  <c r="E61" i="22"/>
  <c r="E15" i="26"/>
  <c r="J56" i="16"/>
  <c r="K149" i="22"/>
  <c r="F57" i="16"/>
  <c r="G149" i="22"/>
  <c r="H50" i="22"/>
  <c r="J28" i="26"/>
  <c r="I26" i="26"/>
  <c r="I38" i="4"/>
  <c r="C33" i="16"/>
  <c r="J26" i="16"/>
  <c r="J27" i="16" s="1"/>
  <c r="J28" i="16" s="1"/>
  <c r="I29" i="26"/>
  <c r="J29" i="26" s="1"/>
  <c r="F27" i="16"/>
  <c r="F28" i="16" s="1"/>
  <c r="I22" i="16"/>
  <c r="F92" i="22"/>
  <c r="G92" i="22"/>
  <c r="I24" i="26"/>
  <c r="J23" i="26"/>
  <c r="I39" i="4"/>
  <c r="J57" i="16"/>
  <c r="J16" i="10"/>
  <c r="AF52" i="17"/>
  <c r="AF51" i="17"/>
  <c r="E22" i="16"/>
  <c r="F24" i="4"/>
  <c r="F26" i="4" s="1"/>
  <c r="F34" i="4" s="1"/>
  <c r="B31" i="16"/>
  <c r="L48" i="1"/>
  <c r="L56" i="1" s="1"/>
  <c r="G8" i="4"/>
  <c r="F30" i="4"/>
  <c r="F35" i="4" s="1"/>
  <c r="B32" i="16"/>
  <c r="B33" i="16" s="1"/>
  <c r="C69" i="10"/>
  <c r="C30" i="10" s="1"/>
  <c r="E85" i="22"/>
  <c r="C73" i="10"/>
  <c r="F44" i="4"/>
  <c r="G28" i="4" s="1"/>
  <c r="C23" i="1"/>
  <c r="C31" i="22"/>
  <c r="E24" i="1"/>
  <c r="M48" i="1"/>
  <c r="M53" i="1"/>
  <c r="K30" i="1"/>
  <c r="L51" i="1"/>
  <c r="L47" i="1"/>
  <c r="L13" i="16"/>
  <c r="F20" i="22"/>
  <c r="D6" i="26"/>
  <c r="C6" i="16"/>
  <c r="C7" i="16" s="1"/>
  <c r="J6" i="16"/>
  <c r="J7" i="16" s="1"/>
  <c r="D13" i="16"/>
  <c r="D8" i="4"/>
  <c r="E91" i="22"/>
  <c r="F9" i="4" s="1"/>
  <c r="F12" i="4" s="1"/>
  <c r="C20" i="22"/>
  <c r="B19" i="16"/>
  <c r="K20" i="22"/>
  <c r="J19" i="16"/>
  <c r="E57" i="16"/>
  <c r="F31" i="22"/>
  <c r="H46" i="1" a="1"/>
  <c r="E20" i="1"/>
  <c r="L53" i="1"/>
  <c r="B57" i="16"/>
  <c r="C15" i="26"/>
  <c r="C21" i="26"/>
  <c r="C61" i="22"/>
  <c r="C74" i="22" s="1"/>
  <c r="K21" i="16"/>
  <c r="K22" i="16" s="1"/>
  <c r="K19" i="16"/>
  <c r="J16" i="16"/>
  <c r="J13" i="16"/>
  <c r="J9" i="16"/>
  <c r="J10" i="16" s="1"/>
  <c r="C58" i="10"/>
  <c r="C22" i="10" s="1"/>
  <c r="C151" i="22"/>
  <c r="C19" i="16"/>
  <c r="M33" i="16"/>
  <c r="C31" i="16"/>
  <c r="M52" i="1"/>
  <c r="E23" i="1"/>
  <c r="L19" i="16"/>
  <c r="L9" i="16"/>
  <c r="I13" i="16"/>
  <c r="I16" i="16"/>
  <c r="D73" i="22"/>
  <c r="C9" i="16"/>
  <c r="E8" i="4"/>
  <c r="C13" i="16"/>
  <c r="L55" i="1"/>
  <c r="K31" i="1"/>
  <c r="C134" i="22"/>
  <c r="I74" i="22"/>
  <c r="H36" i="10"/>
  <c r="H33" i="10"/>
  <c r="H37" i="10"/>
  <c r="H35" i="10"/>
  <c r="H34" i="10"/>
  <c r="F100" i="22"/>
  <c r="F97" i="22"/>
  <c r="C14" i="10"/>
  <c r="M19" i="17"/>
  <c r="M13" i="17"/>
  <c r="H21" i="16"/>
  <c r="H100" i="22"/>
  <c r="H97" i="22"/>
  <c r="G132" i="22"/>
  <c r="G133" i="22" s="1"/>
  <c r="G166" i="22"/>
  <c r="K25" i="1"/>
  <c r="M54" i="1"/>
  <c r="L50" i="1"/>
  <c r="C13" i="10"/>
  <c r="C27" i="10"/>
  <c r="M13" i="16"/>
  <c r="M55" i="16"/>
  <c r="M27" i="16" s="1"/>
  <c r="M28" i="16" s="1"/>
  <c r="C168" i="22"/>
  <c r="C167" i="22"/>
  <c r="C46" i="1" a="1"/>
  <c r="G20" i="22"/>
  <c r="B36" i="17"/>
  <c r="B40" i="16" s="1"/>
  <c r="E25" i="1" s="1"/>
  <c r="P30" i="22"/>
  <c r="Q30" i="22"/>
  <c r="O30" i="22"/>
  <c r="C109" i="22"/>
  <c r="F166" i="22"/>
  <c r="G10" i="10" a="1"/>
  <c r="G10" i="10" s="1"/>
  <c r="J42" i="22"/>
  <c r="C108" i="22"/>
  <c r="K142" i="22"/>
  <c r="F142" i="22"/>
  <c r="I148" i="22"/>
  <c r="I140" i="22"/>
  <c r="E40" i="4"/>
  <c r="L174" i="22"/>
  <c r="L178" i="22" s="1"/>
  <c r="L179" i="22" s="1"/>
  <c r="G174" i="22"/>
  <c r="G178" i="22" s="1"/>
  <c r="G179" i="22" s="1"/>
  <c r="O27" i="22"/>
  <c r="S27" i="22" s="1"/>
  <c r="D63" i="4" s="1"/>
  <c r="E42" i="22"/>
  <c r="I76" i="22"/>
  <c r="H13" i="4"/>
  <c r="F107" i="22"/>
  <c r="C110" i="22" s="1"/>
  <c r="E101" i="22"/>
  <c r="F45" i="10" a="1"/>
  <c r="F45" i="10" s="1"/>
  <c r="C71" i="22"/>
  <c r="Q28" i="22"/>
  <c r="C21" i="1" a="1"/>
  <c r="C21" i="1" s="1"/>
  <c r="G81" i="22"/>
  <c r="J142" i="22"/>
  <c r="E142" i="22"/>
  <c r="D148" i="22"/>
  <c r="G94" i="22"/>
  <c r="G78" i="22"/>
  <c r="L131" i="22"/>
  <c r="L132" i="22" s="1"/>
  <c r="L133" i="22" s="1"/>
  <c r="F94" i="22"/>
  <c r="G6" i="4"/>
  <c r="L142" i="22"/>
  <c r="D131" i="22"/>
  <c r="D132" i="22" s="1"/>
  <c r="D133" i="22" s="1"/>
  <c r="G45" i="10" a="1"/>
  <c r="G45" i="10" s="1"/>
  <c r="G47" i="10" s="1"/>
  <c r="O26" i="22"/>
  <c r="G71" i="22"/>
  <c r="Q26" i="22"/>
  <c r="C25" i="10"/>
  <c r="C29" i="10"/>
  <c r="C10" i="10" l="1" a="1"/>
  <c r="C10" i="10" s="1"/>
  <c r="C35" i="10" s="1"/>
  <c r="H57" i="16"/>
  <c r="E151" i="22"/>
  <c r="D17" i="16"/>
  <c r="B17" i="16"/>
  <c r="E27" i="1" s="1"/>
  <c r="K29" i="1"/>
  <c r="K22" i="1"/>
  <c r="D44" i="4"/>
  <c r="C149" i="22"/>
  <c r="C150" i="22" s="1"/>
  <c r="B56" i="16"/>
  <c r="E26" i="1" s="1"/>
  <c r="E17" i="16"/>
  <c r="F151" i="22"/>
  <c r="F152" i="22" s="1"/>
  <c r="I46" i="1" a="1"/>
  <c r="S49" i="1" s="1"/>
  <c r="D56" i="16"/>
  <c r="H92" i="22"/>
  <c r="E31" i="22"/>
  <c r="E149" i="22"/>
  <c r="I28" i="10"/>
  <c r="J28" i="10" s="1"/>
  <c r="E46" i="1" a="1"/>
  <c r="E46" i="1" s="1"/>
  <c r="H56" i="16"/>
  <c r="H133" i="22"/>
  <c r="C135" i="22" s="1"/>
  <c r="I31" i="22"/>
  <c r="F56" i="16"/>
  <c r="G46" i="1" s="1" a="1"/>
  <c r="G46" i="1" s="1"/>
  <c r="G31" i="22"/>
  <c r="I54" i="22"/>
  <c r="I13" i="26"/>
  <c r="I68" i="22" s="1"/>
  <c r="H11" i="4"/>
  <c r="H20" i="4" s="1"/>
  <c r="L27" i="16"/>
  <c r="L28" i="16" s="1"/>
  <c r="E27" i="16"/>
  <c r="E28" i="16" s="1"/>
  <c r="C169" i="22"/>
  <c r="E132" i="22"/>
  <c r="E133" i="22" s="1"/>
  <c r="E31" i="1"/>
  <c r="L4" i="19"/>
  <c r="C152" i="22"/>
  <c r="C153" i="22" s="1"/>
  <c r="C21" i="10"/>
  <c r="I13" i="4"/>
  <c r="E36" i="10"/>
  <c r="E34" i="10"/>
  <c r="E37" i="10"/>
  <c r="E33" i="10"/>
  <c r="F37" i="10"/>
  <c r="F35" i="10"/>
  <c r="I40" i="10"/>
  <c r="J40" i="10" s="1"/>
  <c r="F33" i="10"/>
  <c r="F36" i="10"/>
  <c r="C34" i="10"/>
  <c r="D37" i="10"/>
  <c r="D36" i="10"/>
  <c r="D33" i="10"/>
  <c r="D34" i="10"/>
  <c r="D35" i="10"/>
  <c r="J14" i="26"/>
  <c r="J69" i="22" s="1"/>
  <c r="J55" i="22"/>
  <c r="C22" i="1"/>
  <c r="M32" i="1" s="1"/>
  <c r="C41" i="10" s="1"/>
  <c r="M24" i="1"/>
  <c r="E22" i="1"/>
  <c r="H22" i="16"/>
  <c r="G22" i="16"/>
  <c r="J13" i="4"/>
  <c r="I10" i="16"/>
  <c r="J8" i="26"/>
  <c r="J63" i="22" s="1"/>
  <c r="J49" i="22"/>
  <c r="I11" i="26"/>
  <c r="I66" i="22" s="1"/>
  <c r="I52" i="22"/>
  <c r="I15" i="10"/>
  <c r="J15" i="10" s="1"/>
  <c r="E7" i="4"/>
  <c r="E15" i="4"/>
  <c r="E12" i="4"/>
  <c r="E29" i="1"/>
  <c r="D21" i="26"/>
  <c r="I21" i="26" s="1"/>
  <c r="I30" i="26" s="1"/>
  <c r="D15" i="26"/>
  <c r="D61" i="22"/>
  <c r="D71" i="22" s="1"/>
  <c r="I30" i="10"/>
  <c r="J30" i="10" s="1"/>
  <c r="I9" i="26"/>
  <c r="I64" i="22" s="1"/>
  <c r="I50" i="22"/>
  <c r="J24" i="26"/>
  <c r="E70" i="22"/>
  <c r="E30" i="26"/>
  <c r="J22" i="16"/>
  <c r="I150" i="22"/>
  <c r="I152" i="22"/>
  <c r="C22" i="16"/>
  <c r="J53" i="22"/>
  <c r="J12" i="26"/>
  <c r="J67" i="22" s="1"/>
  <c r="J46" i="22"/>
  <c r="J5" i="26"/>
  <c r="J60" i="22" s="1"/>
  <c r="F47" i="10"/>
  <c r="I47" i="10" s="1"/>
  <c r="J47" i="10" s="1"/>
  <c r="I45" i="10"/>
  <c r="J45" i="10" s="1"/>
  <c r="I24" i="4"/>
  <c r="H24" i="4"/>
  <c r="I13" i="10"/>
  <c r="J13" i="10" s="1"/>
  <c r="I14" i="10"/>
  <c r="J14" i="10" s="1"/>
  <c r="B10" i="16"/>
  <c r="E28" i="1"/>
  <c r="C10" i="16"/>
  <c r="K151" i="22"/>
  <c r="K152" i="22" s="1"/>
  <c r="J17" i="16"/>
  <c r="K31" i="22"/>
  <c r="M56" i="1"/>
  <c r="F36" i="4"/>
  <c r="F43" i="4" s="1"/>
  <c r="I14" i="26"/>
  <c r="I69" i="22" s="1"/>
  <c r="I55" i="22"/>
  <c r="K28" i="26"/>
  <c r="J13" i="26"/>
  <c r="J68" i="22" s="1"/>
  <c r="J54" i="22"/>
  <c r="F71" i="22"/>
  <c r="E71" i="22"/>
  <c r="E74" i="22"/>
  <c r="I17" i="10"/>
  <c r="J17" i="10" s="1"/>
  <c r="K5" i="26"/>
  <c r="K60" i="22" s="1"/>
  <c r="K46" i="22"/>
  <c r="C33" i="10"/>
  <c r="H8" i="4"/>
  <c r="D74" i="22"/>
  <c r="E79" i="22"/>
  <c r="P20" i="22"/>
  <c r="O20" i="22"/>
  <c r="Q20" i="22"/>
  <c r="S20" i="22" s="1"/>
  <c r="D56" i="4" s="1"/>
  <c r="I48" i="22"/>
  <c r="I7" i="26"/>
  <c r="I62" i="22" s="1"/>
  <c r="C136" i="22"/>
  <c r="T24" i="22" s="1"/>
  <c r="E60" i="4" s="1"/>
  <c r="R50" i="1"/>
  <c r="R48" i="1"/>
  <c r="R54" i="1"/>
  <c r="R51" i="1"/>
  <c r="H58" i="1"/>
  <c r="R49" i="1"/>
  <c r="R53" i="1"/>
  <c r="H46" i="1"/>
  <c r="H57" i="1" s="1"/>
  <c r="R52" i="1"/>
  <c r="Q31" i="22"/>
  <c r="O31" i="22"/>
  <c r="P31" i="22"/>
  <c r="I27" i="16"/>
  <c r="I28" i="16" s="1"/>
  <c r="K27" i="16"/>
  <c r="K28" i="16" s="1"/>
  <c r="I49" i="22"/>
  <c r="I8" i="26"/>
  <c r="I63" i="22" s="1"/>
  <c r="I51" i="22"/>
  <c r="I10" i="26"/>
  <c r="I65" i="22" s="1"/>
  <c r="J22" i="26"/>
  <c r="K22" i="26" s="1"/>
  <c r="G33" i="10"/>
  <c r="G36" i="10"/>
  <c r="G37" i="10"/>
  <c r="G35" i="10"/>
  <c r="G34" i="10"/>
  <c r="I17" i="16"/>
  <c r="J151" i="22"/>
  <c r="J152" i="22" s="1"/>
  <c r="J31" i="22"/>
  <c r="D15" i="4"/>
  <c r="D7" i="4"/>
  <c r="D12" i="4"/>
  <c r="G7" i="4"/>
  <c r="I92" i="22"/>
  <c r="J92" i="22" s="1"/>
  <c r="F91" i="22"/>
  <c r="G9" i="4" s="1"/>
  <c r="J10" i="4"/>
  <c r="J38" i="4" s="1"/>
  <c r="G150" i="22"/>
  <c r="G152" i="22"/>
  <c r="E150" i="22"/>
  <c r="E152" i="22"/>
  <c r="D150" i="22"/>
  <c r="D152" i="22"/>
  <c r="B27" i="16"/>
  <c r="B28" i="16" s="1"/>
  <c r="C27" i="16"/>
  <c r="C28" i="16" s="1"/>
  <c r="L23" i="26"/>
  <c r="J10" i="26"/>
  <c r="J65" i="22" s="1"/>
  <c r="J51" i="22"/>
  <c r="I46" i="22"/>
  <c r="I5" i="26"/>
  <c r="I60" i="22" s="1"/>
  <c r="L20" i="26"/>
  <c r="C57" i="1"/>
  <c r="N54" i="1"/>
  <c r="N50" i="1"/>
  <c r="N53" i="1"/>
  <c r="N48" i="1"/>
  <c r="C46" i="1"/>
  <c r="C55" i="1" s="1"/>
  <c r="N55" i="1" s="1"/>
  <c r="C58" i="1"/>
  <c r="N51" i="1"/>
  <c r="N49" i="1"/>
  <c r="N52" i="1"/>
  <c r="I10" i="10"/>
  <c r="J10" i="10" s="1"/>
  <c r="J76" i="22"/>
  <c r="K27" i="1"/>
  <c r="K26" i="1"/>
  <c r="G27" i="4"/>
  <c r="G11" i="4"/>
  <c r="G20" i="4" s="1"/>
  <c r="G24" i="4"/>
  <c r="G23" i="4"/>
  <c r="G5" i="4"/>
  <c r="H21" i="4"/>
  <c r="G21" i="4"/>
  <c r="H5" i="4"/>
  <c r="G100" i="22"/>
  <c r="G97" i="22"/>
  <c r="M57" i="16"/>
  <c r="M56" i="16"/>
  <c r="J74" i="22"/>
  <c r="M25" i="1"/>
  <c r="K10" i="16"/>
  <c r="L10" i="16"/>
  <c r="C47" i="22"/>
  <c r="F32" i="4"/>
  <c r="K23" i="26"/>
  <c r="I22" i="10"/>
  <c r="J22" i="10" s="1"/>
  <c r="C70" i="22"/>
  <c r="C30" i="26"/>
  <c r="C56" i="22" s="1"/>
  <c r="C37" i="10"/>
  <c r="C20" i="10"/>
  <c r="C18" i="10"/>
  <c r="C36" i="10"/>
  <c r="D46" i="1" a="1"/>
  <c r="J26" i="26"/>
  <c r="K26" i="26" s="1"/>
  <c r="K150" i="22"/>
  <c r="J150" i="22"/>
  <c r="F4" i="16"/>
  <c r="G4" i="16" s="1"/>
  <c r="H4" i="16" s="1"/>
  <c r="I4" i="16" s="1"/>
  <c r="J4" i="16" s="1"/>
  <c r="K4" i="16" s="1"/>
  <c r="L4" i="16" s="1"/>
  <c r="M4" i="16" s="1"/>
  <c r="E88" i="16"/>
  <c r="G27" i="16"/>
  <c r="G28" i="16" s="1"/>
  <c r="I12" i="26"/>
  <c r="I67" i="22" s="1"/>
  <c r="I53" i="22"/>
  <c r="K25" i="26"/>
  <c r="F85" i="22"/>
  <c r="K29" i="26"/>
  <c r="L29" i="26" s="1"/>
  <c r="M29" i="26" s="1"/>
  <c r="H152" i="22"/>
  <c r="H150" i="22"/>
  <c r="K27" i="26"/>
  <c r="I27" i="10"/>
  <c r="J27" i="10" s="1"/>
  <c r="I29" i="10"/>
  <c r="J29" i="10"/>
  <c r="I25" i="10"/>
  <c r="J25" i="10" s="1"/>
  <c r="I21" i="10"/>
  <c r="J21" i="10"/>
  <c r="N47" i="1" l="1"/>
  <c r="S48" i="1"/>
  <c r="S54" i="1"/>
  <c r="L57" i="1"/>
  <c r="L58" i="1" s="1"/>
  <c r="S52" i="1"/>
  <c r="L26" i="26"/>
  <c r="S53" i="1"/>
  <c r="I46" i="1"/>
  <c r="S51" i="1"/>
  <c r="S50" i="1"/>
  <c r="N29" i="26"/>
  <c r="N55" i="22" s="1"/>
  <c r="C154" i="22"/>
  <c r="M57" i="1"/>
  <c r="M58" i="1" s="1"/>
  <c r="I34" i="10"/>
  <c r="J34" i="10" s="1"/>
  <c r="I35" i="10"/>
  <c r="J35" i="10" s="1"/>
  <c r="C155" i="22"/>
  <c r="K10" i="4"/>
  <c r="K38" i="4"/>
  <c r="C56" i="1"/>
  <c r="L49" i="22"/>
  <c r="L8" i="26"/>
  <c r="L63" i="22" s="1"/>
  <c r="I6" i="26"/>
  <c r="I61" i="22" s="1"/>
  <c r="I47" i="22"/>
  <c r="S9" i="22" s="1"/>
  <c r="I33" i="10"/>
  <c r="J33" i="10" s="1"/>
  <c r="K54" i="22"/>
  <c r="K13" i="26"/>
  <c r="K68" i="22" s="1"/>
  <c r="K53" i="22"/>
  <c r="K12" i="26"/>
  <c r="K67" i="22" s="1"/>
  <c r="I15" i="26"/>
  <c r="I70" i="22" s="1"/>
  <c r="I56" i="22"/>
  <c r="K55" i="22"/>
  <c r="K14" i="26"/>
  <c r="K69" i="22" s="1"/>
  <c r="J52" i="22"/>
  <c r="J11" i="26"/>
  <c r="J66" i="22" s="1"/>
  <c r="G85" i="22"/>
  <c r="D58" i="1"/>
  <c r="O53" i="1"/>
  <c r="O54" i="1"/>
  <c r="D46" i="1"/>
  <c r="D57" i="1" s="1"/>
  <c r="O52" i="1"/>
  <c r="O50" i="1"/>
  <c r="O48" i="1"/>
  <c r="O49" i="1"/>
  <c r="O51" i="1"/>
  <c r="C31" i="26"/>
  <c r="K13" i="4"/>
  <c r="S17" i="22"/>
  <c r="D53" i="4" s="1"/>
  <c r="J48" i="22"/>
  <c r="J7" i="26"/>
  <c r="J62" i="22" s="1"/>
  <c r="E56" i="22"/>
  <c r="E31" i="26"/>
  <c r="O29" i="26"/>
  <c r="M55" i="22"/>
  <c r="M14" i="26"/>
  <c r="M69" i="22" s="1"/>
  <c r="G31" i="4"/>
  <c r="G25" i="4"/>
  <c r="H25" i="4" s="1"/>
  <c r="H26" i="4" s="1"/>
  <c r="G14" i="4"/>
  <c r="G41" i="4"/>
  <c r="G12" i="4"/>
  <c r="I36" i="10"/>
  <c r="J36" i="10" s="1"/>
  <c r="K74" i="22"/>
  <c r="K10" i="26"/>
  <c r="K65" i="22" s="1"/>
  <c r="K51" i="22"/>
  <c r="K28" i="1"/>
  <c r="I18" i="10"/>
  <c r="J18" i="10" s="1"/>
  <c r="L25" i="26"/>
  <c r="M25" i="26" s="1"/>
  <c r="G26" i="4"/>
  <c r="G40" i="4"/>
  <c r="L27" i="26"/>
  <c r="I20" i="10"/>
  <c r="J20" i="10" s="1"/>
  <c r="K49" i="22"/>
  <c r="K8" i="26"/>
  <c r="K63" i="22" s="1"/>
  <c r="K48" i="22"/>
  <c r="K7" i="26"/>
  <c r="K62" i="22" s="1"/>
  <c r="M26" i="26"/>
  <c r="N26" i="26" s="1"/>
  <c r="D30" i="26"/>
  <c r="D56" i="22" s="1"/>
  <c r="D70" i="22"/>
  <c r="M26" i="1"/>
  <c r="C25" i="1"/>
  <c r="M29" i="1"/>
  <c r="M31" i="1"/>
  <c r="L28" i="26"/>
  <c r="L11" i="26"/>
  <c r="L66" i="22" s="1"/>
  <c r="L52" i="22"/>
  <c r="I37" i="10"/>
  <c r="J37" i="10" s="1"/>
  <c r="L14" i="26"/>
  <c r="L69" i="22" s="1"/>
  <c r="L55" i="22"/>
  <c r="L46" i="22"/>
  <c r="L5" i="26"/>
  <c r="L60" i="22" s="1"/>
  <c r="M20" i="26"/>
  <c r="J39" i="4"/>
  <c r="H55" i="1"/>
  <c r="J50" i="22"/>
  <c r="J9" i="26"/>
  <c r="J64" i="22" s="1"/>
  <c r="K24" i="26"/>
  <c r="D47" i="22"/>
  <c r="J21" i="26"/>
  <c r="K76" i="22"/>
  <c r="L22" i="26"/>
  <c r="I41" i="10"/>
  <c r="J41" i="10" s="1"/>
  <c r="M27" i="26"/>
  <c r="K11" i="26"/>
  <c r="K66" i="22" s="1"/>
  <c r="K52" i="22"/>
  <c r="M23" i="26"/>
  <c r="H7" i="4"/>
  <c r="K92" i="22"/>
  <c r="H56" i="1" l="1"/>
  <c r="N14" i="26"/>
  <c r="N69" i="22" s="1"/>
  <c r="N20" i="26"/>
  <c r="O20" i="26" s="1"/>
  <c r="N52" i="22"/>
  <c r="N11" i="26"/>
  <c r="N66" i="22" s="1"/>
  <c r="O26" i="26"/>
  <c r="J6" i="26"/>
  <c r="J61" i="22" s="1"/>
  <c r="J47" i="22"/>
  <c r="J30" i="26"/>
  <c r="M10" i="26"/>
  <c r="M65" i="22" s="1"/>
  <c r="M51" i="22"/>
  <c r="M46" i="22"/>
  <c r="M5" i="26"/>
  <c r="M60" i="22" s="1"/>
  <c r="G15" i="4"/>
  <c r="G16" i="4" s="1"/>
  <c r="G17" i="4" s="1"/>
  <c r="D55" i="1"/>
  <c r="O55" i="1" s="1"/>
  <c r="M49" i="22"/>
  <c r="M8" i="26"/>
  <c r="M63" i="22" s="1"/>
  <c r="N23" i="26"/>
  <c r="O23" i="26" s="1"/>
  <c r="L54" i="22"/>
  <c r="L13" i="26"/>
  <c r="L68" i="22" s="1"/>
  <c r="M53" i="22"/>
  <c r="M12" i="26"/>
  <c r="M67" i="22" s="1"/>
  <c r="N46" i="22"/>
  <c r="N5" i="26"/>
  <c r="N60" i="22" s="1"/>
  <c r="L10" i="26"/>
  <c r="L65" i="22" s="1"/>
  <c r="L51" i="22"/>
  <c r="I25" i="4"/>
  <c r="I26" i="4" s="1"/>
  <c r="K21" i="26"/>
  <c r="H40" i="4"/>
  <c r="I40" i="4" s="1"/>
  <c r="D31" i="26"/>
  <c r="K39" i="4"/>
  <c r="M11" i="26"/>
  <c r="M66" i="22" s="1"/>
  <c r="M52" i="22"/>
  <c r="O55" i="22"/>
  <c r="O14" i="26"/>
  <c r="O69" i="22" s="1"/>
  <c r="K9" i="26"/>
  <c r="K64" i="22" s="1"/>
  <c r="K50" i="22"/>
  <c r="L24" i="26"/>
  <c r="M27" i="1"/>
  <c r="M28" i="1"/>
  <c r="H14" i="4"/>
  <c r="H15" i="4" s="1"/>
  <c r="H16" i="4" s="1"/>
  <c r="H17" i="4" s="1"/>
  <c r="N27" i="26"/>
  <c r="O27" i="26" s="1"/>
  <c r="P27" i="26" s="1"/>
  <c r="L74" i="22"/>
  <c r="L10" i="4"/>
  <c r="L38" i="4" s="1"/>
  <c r="L13" i="4"/>
  <c r="L76" i="22"/>
  <c r="N25" i="26"/>
  <c r="M28" i="26"/>
  <c r="H31" i="4"/>
  <c r="I31" i="4" s="1"/>
  <c r="L7" i="26"/>
  <c r="L62" i="22" s="1"/>
  <c r="L48" i="22"/>
  <c r="M22" i="26"/>
  <c r="N22" i="26" s="1"/>
  <c r="L53" i="22"/>
  <c r="L12" i="26"/>
  <c r="L67" i="22" s="1"/>
  <c r="G91" i="22"/>
  <c r="H9" i="4" s="1"/>
  <c r="H12" i="4" s="1"/>
  <c r="L92" i="22"/>
  <c r="P29" i="26"/>
  <c r="Q29" i="26" s="1"/>
  <c r="O47" i="1"/>
  <c r="D56" i="1" s="1"/>
  <c r="I94" i="22"/>
  <c r="J6" i="4"/>
  <c r="I71" i="22"/>
  <c r="I73" i="22"/>
  <c r="O25" i="26"/>
  <c r="O5" i="26" l="1"/>
  <c r="O60" i="22" s="1"/>
  <c r="O46" i="22"/>
  <c r="P20" i="26"/>
  <c r="Q20" i="26" s="1"/>
  <c r="Q14" i="26"/>
  <c r="Q69" i="22" s="1"/>
  <c r="Q55" i="22"/>
  <c r="P12" i="26"/>
  <c r="P67" i="22" s="1"/>
  <c r="P53" i="22"/>
  <c r="M10" i="4"/>
  <c r="M38" i="4" s="1"/>
  <c r="L9" i="26"/>
  <c r="L64" i="22" s="1"/>
  <c r="L50" i="22"/>
  <c r="M24" i="26"/>
  <c r="N7" i="26"/>
  <c r="N62" i="22" s="1"/>
  <c r="N48" i="22"/>
  <c r="M13" i="4"/>
  <c r="I78" i="22"/>
  <c r="I81" i="22" s="1"/>
  <c r="M8" i="4"/>
  <c r="M48" i="22"/>
  <c r="M7" i="26"/>
  <c r="M62" i="22" s="1"/>
  <c r="O22" i="26"/>
  <c r="P22" i="26" s="1"/>
  <c r="Q22" i="26" s="1"/>
  <c r="N76" i="22"/>
  <c r="M74" i="22"/>
  <c r="K47" i="22"/>
  <c r="K6" i="26"/>
  <c r="K61" i="22" s="1"/>
  <c r="K30" i="26"/>
  <c r="J15" i="26"/>
  <c r="J70" i="22" s="1"/>
  <c r="J56" i="22"/>
  <c r="O11" i="26"/>
  <c r="O66" i="22" s="1"/>
  <c r="O52" i="22"/>
  <c r="N53" i="22"/>
  <c r="N12" i="26"/>
  <c r="N67" i="22" s="1"/>
  <c r="Q27" i="26"/>
  <c r="N24" i="26"/>
  <c r="H85" i="22"/>
  <c r="O24" i="26"/>
  <c r="P24" i="26" s="1"/>
  <c r="Q24" i="26" s="1"/>
  <c r="L39" i="4"/>
  <c r="N49" i="22"/>
  <c r="N8" i="26"/>
  <c r="N63" i="22" s="1"/>
  <c r="J94" i="22"/>
  <c r="J71" i="22"/>
  <c r="K6" i="4"/>
  <c r="J73" i="22"/>
  <c r="P26" i="26"/>
  <c r="M92" i="22"/>
  <c r="M76" i="22"/>
  <c r="O12" i="26"/>
  <c r="O67" i="22" s="1"/>
  <c r="O53" i="22"/>
  <c r="J11" i="4"/>
  <c r="J20" i="4" s="1"/>
  <c r="J24" i="4"/>
  <c r="J27" i="4"/>
  <c r="J23" i="4"/>
  <c r="J7" i="4"/>
  <c r="J21" i="4"/>
  <c r="J5" i="4"/>
  <c r="M54" i="22"/>
  <c r="M13" i="26"/>
  <c r="M68" i="22" s="1"/>
  <c r="H29" i="4"/>
  <c r="H19" i="4"/>
  <c r="H22" i="4" s="1"/>
  <c r="H34" i="4" s="1"/>
  <c r="H30" i="4"/>
  <c r="O8" i="26"/>
  <c r="O63" i="22" s="1"/>
  <c r="O49" i="22"/>
  <c r="N28" i="26"/>
  <c r="O51" i="22"/>
  <c r="O10" i="26"/>
  <c r="O65" i="22" s="1"/>
  <c r="P14" i="26"/>
  <c r="P69" i="22" s="1"/>
  <c r="P55" i="22"/>
  <c r="R29" i="26"/>
  <c r="N51" i="22"/>
  <c r="N10" i="26"/>
  <c r="N65" i="22" s="1"/>
  <c r="P25" i="26"/>
  <c r="P5" i="26"/>
  <c r="P60" i="22" s="1"/>
  <c r="P46" i="22"/>
  <c r="H41" i="4"/>
  <c r="L21" i="26"/>
  <c r="M21" i="26" s="1"/>
  <c r="N21" i="26" s="1"/>
  <c r="G19" i="4"/>
  <c r="G22" i="4" s="1"/>
  <c r="G34" i="4" s="1"/>
  <c r="G29" i="4"/>
  <c r="G30" i="4"/>
  <c r="J40" i="4"/>
  <c r="I14" i="4"/>
  <c r="I15" i="4" s="1"/>
  <c r="I16" i="4" s="1"/>
  <c r="I17" i="4" s="1"/>
  <c r="Q26" i="26"/>
  <c r="R26" i="26" s="1"/>
  <c r="P23" i="26"/>
  <c r="Q23" i="26" s="1"/>
  <c r="Q5" i="26" l="1"/>
  <c r="Q60" i="22" s="1"/>
  <c r="Q46" i="22"/>
  <c r="R20" i="26"/>
  <c r="R24" i="26"/>
  <c r="R50" i="22"/>
  <c r="R9" i="26"/>
  <c r="R64" i="22" s="1"/>
  <c r="N10" i="4"/>
  <c r="N38" i="4"/>
  <c r="Q48" i="22"/>
  <c r="Q7" i="26"/>
  <c r="Q62" i="22" s="1"/>
  <c r="I100" i="22"/>
  <c r="I97" i="22"/>
  <c r="Q49" i="22"/>
  <c r="Q8" i="26"/>
  <c r="Q63" i="22" s="1"/>
  <c r="Q53" i="22"/>
  <c r="Q12" i="26"/>
  <c r="Q67" i="22" s="1"/>
  <c r="K56" i="22"/>
  <c r="K15" i="26"/>
  <c r="K70" i="22" s="1"/>
  <c r="P52" i="22"/>
  <c r="P11" i="26"/>
  <c r="P66" i="22" s="1"/>
  <c r="S26" i="26"/>
  <c r="P48" i="22"/>
  <c r="P7" i="26"/>
  <c r="P62" i="22" s="1"/>
  <c r="H35" i="4"/>
  <c r="H36" i="4" s="1"/>
  <c r="H32" i="4"/>
  <c r="N13" i="4"/>
  <c r="J78" i="22"/>
  <c r="J81" i="22" s="1"/>
  <c r="N8" i="4"/>
  <c r="R14" i="26"/>
  <c r="R69" i="22" s="1"/>
  <c r="R55" i="22"/>
  <c r="P49" i="22"/>
  <c r="P8" i="26"/>
  <c r="P63" i="22" s="1"/>
  <c r="R52" i="22"/>
  <c r="R11" i="26"/>
  <c r="R66" i="22" s="1"/>
  <c r="N13" i="26"/>
  <c r="N68" i="22" s="1"/>
  <c r="N54" i="22"/>
  <c r="O28" i="26"/>
  <c r="M47" i="22"/>
  <c r="M6" i="26"/>
  <c r="M61" i="22" s="1"/>
  <c r="M73" i="22" s="1"/>
  <c r="M30" i="26"/>
  <c r="K11" i="4"/>
  <c r="K20" i="4" s="1"/>
  <c r="K24" i="4"/>
  <c r="K5" i="4"/>
  <c r="K7" i="4"/>
  <c r="K23" i="4"/>
  <c r="K27" i="4"/>
  <c r="K21" i="4"/>
  <c r="K94" i="22"/>
  <c r="K71" i="22"/>
  <c r="L6" i="4"/>
  <c r="K73" i="22"/>
  <c r="O76" i="22"/>
  <c r="P76" i="22" s="1"/>
  <c r="S29" i="26"/>
  <c r="N6" i="26"/>
  <c r="N61" i="22" s="1"/>
  <c r="N47" i="22"/>
  <c r="N30" i="26"/>
  <c r="P9" i="26"/>
  <c r="P64" i="22" s="1"/>
  <c r="P50" i="22"/>
  <c r="H91" i="22"/>
  <c r="I9" i="4" s="1"/>
  <c r="I12" i="4" s="1"/>
  <c r="N74" i="22"/>
  <c r="G35" i="4"/>
  <c r="G32" i="4"/>
  <c r="Q11" i="26"/>
  <c r="Q66" i="22" s="1"/>
  <c r="Q52" i="22"/>
  <c r="G36" i="4"/>
  <c r="G43" i="4" s="1"/>
  <c r="Q9" i="26"/>
  <c r="Q64" i="22" s="1"/>
  <c r="Q50" i="22"/>
  <c r="N92" i="22"/>
  <c r="M39" i="4"/>
  <c r="N39" i="4" s="1"/>
  <c r="O13" i="4"/>
  <c r="I30" i="4"/>
  <c r="I29" i="4"/>
  <c r="L47" i="22"/>
  <c r="L6" i="26"/>
  <c r="L61" i="22" s="1"/>
  <c r="L30" i="26"/>
  <c r="O21" i="26"/>
  <c r="P51" i="22"/>
  <c r="P10" i="26"/>
  <c r="P65" i="22" s="1"/>
  <c r="Q25" i="26"/>
  <c r="R25" i="26"/>
  <c r="J31" i="4"/>
  <c r="J14" i="4"/>
  <c r="J15" i="4" s="1"/>
  <c r="J16" i="4" s="1"/>
  <c r="J17" i="4" s="1"/>
  <c r="J25" i="4"/>
  <c r="J26" i="4" s="1"/>
  <c r="R27" i="26"/>
  <c r="O9" i="26"/>
  <c r="O64" i="22" s="1"/>
  <c r="O50" i="22"/>
  <c r="N50" i="22"/>
  <c r="N9" i="26"/>
  <c r="N64" i="22" s="1"/>
  <c r="O7" i="26"/>
  <c r="O62" i="22" s="1"/>
  <c r="O48" i="22"/>
  <c r="R22" i="26"/>
  <c r="S22" i="26" s="1"/>
  <c r="M50" i="22"/>
  <c r="M9" i="26"/>
  <c r="M64" i="22" s="1"/>
  <c r="S24" i="26"/>
  <c r="R23" i="26"/>
  <c r="R46" i="22" l="1"/>
  <c r="R5" i="26"/>
  <c r="R60" i="22" s="1"/>
  <c r="S20" i="26"/>
  <c r="H43" i="4"/>
  <c r="T20" i="26"/>
  <c r="J100" i="22"/>
  <c r="J97" i="22"/>
  <c r="S7" i="26"/>
  <c r="S62" i="22" s="1"/>
  <c r="S48" i="22"/>
  <c r="T22" i="26"/>
  <c r="U22" i="26" s="1"/>
  <c r="I19" i="4"/>
  <c r="I22" i="4" s="1"/>
  <c r="I34" i="4" s="1"/>
  <c r="I36" i="4" s="1"/>
  <c r="I43" i="4" s="1"/>
  <c r="N94" i="22"/>
  <c r="N71" i="22"/>
  <c r="O6" i="4"/>
  <c r="O13" i="26"/>
  <c r="O68" i="22" s="1"/>
  <c r="O54" i="22"/>
  <c r="P28" i="26"/>
  <c r="S9" i="26"/>
  <c r="S64" i="22" s="1"/>
  <c r="S50" i="22"/>
  <c r="J29" i="4"/>
  <c r="J30" i="4"/>
  <c r="I35" i="4"/>
  <c r="I32" i="4"/>
  <c r="S52" i="22"/>
  <c r="S11" i="26"/>
  <c r="S66" i="22" s="1"/>
  <c r="T26" i="26"/>
  <c r="M78" i="22"/>
  <c r="M81" i="22" s="1"/>
  <c r="M97" i="22" s="1"/>
  <c r="Q8" i="4"/>
  <c r="T24" i="26"/>
  <c r="L15" i="26"/>
  <c r="L70" i="22" s="1"/>
  <c r="L56" i="22"/>
  <c r="R49" i="22"/>
  <c r="R8" i="26"/>
  <c r="R63" i="22" s="1"/>
  <c r="R53" i="22"/>
  <c r="R12" i="26"/>
  <c r="R67" i="22" s="1"/>
  <c r="M15" i="26"/>
  <c r="M70" i="22" s="1"/>
  <c r="M56" i="22"/>
  <c r="Q13" i="4"/>
  <c r="O10" i="4"/>
  <c r="O39" i="4" s="1"/>
  <c r="O38" i="4"/>
  <c r="O6" i="26"/>
  <c r="O61" i="22" s="1"/>
  <c r="O47" i="22"/>
  <c r="O30" i="26"/>
  <c r="S55" i="22"/>
  <c r="S14" i="26"/>
  <c r="S69" i="22" s="1"/>
  <c r="O74" i="22"/>
  <c r="N73" i="22"/>
  <c r="P13" i="4"/>
  <c r="M94" i="22"/>
  <c r="M71" i="22"/>
  <c r="N6" i="4"/>
  <c r="N7" i="4" s="1"/>
  <c r="T29" i="26"/>
  <c r="U29" i="26" s="1"/>
  <c r="O92" i="22"/>
  <c r="P92" i="22" s="1"/>
  <c r="N56" i="22"/>
  <c r="N15" i="26"/>
  <c r="N70" i="22" s="1"/>
  <c r="O8" i="4"/>
  <c r="K78" i="22"/>
  <c r="K81" i="22"/>
  <c r="K97" i="22" s="1"/>
  <c r="I41" i="4"/>
  <c r="K40" i="4"/>
  <c r="P21" i="26"/>
  <c r="I85" i="22"/>
  <c r="L7" i="4"/>
  <c r="L5" i="4"/>
  <c r="L27" i="4"/>
  <c r="L23" i="4"/>
  <c r="L11" i="4"/>
  <c r="L20" i="4" s="1"/>
  <c r="L24" i="4"/>
  <c r="L21" i="4"/>
  <c r="S23" i="26"/>
  <c r="R51" i="22"/>
  <c r="R10" i="26"/>
  <c r="R65" i="22" s="1"/>
  <c r="L94" i="22"/>
  <c r="M6" i="4"/>
  <c r="L71" i="22"/>
  <c r="L73" i="22"/>
  <c r="R48" i="22"/>
  <c r="R7" i="26"/>
  <c r="R62" i="22" s="1"/>
  <c r="U24" i="26"/>
  <c r="Q10" i="26"/>
  <c r="Q65" i="22" s="1"/>
  <c r="Q51" i="22"/>
  <c r="S25" i="26"/>
  <c r="Q76" i="22"/>
  <c r="S27" i="26"/>
  <c r="T27" i="26" s="1"/>
  <c r="K14" i="4"/>
  <c r="K15" i="4" s="1"/>
  <c r="K16" i="4" s="1"/>
  <c r="K17" i="4" s="1"/>
  <c r="K31" i="4"/>
  <c r="K25" i="4"/>
  <c r="K26" i="4" s="1"/>
  <c r="T23" i="26"/>
  <c r="T5" i="26" l="1"/>
  <c r="T60" i="22" s="1"/>
  <c r="T46" i="22"/>
  <c r="S5" i="26"/>
  <c r="S60" i="22" s="1"/>
  <c r="S46" i="22"/>
  <c r="U20" i="26"/>
  <c r="U7" i="26"/>
  <c r="U62" i="22" s="1"/>
  <c r="U48" i="22"/>
  <c r="V22" i="26"/>
  <c r="W22" i="26" s="1"/>
  <c r="T12" i="26"/>
  <c r="T67" i="22" s="1"/>
  <c r="T53" i="22"/>
  <c r="T49" i="22"/>
  <c r="T8" i="26"/>
  <c r="T63" i="22" s="1"/>
  <c r="K30" i="4"/>
  <c r="K29" i="4"/>
  <c r="I91" i="22"/>
  <c r="J9" i="4" s="1"/>
  <c r="R13" i="4"/>
  <c r="O7" i="4"/>
  <c r="U50" i="22"/>
  <c r="U9" i="26"/>
  <c r="U64" i="22" s="1"/>
  <c r="P47" i="22"/>
  <c r="P6" i="26"/>
  <c r="P61" i="22" s="1"/>
  <c r="P30" i="26"/>
  <c r="T9" i="26"/>
  <c r="T64" i="22" s="1"/>
  <c r="T50" i="22"/>
  <c r="J35" i="4"/>
  <c r="J32" i="4"/>
  <c r="U27" i="26"/>
  <c r="O15" i="26"/>
  <c r="O70" i="22" s="1"/>
  <c r="O56" i="22"/>
  <c r="P54" i="22"/>
  <c r="P13" i="26"/>
  <c r="P68" i="22" s="1"/>
  <c r="Q28" i="26"/>
  <c r="J41" i="4"/>
  <c r="R76" i="22"/>
  <c r="V24" i="26"/>
  <c r="L40" i="4"/>
  <c r="S10" i="26"/>
  <c r="S65" i="22" s="1"/>
  <c r="S51" i="22"/>
  <c r="S8" i="26"/>
  <c r="S63" i="22" s="1"/>
  <c r="S49" i="22"/>
  <c r="R8" i="4"/>
  <c r="N78" i="22"/>
  <c r="N81" i="22"/>
  <c r="N97" i="22" s="1"/>
  <c r="U55" i="22"/>
  <c r="U14" i="26"/>
  <c r="U69" i="22" s="1"/>
  <c r="T25" i="26"/>
  <c r="P8" i="4"/>
  <c r="S10" i="22"/>
  <c r="L78" i="22"/>
  <c r="L81" i="22" s="1"/>
  <c r="L97" i="22" s="1"/>
  <c r="L25" i="4"/>
  <c r="L26" i="4" s="1"/>
  <c r="L31" i="4"/>
  <c r="L14" i="4"/>
  <c r="L15" i="4" s="1"/>
  <c r="L16" i="4" s="1"/>
  <c r="L17" i="4" s="1"/>
  <c r="T55" i="22"/>
  <c r="T14" i="26"/>
  <c r="T69" i="22" s="1"/>
  <c r="V29" i="26"/>
  <c r="P74" i="22"/>
  <c r="O73" i="22"/>
  <c r="O94" i="22"/>
  <c r="O71" i="22"/>
  <c r="P6" i="4"/>
  <c r="T52" i="22"/>
  <c r="T11" i="26"/>
  <c r="T66" i="22" s="1"/>
  <c r="U26" i="26"/>
  <c r="Q92" i="22"/>
  <c r="R92" i="22" s="1"/>
  <c r="U23" i="26"/>
  <c r="O24" i="4"/>
  <c r="O23" i="4"/>
  <c r="O5" i="4"/>
  <c r="O27" i="4"/>
  <c r="O11" i="4"/>
  <c r="O20" i="4" s="1"/>
  <c r="O21" i="4"/>
  <c r="T7" i="26"/>
  <c r="T62" i="22" s="1"/>
  <c r="T48" i="22"/>
  <c r="N11" i="4"/>
  <c r="N20" i="4" s="1"/>
  <c r="N5" i="4"/>
  <c r="N24" i="4"/>
  <c r="N27" i="4"/>
  <c r="N23" i="4"/>
  <c r="N21" i="4"/>
  <c r="Q21" i="26"/>
  <c r="P10" i="4"/>
  <c r="P39" i="4" s="1"/>
  <c r="P38" i="4"/>
  <c r="S12" i="26"/>
  <c r="S67" i="22" s="1"/>
  <c r="S53" i="22"/>
  <c r="M11" i="4"/>
  <c r="M20" i="4" s="1"/>
  <c r="M24" i="4"/>
  <c r="M27" i="4"/>
  <c r="M5" i="4"/>
  <c r="M23" i="4"/>
  <c r="M21" i="4"/>
  <c r="M7" i="4"/>
  <c r="V20" i="26" l="1"/>
  <c r="U46" i="22"/>
  <c r="U5" i="26"/>
  <c r="U60" i="22" s="1"/>
  <c r="W24" i="26"/>
  <c r="X24" i="26" s="1"/>
  <c r="W7" i="26"/>
  <c r="W62" i="22" s="1"/>
  <c r="W48" i="22"/>
  <c r="M26" i="4"/>
  <c r="V55" i="22"/>
  <c r="V14" i="26"/>
  <c r="V69" i="22" s="1"/>
  <c r="U53" i="22"/>
  <c r="U12" i="26"/>
  <c r="U67" i="22" s="1"/>
  <c r="V27" i="26"/>
  <c r="U52" i="22"/>
  <c r="U11" i="26"/>
  <c r="U66" i="22" s="1"/>
  <c r="O78" i="22"/>
  <c r="O81" i="22"/>
  <c r="O97" i="22" s="1"/>
  <c r="S8" i="4"/>
  <c r="S92" i="22"/>
  <c r="Q74" i="22"/>
  <c r="P73" i="22"/>
  <c r="V23" i="26"/>
  <c r="R21" i="26"/>
  <c r="S21" i="26" s="1"/>
  <c r="K35" i="4"/>
  <c r="K32" i="4"/>
  <c r="V7" i="26"/>
  <c r="V62" i="22" s="1"/>
  <c r="V48" i="22"/>
  <c r="P94" i="22"/>
  <c r="P71" i="22"/>
  <c r="Q6" i="4"/>
  <c r="S13" i="4"/>
  <c r="Q54" i="22"/>
  <c r="Q13" i="26"/>
  <c r="Q68" i="22" s="1"/>
  <c r="R28" i="26"/>
  <c r="P56" i="22"/>
  <c r="P15" i="26"/>
  <c r="P70" i="22" s="1"/>
  <c r="M25" i="4"/>
  <c r="N25" i="4" s="1"/>
  <c r="M14" i="4"/>
  <c r="M15" i="4" s="1"/>
  <c r="M16" i="4" s="1"/>
  <c r="M17" i="4" s="1"/>
  <c r="M31" i="4"/>
  <c r="N31" i="4" s="1"/>
  <c r="O31" i="4" s="1"/>
  <c r="Q10" i="4"/>
  <c r="Q39" i="4" s="1"/>
  <c r="W50" i="22"/>
  <c r="W9" i="26"/>
  <c r="W64" i="22" s="1"/>
  <c r="W27" i="26"/>
  <c r="X27" i="26" s="1"/>
  <c r="M40" i="4"/>
  <c r="N40" i="4" s="1"/>
  <c r="O40" i="4" s="1"/>
  <c r="Q6" i="26"/>
  <c r="Q61" i="22" s="1"/>
  <c r="Q47" i="22"/>
  <c r="Q30" i="26"/>
  <c r="U49" i="22"/>
  <c r="U8" i="26"/>
  <c r="U63" i="22" s="1"/>
  <c r="P11" i="4"/>
  <c r="P20" i="4" s="1"/>
  <c r="P5" i="4"/>
  <c r="P24" i="4"/>
  <c r="P27" i="4"/>
  <c r="P23" i="4"/>
  <c r="P21" i="4"/>
  <c r="L30" i="4"/>
  <c r="L29" i="4"/>
  <c r="P7" i="4"/>
  <c r="J12" i="4"/>
  <c r="J19" i="4"/>
  <c r="J22" i="4" s="1"/>
  <c r="J34" i="4" s="1"/>
  <c r="J36" i="4" s="1"/>
  <c r="J43" i="4" s="1"/>
  <c r="S76" i="22"/>
  <c r="W29" i="26"/>
  <c r="V26" i="26"/>
  <c r="T51" i="22"/>
  <c r="T10" i="26"/>
  <c r="T65" i="22" s="1"/>
  <c r="V50" i="22"/>
  <c r="V9" i="26"/>
  <c r="V64" i="22" s="1"/>
  <c r="U25" i="26"/>
  <c r="J85" i="22"/>
  <c r="X22" i="26"/>
  <c r="X50" i="22" l="1"/>
  <c r="X9" i="26"/>
  <c r="X64" i="22" s="1"/>
  <c r="Y24" i="26"/>
  <c r="W20" i="26"/>
  <c r="V46" i="22"/>
  <c r="V5" i="26"/>
  <c r="V60" i="22" s="1"/>
  <c r="S6" i="26"/>
  <c r="S61" i="22" s="1"/>
  <c r="S47" i="22"/>
  <c r="N26" i="4"/>
  <c r="O25" i="4"/>
  <c r="O26" i="4" s="1"/>
  <c r="L35" i="4"/>
  <c r="L32" i="4"/>
  <c r="U51" i="22"/>
  <c r="U10" i="26"/>
  <c r="U65" i="22" s="1"/>
  <c r="V25" i="26"/>
  <c r="V52" i="22"/>
  <c r="V11" i="26"/>
  <c r="V66" i="22" s="1"/>
  <c r="Q15" i="26"/>
  <c r="Q70" i="22" s="1"/>
  <c r="Q56" i="22"/>
  <c r="R74" i="22"/>
  <c r="Q73" i="22"/>
  <c r="V12" i="26"/>
  <c r="V67" i="22" s="1"/>
  <c r="V53" i="22"/>
  <c r="Q24" i="4"/>
  <c r="Q5" i="4"/>
  <c r="Q27" i="4"/>
  <c r="Q23" i="4"/>
  <c r="Q11" i="4"/>
  <c r="Q20" i="4" s="1"/>
  <c r="Q21" i="4"/>
  <c r="Q7" i="4"/>
  <c r="X48" i="22"/>
  <c r="X7" i="26"/>
  <c r="X62" i="22" s="1"/>
  <c r="W55" i="22"/>
  <c r="W14" i="26"/>
  <c r="W69" i="22" s="1"/>
  <c r="X29" i="26"/>
  <c r="Y29" i="26" s="1"/>
  <c r="T13" i="4"/>
  <c r="R54" i="22"/>
  <c r="R13" i="26"/>
  <c r="R68" i="22" s="1"/>
  <c r="X53" i="22"/>
  <c r="X12" i="26"/>
  <c r="X67" i="22" s="1"/>
  <c r="R47" i="22"/>
  <c r="R6" i="26"/>
  <c r="R61" i="22" s="1"/>
  <c r="R30" i="26"/>
  <c r="T21" i="26"/>
  <c r="J91" i="22"/>
  <c r="K9" i="4" s="1"/>
  <c r="P31" i="4"/>
  <c r="W53" i="22"/>
  <c r="W12" i="26"/>
  <c r="W67" i="22" s="1"/>
  <c r="Q38" i="4"/>
  <c r="Q94" i="22"/>
  <c r="R6" i="4"/>
  <c r="Q71" i="22"/>
  <c r="T76" i="22"/>
  <c r="U76" i="22" s="1"/>
  <c r="V76" i="22" s="1"/>
  <c r="W25" i="26"/>
  <c r="Y22" i="26"/>
  <c r="T92" i="22"/>
  <c r="U92" i="22" s="1"/>
  <c r="Y50" i="22"/>
  <c r="Y9" i="26"/>
  <c r="Y64" i="22" s="1"/>
  <c r="P40" i="4"/>
  <c r="Q40" i="4" s="1"/>
  <c r="Z24" i="26"/>
  <c r="M29" i="4"/>
  <c r="M30" i="4"/>
  <c r="V49" i="22"/>
  <c r="V8" i="26"/>
  <c r="V63" i="22" s="1"/>
  <c r="W23" i="26"/>
  <c r="X23" i="26"/>
  <c r="Y27" i="26"/>
  <c r="N14" i="4"/>
  <c r="T8" i="4"/>
  <c r="P78" i="22"/>
  <c r="P81" i="22" s="1"/>
  <c r="P97" i="22" s="1"/>
  <c r="W26" i="26"/>
  <c r="S28" i="26"/>
  <c r="U21" i="26" l="1"/>
  <c r="X20" i="26"/>
  <c r="W5" i="26"/>
  <c r="W60" i="22" s="1"/>
  <c r="Y20" i="26"/>
  <c r="W46" i="22"/>
  <c r="Z22" i="26"/>
  <c r="AA22" i="26" s="1"/>
  <c r="P25" i="4"/>
  <c r="P26" i="4" s="1"/>
  <c r="Y76" i="22"/>
  <c r="W13" i="4"/>
  <c r="V92" i="22"/>
  <c r="Y14" i="26"/>
  <c r="Y69" i="22" s="1"/>
  <c r="Y55" i="22"/>
  <c r="S54" i="22"/>
  <c r="S13" i="26"/>
  <c r="S68" i="22" s="1"/>
  <c r="W51" i="22"/>
  <c r="W10" i="26"/>
  <c r="W65" i="22" s="1"/>
  <c r="Z9" i="26"/>
  <c r="Z64" i="22" s="1"/>
  <c r="Z50" i="22"/>
  <c r="AA24" i="26"/>
  <c r="AB24" i="26"/>
  <c r="AD24" i="26" s="1"/>
  <c r="U13" i="4"/>
  <c r="W76" i="22"/>
  <c r="R10" i="4"/>
  <c r="R39" i="4" s="1"/>
  <c r="T47" i="22"/>
  <c r="T6" i="26"/>
  <c r="T61" i="22" s="1"/>
  <c r="X14" i="26"/>
  <c r="X69" i="22" s="1"/>
  <c r="X55" i="22"/>
  <c r="W52" i="22"/>
  <c r="W11" i="26"/>
  <c r="W66" i="22" s="1"/>
  <c r="N15" i="4"/>
  <c r="N16" i="4" s="1"/>
  <c r="N17" i="4" s="1"/>
  <c r="O14" i="4"/>
  <c r="O15" i="4" s="1"/>
  <c r="O16" i="4" s="1"/>
  <c r="O17" i="4" s="1"/>
  <c r="U47" i="22"/>
  <c r="U6" i="26"/>
  <c r="U61" i="22" s="1"/>
  <c r="Z7" i="26"/>
  <c r="Z62" i="22" s="1"/>
  <c r="Z48" i="22"/>
  <c r="P14" i="4"/>
  <c r="P15" i="4" s="1"/>
  <c r="P16" i="4" s="1"/>
  <c r="P17" i="4" s="1"/>
  <c r="S30" i="26"/>
  <c r="Y53" i="22"/>
  <c r="Y12" i="26"/>
  <c r="Y67" i="22" s="1"/>
  <c r="K12" i="4"/>
  <c r="K19" i="4"/>
  <c r="K22" i="4" s="1"/>
  <c r="K34" i="4" s="1"/>
  <c r="K36" i="4" s="1"/>
  <c r="K43" i="4" s="1"/>
  <c r="K41" i="4"/>
  <c r="T28" i="26"/>
  <c r="T30" i="26" s="1"/>
  <c r="V13" i="4"/>
  <c r="X76" i="22"/>
  <c r="W92" i="22"/>
  <c r="R94" i="22"/>
  <c r="S6" i="4"/>
  <c r="R71" i="22"/>
  <c r="X8" i="26"/>
  <c r="X63" i="22" s="1"/>
  <c r="X49" i="22"/>
  <c r="M35" i="4"/>
  <c r="M32" i="4"/>
  <c r="K85" i="22"/>
  <c r="Q31" i="4"/>
  <c r="Q25" i="4"/>
  <c r="Q26" i="4" s="1"/>
  <c r="U8" i="4"/>
  <c r="Q78" i="22"/>
  <c r="Q81" i="22" s="1"/>
  <c r="Q97" i="22" s="1"/>
  <c r="Z29" i="26"/>
  <c r="R15" i="26"/>
  <c r="R70" i="22" s="1"/>
  <c r="R56" i="22"/>
  <c r="X25" i="26"/>
  <c r="Y25" i="26" s="1"/>
  <c r="Z27" i="26"/>
  <c r="X26" i="26"/>
  <c r="W8" i="26"/>
  <c r="W63" i="22" s="1"/>
  <c r="W49" i="22"/>
  <c r="Y23" i="26"/>
  <c r="Z23" i="26" s="1"/>
  <c r="AC24" i="26"/>
  <c r="Y7" i="26"/>
  <c r="Y62" i="22" s="1"/>
  <c r="Y48" i="22"/>
  <c r="R11" i="4"/>
  <c r="R20" i="4" s="1"/>
  <c r="R27" i="4"/>
  <c r="R23" i="4"/>
  <c r="R40" i="4" s="1"/>
  <c r="R24" i="4"/>
  <c r="R5" i="4"/>
  <c r="R21" i="4"/>
  <c r="R7" i="4"/>
  <c r="S74" i="22"/>
  <c r="R73" i="22"/>
  <c r="V51" i="22"/>
  <c r="V10" i="26"/>
  <c r="V65" i="22" s="1"/>
  <c r="S94" i="22"/>
  <c r="T6" i="4"/>
  <c r="T7" i="4" s="1"/>
  <c r="S71" i="22"/>
  <c r="AA48" i="22" l="1"/>
  <c r="AB22" i="26"/>
  <c r="AA7" i="26"/>
  <c r="AA62" i="22" s="1"/>
  <c r="Y5" i="26"/>
  <c r="Y60" i="22" s="1"/>
  <c r="Y46" i="22"/>
  <c r="X5" i="26"/>
  <c r="X60" i="22" s="1"/>
  <c r="X46" i="22"/>
  <c r="Z20" i="26"/>
  <c r="W21" i="26"/>
  <c r="V21" i="26"/>
  <c r="T56" i="22"/>
  <c r="T15" i="26"/>
  <c r="T70" i="22" s="1"/>
  <c r="Y51" i="22"/>
  <c r="Y10" i="26"/>
  <c r="Y65" i="22" s="1"/>
  <c r="Z25" i="26"/>
  <c r="X52" i="22"/>
  <c r="X11" i="26"/>
  <c r="X66" i="22" s="1"/>
  <c r="Z13" i="4"/>
  <c r="R38" i="4"/>
  <c r="K91" i="22"/>
  <c r="L9" i="4" s="1"/>
  <c r="L41" i="4" s="1"/>
  <c r="R78" i="22"/>
  <c r="R81" i="22" s="1"/>
  <c r="R97" i="22" s="1"/>
  <c r="V8" i="4"/>
  <c r="AC50" i="22"/>
  <c r="AC9" i="26"/>
  <c r="AC64" i="22" s="1"/>
  <c r="AC22" i="26"/>
  <c r="AD22" i="26" s="1"/>
  <c r="Z76" i="22"/>
  <c r="X13" i="4"/>
  <c r="T74" i="22"/>
  <c r="S73" i="22"/>
  <c r="Y13" i="4"/>
  <c r="P30" i="4"/>
  <c r="P29" i="4"/>
  <c r="O30" i="4"/>
  <c r="O29" i="4"/>
  <c r="T23" i="4"/>
  <c r="T5" i="4"/>
  <c r="T24" i="4"/>
  <c r="T27" i="4"/>
  <c r="T11" i="4"/>
  <c r="T20" i="4" s="1"/>
  <c r="T21" i="4"/>
  <c r="Y49" i="22"/>
  <c r="Y8" i="26"/>
  <c r="Y63" i="22" s="1"/>
  <c r="S23" i="4"/>
  <c r="S27" i="4"/>
  <c r="S5" i="4"/>
  <c r="S11" i="4"/>
  <c r="S20" i="4" s="1"/>
  <c r="S24" i="4"/>
  <c r="S21" i="4"/>
  <c r="S7" i="4"/>
  <c r="N29" i="4"/>
  <c r="N30" i="4"/>
  <c r="R25" i="4"/>
  <c r="R26" i="4" s="1"/>
  <c r="R31" i="4"/>
  <c r="Z55" i="22"/>
  <c r="Z14" i="26"/>
  <c r="Z69" i="22" s="1"/>
  <c r="AA29" i="26"/>
  <c r="AB29" i="26" s="1"/>
  <c r="AB48" i="22"/>
  <c r="AB7" i="26"/>
  <c r="AB62" i="22" s="1"/>
  <c r="S15" i="26"/>
  <c r="S70" i="22" s="1"/>
  <c r="S56" i="22"/>
  <c r="AD9" i="26"/>
  <c r="AD64" i="22" s="1"/>
  <c r="AD50" i="22"/>
  <c r="X92" i="22"/>
  <c r="Y92" i="22" s="1"/>
  <c r="Z53" i="22"/>
  <c r="Z12" i="26"/>
  <c r="Z67" i="22" s="1"/>
  <c r="AA27" i="26"/>
  <c r="AA23" i="26"/>
  <c r="T13" i="26"/>
  <c r="T68" i="22" s="1"/>
  <c r="T54" i="22"/>
  <c r="Y26" i="26"/>
  <c r="Z26" i="26" s="1"/>
  <c r="Q14" i="4"/>
  <c r="Q15" i="4" s="1"/>
  <c r="Q16" i="4" s="1"/>
  <c r="Q17" i="4" s="1"/>
  <c r="T94" i="22"/>
  <c r="U6" i="4"/>
  <c r="T71" i="22"/>
  <c r="AB9" i="26"/>
  <c r="AB64" i="22" s="1"/>
  <c r="AB50" i="22"/>
  <c r="U28" i="26"/>
  <c r="Z49" i="22"/>
  <c r="Z8" i="26"/>
  <c r="Z63" i="22" s="1"/>
  <c r="X51" i="22"/>
  <c r="X10" i="26"/>
  <c r="X65" i="22" s="1"/>
  <c r="U94" i="22"/>
  <c r="V6" i="4"/>
  <c r="U71" i="22"/>
  <c r="AA50" i="22"/>
  <c r="AA9" i="26"/>
  <c r="AA64" i="22" s="1"/>
  <c r="AE24" i="26"/>
  <c r="V6" i="26" l="1"/>
  <c r="V61" i="22" s="1"/>
  <c r="V47" i="22"/>
  <c r="X21" i="26"/>
  <c r="W6" i="26"/>
  <c r="W61" i="22" s="1"/>
  <c r="W47" i="22"/>
  <c r="AA20" i="26"/>
  <c r="Z46" i="22"/>
  <c r="Z5" i="26"/>
  <c r="Z60" i="22" s="1"/>
  <c r="R14" i="4"/>
  <c r="R15" i="4" s="1"/>
  <c r="R16" i="4" s="1"/>
  <c r="R17" i="4" s="1"/>
  <c r="AB55" i="22"/>
  <c r="AB14" i="26"/>
  <c r="AB69" i="22" s="1"/>
  <c r="AC29" i="26"/>
  <c r="AD29" i="26" s="1"/>
  <c r="Z51" i="22"/>
  <c r="Z10" i="26"/>
  <c r="Z65" i="22" s="1"/>
  <c r="U74" i="22"/>
  <c r="T73" i="22"/>
  <c r="V7" i="4"/>
  <c r="Z92" i="22"/>
  <c r="V23" i="4"/>
  <c r="V27" i="4"/>
  <c r="V24" i="4"/>
  <c r="V11" i="4"/>
  <c r="V20" i="4" s="1"/>
  <c r="V5" i="4"/>
  <c r="V21" i="4"/>
  <c r="AA25" i="26"/>
  <c r="P35" i="4"/>
  <c r="P32" i="4"/>
  <c r="U13" i="26"/>
  <c r="U68" i="22" s="1"/>
  <c r="U54" i="22"/>
  <c r="U30" i="26"/>
  <c r="U23" i="4"/>
  <c r="U5" i="4"/>
  <c r="U24" i="4"/>
  <c r="U11" i="4"/>
  <c r="U20" i="4" s="1"/>
  <c r="U27" i="4"/>
  <c r="U21" i="4"/>
  <c r="AA53" i="22"/>
  <c r="AA12" i="26"/>
  <c r="AA67" i="22" s="1"/>
  <c r="AE9" i="26"/>
  <c r="AE64" i="22" s="1"/>
  <c r="AE50" i="22"/>
  <c r="V28" i="26"/>
  <c r="AA14" i="26"/>
  <c r="AA69" i="22" s="1"/>
  <c r="AA55" i="22"/>
  <c r="O35" i="4"/>
  <c r="O32" i="4"/>
  <c r="Y52" i="22"/>
  <c r="Y11" i="26"/>
  <c r="Y66" i="22" s="1"/>
  <c r="AB23" i="26"/>
  <c r="AA13" i="4"/>
  <c r="AD48" i="22"/>
  <c r="AD7" i="26"/>
  <c r="AD62" i="22" s="1"/>
  <c r="U7" i="4"/>
  <c r="AB27" i="26"/>
  <c r="L12" i="4"/>
  <c r="L19" i="4"/>
  <c r="L22" i="4" s="1"/>
  <c r="L34" i="4" s="1"/>
  <c r="L36" i="4" s="1"/>
  <c r="L43" i="4" s="1"/>
  <c r="Q29" i="4"/>
  <c r="Q30" i="4"/>
  <c r="N35" i="4"/>
  <c r="N32" i="4"/>
  <c r="AC48" i="22"/>
  <c r="AC7" i="26"/>
  <c r="AC62" i="22" s="1"/>
  <c r="AE22" i="26"/>
  <c r="L85" i="22"/>
  <c r="S40" i="4"/>
  <c r="T40" i="4" s="1"/>
  <c r="Z52" i="22"/>
  <c r="Z11" i="26"/>
  <c r="Z66" i="22" s="1"/>
  <c r="S14" i="4"/>
  <c r="S15" i="4" s="1"/>
  <c r="S16" i="4" s="1"/>
  <c r="S17" i="4" s="1"/>
  <c r="S31" i="4"/>
  <c r="T31" i="4" s="1"/>
  <c r="S25" i="4"/>
  <c r="S26" i="4" s="1"/>
  <c r="S10" i="4"/>
  <c r="S39" i="4" s="1"/>
  <c r="R30" i="4"/>
  <c r="R29" i="4"/>
  <c r="S78" i="22"/>
  <c r="S81" i="22" s="1"/>
  <c r="S97" i="22" s="1"/>
  <c r="W8" i="4"/>
  <c r="AA49" i="22"/>
  <c r="AA8" i="26"/>
  <c r="AA63" i="22" s="1"/>
  <c r="AA76" i="22"/>
  <c r="AA26" i="26"/>
  <c r="AB26" i="26" s="1"/>
  <c r="AB20" i="26" l="1"/>
  <c r="AA5" i="26"/>
  <c r="AA60" i="22" s="1"/>
  <c r="AA46" i="22"/>
  <c r="W94" i="22"/>
  <c r="W71" i="22"/>
  <c r="X6" i="4"/>
  <c r="T14" i="4"/>
  <c r="T15" i="4" s="1"/>
  <c r="T16" i="4" s="1"/>
  <c r="T17" i="4" s="1"/>
  <c r="X6" i="26"/>
  <c r="X61" i="22" s="1"/>
  <c r="X47" i="22"/>
  <c r="Z21" i="26"/>
  <c r="V94" i="22"/>
  <c r="W6" i="4"/>
  <c r="V71" i="22"/>
  <c r="Y21" i="26"/>
  <c r="AB11" i="26"/>
  <c r="AB66" i="22" s="1"/>
  <c r="AB52" i="22"/>
  <c r="R35" i="4"/>
  <c r="R32" i="4"/>
  <c r="AB53" i="22"/>
  <c r="AB12" i="26"/>
  <c r="AB67" i="22" s="1"/>
  <c r="AC27" i="26"/>
  <c r="W7" i="4"/>
  <c r="AC25" i="26"/>
  <c r="AD25" i="26" s="1"/>
  <c r="U56" i="22"/>
  <c r="U15" i="26"/>
  <c r="U70" i="22" s="1"/>
  <c r="V74" i="22"/>
  <c r="U73" i="22"/>
  <c r="AC55" i="22"/>
  <c r="AC14" i="26"/>
  <c r="AC69" i="22" s="1"/>
  <c r="AB25" i="26"/>
  <c r="S38" i="4"/>
  <c r="T25" i="4"/>
  <c r="T26" i="4" s="1"/>
  <c r="AD55" i="22"/>
  <c r="AD14" i="26"/>
  <c r="AD69" i="22" s="1"/>
  <c r="U14" i="4"/>
  <c r="U15" i="4" s="1"/>
  <c r="U16" i="4" s="1"/>
  <c r="U17" i="4" s="1"/>
  <c r="U25" i="4"/>
  <c r="V25" i="4" s="1"/>
  <c r="V26" i="4" s="1"/>
  <c r="U31" i="4"/>
  <c r="V54" i="22"/>
  <c r="V13" i="26"/>
  <c r="V68" i="22" s="1"/>
  <c r="V30" i="26"/>
  <c r="W28" i="26"/>
  <c r="X28" i="26" s="1"/>
  <c r="AA10" i="26"/>
  <c r="AA65" i="22" s="1"/>
  <c r="AA51" i="22"/>
  <c r="AB13" i="4"/>
  <c r="AB76" i="22"/>
  <c r="S29" i="4"/>
  <c r="S30" i="4"/>
  <c r="M85" i="22"/>
  <c r="L91" i="22"/>
  <c r="M9" i="4" s="1"/>
  <c r="AE7" i="26"/>
  <c r="AE62" i="22" s="1"/>
  <c r="AE48" i="22"/>
  <c r="AB8" i="26"/>
  <c r="AB63" i="22" s="1"/>
  <c r="AB49" i="22"/>
  <c r="AC23" i="26"/>
  <c r="U40" i="4"/>
  <c r="V40" i="4" s="1"/>
  <c r="U26" i="4"/>
  <c r="AA11" i="26"/>
  <c r="AA66" i="22" s="1"/>
  <c r="AA52" i="22"/>
  <c r="T30" i="4"/>
  <c r="T29" i="4"/>
  <c r="Q35" i="4"/>
  <c r="Q32" i="4"/>
  <c r="AA92" i="22"/>
  <c r="AE29" i="26"/>
  <c r="V14" i="4"/>
  <c r="V15" i="4" s="1"/>
  <c r="V16" i="4" s="1"/>
  <c r="V17" i="4" s="1"/>
  <c r="T78" i="22"/>
  <c r="T81" i="22" s="1"/>
  <c r="T97" i="22" s="1"/>
  <c r="X8" i="4"/>
  <c r="AC26" i="26"/>
  <c r="AD26" i="26" s="1"/>
  <c r="W21" i="4" l="1"/>
  <c r="W24" i="4"/>
  <c r="W27" i="4"/>
  <c r="W23" i="4"/>
  <c r="W11" i="4"/>
  <c r="W20" i="4" s="1"/>
  <c r="W5" i="4"/>
  <c r="W31" i="4" s="1"/>
  <c r="W40" i="4"/>
  <c r="X40" i="4" s="1"/>
  <c r="X94" i="22"/>
  <c r="Y6" i="4"/>
  <c r="X71" i="22"/>
  <c r="X21" i="4"/>
  <c r="X23" i="4"/>
  <c r="X11" i="4"/>
  <c r="X20" i="4" s="1"/>
  <c r="X24" i="4"/>
  <c r="X27" i="4"/>
  <c r="X5" i="4"/>
  <c r="Z47" i="22"/>
  <c r="Z6" i="26"/>
  <c r="Z61" i="22" s="1"/>
  <c r="Y6" i="26"/>
  <c r="Y61" i="22" s="1"/>
  <c r="Y47" i="22"/>
  <c r="AB21" i="26"/>
  <c r="AA21" i="26"/>
  <c r="AC20" i="26"/>
  <c r="AB46" i="22"/>
  <c r="AB5" i="26"/>
  <c r="AB60" i="22" s="1"/>
  <c r="V29" i="4"/>
  <c r="V30" i="4"/>
  <c r="AC8" i="26"/>
  <c r="AC63" i="22" s="1"/>
  <c r="AC49" i="22"/>
  <c r="AD23" i="26"/>
  <c r="AE23" i="26" s="1"/>
  <c r="AC10" i="26"/>
  <c r="AC65" i="22" s="1"/>
  <c r="AC51" i="22"/>
  <c r="W14" i="4"/>
  <c r="W15" i="4" s="1"/>
  <c r="W16" i="4" s="1"/>
  <c r="W17" i="4" s="1"/>
  <c r="AB92" i="22"/>
  <c r="AD10" i="26"/>
  <c r="AD65" i="22" s="1"/>
  <c r="AD51" i="22"/>
  <c r="T10" i="4"/>
  <c r="T38" i="4"/>
  <c r="W74" i="22"/>
  <c r="V73" i="22"/>
  <c r="AC12" i="26"/>
  <c r="AC67" i="22" s="1"/>
  <c r="AC53" i="22"/>
  <c r="AD27" i="26"/>
  <c r="S35" i="4"/>
  <c r="S32" i="4"/>
  <c r="AD52" i="22"/>
  <c r="AD11" i="26"/>
  <c r="AD66" i="22" s="1"/>
  <c r="V31" i="4"/>
  <c r="AC13" i="4"/>
  <c r="AC76" i="22"/>
  <c r="AD13" i="4" s="1"/>
  <c r="AC92" i="22"/>
  <c r="U81" i="22"/>
  <c r="U97" i="22" s="1"/>
  <c r="Y8" i="4"/>
  <c r="U78" i="22"/>
  <c r="AC11" i="26"/>
  <c r="AC66" i="22" s="1"/>
  <c r="AC52" i="22"/>
  <c r="AE14" i="26"/>
  <c r="AE69" i="22" s="1"/>
  <c r="AE55" i="22"/>
  <c r="W54" i="22"/>
  <c r="W13" i="26"/>
  <c r="W68" i="22" s="1"/>
  <c r="W30" i="26"/>
  <c r="T35" i="4"/>
  <c r="T32" i="4"/>
  <c r="AD76" i="22"/>
  <c r="AE13" i="4" s="1"/>
  <c r="Y28" i="26"/>
  <c r="U30" i="4"/>
  <c r="U29" i="4"/>
  <c r="M12" i="4"/>
  <c r="M19" i="4"/>
  <c r="M22" i="4" s="1"/>
  <c r="M34" i="4" s="1"/>
  <c r="M36" i="4" s="1"/>
  <c r="M43" i="4" s="1"/>
  <c r="M41" i="4"/>
  <c r="AE25" i="26"/>
  <c r="V56" i="22"/>
  <c r="V15" i="26"/>
  <c r="V70" i="22" s="1"/>
  <c r="AE26" i="26"/>
  <c r="X13" i="26"/>
  <c r="X68" i="22" s="1"/>
  <c r="X54" i="22"/>
  <c r="X30" i="26"/>
  <c r="X7" i="4"/>
  <c r="X14" i="4"/>
  <c r="M91" i="22"/>
  <c r="N9" i="4" s="1"/>
  <c r="AB51" i="22"/>
  <c r="AB10" i="26"/>
  <c r="AB65" i="22" s="1"/>
  <c r="W25" i="4"/>
  <c r="W26" i="4" s="1"/>
  <c r="AC5" i="26" l="1"/>
  <c r="AC60" i="22" s="1"/>
  <c r="AD20" i="26"/>
  <c r="AC46" i="22"/>
  <c r="Y24" i="4"/>
  <c r="Y5" i="4"/>
  <c r="Y31" i="4" s="1"/>
  <c r="Y27" i="4"/>
  <c r="Y21" i="4"/>
  <c r="Y11" i="4"/>
  <c r="Y20" i="4" s="1"/>
  <c r="Y23" i="4"/>
  <c r="Y40" i="4" s="1"/>
  <c r="Y94" i="22"/>
  <c r="Y71" i="22"/>
  <c r="Z6" i="4"/>
  <c r="Z71" i="22"/>
  <c r="Z94" i="22"/>
  <c r="AA6" i="4"/>
  <c r="AA6" i="26"/>
  <c r="AA61" i="22" s="1"/>
  <c r="AA47" i="22"/>
  <c r="Y14" i="4"/>
  <c r="Y15" i="4" s="1"/>
  <c r="Y16" i="4" s="1"/>
  <c r="Y17" i="4" s="1"/>
  <c r="AB6" i="26"/>
  <c r="AB61" i="22" s="1"/>
  <c r="AB47" i="22"/>
  <c r="AD92" i="22"/>
  <c r="AE92" i="22" s="1"/>
  <c r="AC21" i="26"/>
  <c r="AE8" i="26"/>
  <c r="AE63" i="22" s="1"/>
  <c r="AE49" i="22"/>
  <c r="X15" i="4"/>
  <c r="X16" i="4" s="1"/>
  <c r="X17" i="4" s="1"/>
  <c r="X15" i="26"/>
  <c r="X70" i="22" s="1"/>
  <c r="X56" i="22"/>
  <c r="X25" i="4"/>
  <c r="X26" i="4" s="1"/>
  <c r="Y25" i="4"/>
  <c r="N41" i="4"/>
  <c r="AE11" i="26"/>
  <c r="AE66" i="22" s="1"/>
  <c r="AE52" i="22"/>
  <c r="U35" i="4"/>
  <c r="U32" i="4"/>
  <c r="W15" i="26"/>
  <c r="W70" i="22" s="1"/>
  <c r="W56" i="22"/>
  <c r="AD53" i="22"/>
  <c r="AD12" i="26"/>
  <c r="AD67" i="22" s="1"/>
  <c r="AE27" i="26"/>
  <c r="V35" i="4"/>
  <c r="V32" i="4"/>
  <c r="Y7" i="4"/>
  <c r="AD8" i="26"/>
  <c r="AD63" i="22" s="1"/>
  <c r="AD49" i="22"/>
  <c r="N85" i="22"/>
  <c r="X31" i="4"/>
  <c r="N12" i="4"/>
  <c r="N19" i="4"/>
  <c r="N22" i="4" s="1"/>
  <c r="N34" i="4" s="1"/>
  <c r="N36" i="4" s="1"/>
  <c r="N43" i="4" s="1"/>
  <c r="Y54" i="22"/>
  <c r="Y13" i="26"/>
  <c r="Y68" i="22" s="1"/>
  <c r="Y30" i="26"/>
  <c r="Z8" i="4"/>
  <c r="V78" i="22"/>
  <c r="V81" i="22" s="1"/>
  <c r="V97" i="22" s="1"/>
  <c r="AE51" i="22"/>
  <c r="AE10" i="26"/>
  <c r="AE65" i="22" s="1"/>
  <c r="X74" i="22"/>
  <c r="W73" i="22"/>
  <c r="Z28" i="26"/>
  <c r="U10" i="4"/>
  <c r="U38" i="4"/>
  <c r="W29" i="4"/>
  <c r="W30" i="4"/>
  <c r="AE76" i="22"/>
  <c r="AF13" i="4" s="1"/>
  <c r="T39" i="4"/>
  <c r="U39" i="4" s="1"/>
  <c r="AB71" i="22" l="1"/>
  <c r="AC6" i="4"/>
  <c r="AB94" i="22"/>
  <c r="Y26" i="4"/>
  <c r="AC6" i="26"/>
  <c r="AC61" i="22" s="1"/>
  <c r="AC47" i="22"/>
  <c r="AA71" i="22"/>
  <c r="AA94" i="22"/>
  <c r="AB6" i="4"/>
  <c r="AA23" i="4"/>
  <c r="AA11" i="4"/>
  <c r="AA20" i="4" s="1"/>
  <c r="AA5" i="4"/>
  <c r="AA27" i="4"/>
  <c r="AA24" i="4"/>
  <c r="AA21" i="4"/>
  <c r="AE20" i="26"/>
  <c r="AD5" i="26"/>
  <c r="AD60" i="22" s="1"/>
  <c r="AD46" i="22"/>
  <c r="AE21" i="26"/>
  <c r="AE47" i="22" s="1"/>
  <c r="Z24" i="4"/>
  <c r="Z11" i="4"/>
  <c r="Z20" i="4" s="1"/>
  <c r="Z21" i="4"/>
  <c r="Z23" i="4"/>
  <c r="Z40" i="4" s="1"/>
  <c r="AA40" i="4" s="1"/>
  <c r="Z5" i="4"/>
  <c r="Z27" i="4"/>
  <c r="AD21" i="26"/>
  <c r="X30" i="4"/>
  <c r="X29" i="4"/>
  <c r="T17" i="22"/>
  <c r="E53" i="4" s="1"/>
  <c r="V10" i="4"/>
  <c r="N91" i="22"/>
  <c r="O9" i="4" s="1"/>
  <c r="Z13" i="26"/>
  <c r="Z68" i="22" s="1"/>
  <c r="Z54" i="22"/>
  <c r="Z30" i="26"/>
  <c r="Z7" i="4"/>
  <c r="AA8" i="4"/>
  <c r="W78" i="22"/>
  <c r="W81" i="22" s="1"/>
  <c r="W97" i="22" s="1"/>
  <c r="AE53" i="22"/>
  <c r="AE12" i="26"/>
  <c r="AE67" i="22" s="1"/>
  <c r="AE6" i="26"/>
  <c r="AE61" i="22" s="1"/>
  <c r="Y74" i="22"/>
  <c r="X73" i="22"/>
  <c r="AA28" i="26"/>
  <c r="Y29" i="4"/>
  <c r="Y30" i="4"/>
  <c r="W35" i="4"/>
  <c r="W32" i="4"/>
  <c r="Y56" i="22"/>
  <c r="Y15" i="26"/>
  <c r="Y70" i="22" s="1"/>
  <c r="Z31" i="4"/>
  <c r="AA31" i="4" s="1"/>
  <c r="AA25" i="4" l="1"/>
  <c r="AB25" i="4" s="1"/>
  <c r="AB5" i="4"/>
  <c r="AB24" i="4"/>
  <c r="AB23" i="4"/>
  <c r="AB40" i="4" s="1"/>
  <c r="AC40" i="4" s="1"/>
  <c r="AB11" i="4"/>
  <c r="AB20" i="4" s="1"/>
  <c r="AB21" i="4"/>
  <c r="AB27" i="4"/>
  <c r="AC71" i="22"/>
  <c r="AD6" i="4"/>
  <c r="AC94" i="22"/>
  <c r="AE5" i="26"/>
  <c r="AE60" i="22" s="1"/>
  <c r="AE46" i="22"/>
  <c r="AD6" i="26"/>
  <c r="AD61" i="22" s="1"/>
  <c r="AD47" i="22"/>
  <c r="AC27" i="4"/>
  <c r="AC24" i="4"/>
  <c r="AC11" i="4"/>
  <c r="AC20" i="4" s="1"/>
  <c r="AC21" i="4"/>
  <c r="AC23" i="4"/>
  <c r="AC5" i="4"/>
  <c r="AC31" i="4" s="1"/>
  <c r="Z14" i="4"/>
  <c r="Z15" i="4" s="1"/>
  <c r="Z16" i="4" s="1"/>
  <c r="Z17" i="4" s="1"/>
  <c r="Z30" i="4" s="1"/>
  <c r="Z25" i="4"/>
  <c r="Z26" i="4" s="1"/>
  <c r="Y35" i="4"/>
  <c r="Y32" i="4"/>
  <c r="AE94" i="22"/>
  <c r="T9" i="22"/>
  <c r="AE73" i="22"/>
  <c r="AF6" i="4"/>
  <c r="AE71" i="22"/>
  <c r="O12" i="4"/>
  <c r="O19" i="4"/>
  <c r="O22" i="4" s="1"/>
  <c r="O34" i="4" s="1"/>
  <c r="O36" i="4" s="1"/>
  <c r="O43" i="4" s="1"/>
  <c r="AA13" i="26"/>
  <c r="AA68" i="22" s="1"/>
  <c r="AA54" i="22"/>
  <c r="AA30" i="26"/>
  <c r="AA7" i="4"/>
  <c r="O85" i="22"/>
  <c r="X35" i="4"/>
  <c r="X32" i="4"/>
  <c r="V39" i="4"/>
  <c r="AB8" i="4"/>
  <c r="X78" i="22"/>
  <c r="X81" i="22"/>
  <c r="X97" i="22" s="1"/>
  <c r="Z56" i="22"/>
  <c r="Z15" i="26"/>
  <c r="Z70" i="22" s="1"/>
  <c r="O41" i="4"/>
  <c r="AB28" i="26"/>
  <c r="AC28" i="26" s="1"/>
  <c r="V38" i="4"/>
  <c r="Z74" i="22"/>
  <c r="Y73" i="22"/>
  <c r="AB31" i="4"/>
  <c r="AD23" i="4" l="1"/>
  <c r="AD40" i="4" s="1"/>
  <c r="AD27" i="4"/>
  <c r="AD5" i="4"/>
  <c r="AD24" i="4"/>
  <c r="AD11" i="4"/>
  <c r="AD20" i="4" s="1"/>
  <c r="AD21" i="4"/>
  <c r="AC26" i="4"/>
  <c r="AD94" i="22"/>
  <c r="AE6" i="4"/>
  <c r="AD71" i="22"/>
  <c r="AA26" i="4"/>
  <c r="AB26" i="4"/>
  <c r="AA14" i="4"/>
  <c r="Z29" i="4"/>
  <c r="Z35" i="4" s="1"/>
  <c r="AC25" i="4"/>
  <c r="AC54" i="22"/>
  <c r="AC13" i="26"/>
  <c r="AC68" i="22" s="1"/>
  <c r="AC30" i="26"/>
  <c r="AD28" i="26"/>
  <c r="AF23" i="4"/>
  <c r="AF27" i="4"/>
  <c r="AF24" i="4"/>
  <c r="AF11" i="4"/>
  <c r="AF20" i="4" s="1"/>
  <c r="T10" i="22"/>
  <c r="AE78" i="22"/>
  <c r="AE81" i="22" s="1"/>
  <c r="AE97" i="22" s="1"/>
  <c r="AA56" i="22"/>
  <c r="AA15" i="26"/>
  <c r="AA70" i="22" s="1"/>
  <c r="AC8" i="4"/>
  <c r="Y78" i="22"/>
  <c r="Y81" i="22"/>
  <c r="Y97" i="22" s="1"/>
  <c r="O91" i="22"/>
  <c r="P9" i="4" s="1"/>
  <c r="AA74" i="22"/>
  <c r="Z73" i="22"/>
  <c r="AB13" i="26"/>
  <c r="AB68" i="22" s="1"/>
  <c r="AB54" i="22"/>
  <c r="AB30" i="26"/>
  <c r="W10" i="4"/>
  <c r="W38" i="4" s="1"/>
  <c r="Z32" i="4"/>
  <c r="AB7" i="4"/>
  <c r="AE24" i="4" l="1"/>
  <c r="AE23" i="4"/>
  <c r="AE21" i="4"/>
  <c r="AE5" i="4"/>
  <c r="AE11" i="4"/>
  <c r="AE20" i="4" s="1"/>
  <c r="AE27" i="4"/>
  <c r="AF5" i="4"/>
  <c r="AD25" i="4"/>
  <c r="AD26" i="4" s="1"/>
  <c r="AB14" i="4"/>
  <c r="AA15" i="4"/>
  <c r="AA16" i="4" s="1"/>
  <c r="AA17" i="4" s="1"/>
  <c r="AF21" i="4"/>
  <c r="AD31" i="4"/>
  <c r="X10" i="4"/>
  <c r="X38" i="4"/>
  <c r="P85" i="22"/>
  <c r="P12" i="4"/>
  <c r="P19" i="4"/>
  <c r="P22" i="4" s="1"/>
  <c r="P34" i="4" s="1"/>
  <c r="P36" i="4" s="1"/>
  <c r="P43" i="4" s="1"/>
  <c r="AC7" i="4"/>
  <c r="AB56" i="22"/>
  <c r="AB15" i="26"/>
  <c r="AB70" i="22" s="1"/>
  <c r="P41" i="4"/>
  <c r="AG23" i="4"/>
  <c r="AH24" i="4" s="1"/>
  <c r="AD54" i="22"/>
  <c r="AD13" i="26"/>
  <c r="AD68" i="22" s="1"/>
  <c r="AD30" i="26"/>
  <c r="AE28" i="26"/>
  <c r="AD8" i="4"/>
  <c r="Z78" i="22"/>
  <c r="Z81" i="22" s="1"/>
  <c r="Z97" i="22" s="1"/>
  <c r="W39" i="4"/>
  <c r="X39" i="4" s="1"/>
  <c r="AB74" i="22"/>
  <c r="AA73" i="22"/>
  <c r="AC15" i="26"/>
  <c r="AC70" i="22" s="1"/>
  <c r="AC56" i="22"/>
  <c r="AA29" i="4" l="1"/>
  <c r="AA30" i="4"/>
  <c r="AC14" i="4"/>
  <c r="AB15" i="4"/>
  <c r="AB16" i="4" s="1"/>
  <c r="AB17" i="4" s="1"/>
  <c r="AE25" i="4"/>
  <c r="AF25" i="4" s="1"/>
  <c r="AF26" i="4" s="1"/>
  <c r="AE31" i="4"/>
  <c r="AE26" i="4"/>
  <c r="AF31" i="4"/>
  <c r="AE40" i="4"/>
  <c r="AF40" i="4" s="1"/>
  <c r="AG40" i="4" s="1"/>
  <c r="AC74" i="22"/>
  <c r="AB73" i="22"/>
  <c r="AD56" i="22"/>
  <c r="AD15" i="26"/>
  <c r="AD70" i="22" s="1"/>
  <c r="AD7" i="4"/>
  <c r="P91" i="22"/>
  <c r="Q9" i="4" s="1"/>
  <c r="Q41" i="4" s="1"/>
  <c r="Y10" i="4"/>
  <c r="AE13" i="26"/>
  <c r="AE68" i="22" s="1"/>
  <c r="AE54" i="22"/>
  <c r="AE30" i="26"/>
  <c r="AA78" i="22"/>
  <c r="AA81" i="22" s="1"/>
  <c r="AA97" i="22" s="1"/>
  <c r="AE8" i="4"/>
  <c r="AB30" i="4" l="1"/>
  <c r="AB29" i="4"/>
  <c r="AD14" i="4"/>
  <c r="AC15" i="4"/>
  <c r="AC16" i="4" s="1"/>
  <c r="AC17" i="4" s="1"/>
  <c r="AA32" i="4"/>
  <c r="AA35" i="4"/>
  <c r="AE56" i="22"/>
  <c r="AE15" i="26"/>
  <c r="AE70" i="22" s="1"/>
  <c r="Y39" i="4"/>
  <c r="Y38" i="4"/>
  <c r="AE7" i="4"/>
  <c r="Q12" i="4"/>
  <c r="Q19" i="4"/>
  <c r="Q22" i="4" s="1"/>
  <c r="Q34" i="4" s="1"/>
  <c r="Q36" i="4" s="1"/>
  <c r="Q43" i="4" s="1"/>
  <c r="Q85" i="22"/>
  <c r="AF8" i="4"/>
  <c r="AB78" i="22"/>
  <c r="AB81" i="22" s="1"/>
  <c r="AB97" i="22" s="1"/>
  <c r="AD74" i="22"/>
  <c r="AD73" i="22" s="1"/>
  <c r="AC73" i="22"/>
  <c r="AB35" i="4" l="1"/>
  <c r="AB32" i="4"/>
  <c r="AC29" i="4"/>
  <c r="AC30" i="4"/>
  <c r="AE14" i="4"/>
  <c r="AE15" i="4" s="1"/>
  <c r="AE16" i="4" s="1"/>
  <c r="AE17" i="4" s="1"/>
  <c r="AE29" i="4" s="1"/>
  <c r="AD15" i="4"/>
  <c r="AD16" i="4" s="1"/>
  <c r="AD17" i="4" s="1"/>
  <c r="AC78" i="22"/>
  <c r="AC81" i="22"/>
  <c r="AC97" i="22" s="1"/>
  <c r="Z10" i="4"/>
  <c r="Z38" i="4" s="1"/>
  <c r="AD78" i="22"/>
  <c r="AD81" i="22" s="1"/>
  <c r="AD97" i="22" s="1"/>
  <c r="AF7" i="4"/>
  <c r="Q91" i="22"/>
  <c r="R9" i="4" s="1"/>
  <c r="AE30" i="4" l="1"/>
  <c r="AC35" i="4"/>
  <c r="AC32" i="4"/>
  <c r="AF14" i="4"/>
  <c r="AF15" i="4" s="1"/>
  <c r="AF16" i="4" s="1"/>
  <c r="AF17" i="4" s="1"/>
  <c r="AD29" i="4"/>
  <c r="AD30" i="4"/>
  <c r="AA10" i="4"/>
  <c r="AA38" i="4"/>
  <c r="AE35" i="4"/>
  <c r="AE32" i="4"/>
  <c r="AF29" i="4"/>
  <c r="AF30" i="4"/>
  <c r="Z39" i="4"/>
  <c r="R12" i="4"/>
  <c r="R19" i="4"/>
  <c r="R22" i="4" s="1"/>
  <c r="R34" i="4" s="1"/>
  <c r="R36" i="4" s="1"/>
  <c r="R43" i="4" s="1"/>
  <c r="R41" i="4"/>
  <c r="R85" i="22"/>
  <c r="AD32" i="4" l="1"/>
  <c r="AD35" i="4"/>
  <c r="AA39" i="4"/>
  <c r="R91" i="22"/>
  <c r="S9" i="4" s="1"/>
  <c r="S41" i="4" s="1"/>
  <c r="AB10" i="4"/>
  <c r="AB38" i="4"/>
  <c r="AF35" i="4"/>
  <c r="AF32" i="4"/>
  <c r="AB39" i="4"/>
  <c r="AC10" i="4" l="1"/>
  <c r="S12" i="4"/>
  <c r="S19" i="4"/>
  <c r="S22" i="4" s="1"/>
  <c r="S34" i="4" s="1"/>
  <c r="S36" i="4" s="1"/>
  <c r="S43" i="4" s="1"/>
  <c r="AC39" i="4"/>
  <c r="S85" i="22"/>
  <c r="S91" i="22" l="1"/>
  <c r="T9" i="4" s="1"/>
  <c r="AC38" i="4"/>
  <c r="AD10" i="4" l="1"/>
  <c r="T12" i="4"/>
  <c r="T19" i="4"/>
  <c r="T22" i="4" s="1"/>
  <c r="T34" i="4" s="1"/>
  <c r="T36" i="4" s="1"/>
  <c r="T43" i="4" s="1"/>
  <c r="T41" i="4"/>
  <c r="T85" i="22"/>
  <c r="T91" i="22" l="1"/>
  <c r="U9" i="4" s="1"/>
  <c r="U41" i="4" s="1"/>
  <c r="AD39" i="4"/>
  <c r="AD38" i="4"/>
  <c r="AE10" i="4" l="1"/>
  <c r="AE39" i="4"/>
  <c r="U12" i="4"/>
  <c r="U19" i="4"/>
  <c r="U22" i="4" s="1"/>
  <c r="U34" i="4" s="1"/>
  <c r="U36" i="4" s="1"/>
  <c r="U43" i="4" s="1"/>
  <c r="U85" i="22"/>
  <c r="U91" i="22" l="1"/>
  <c r="V9" i="4" s="1"/>
  <c r="AE38" i="4"/>
  <c r="V12" i="4" l="1"/>
  <c r="V19" i="4"/>
  <c r="V22" i="4" s="1"/>
  <c r="V34" i="4" s="1"/>
  <c r="V36" i="4" s="1"/>
  <c r="V43" i="4" s="1"/>
  <c r="V41" i="4"/>
  <c r="V85" i="22"/>
  <c r="AF10" i="4"/>
  <c r="AF39" i="4" l="1"/>
  <c r="AG39" i="4" s="1"/>
  <c r="AF38" i="4"/>
  <c r="AG38" i="4" s="1"/>
  <c r="V91" i="22"/>
  <c r="W9" i="4" s="1"/>
  <c r="W12" i="4" l="1"/>
  <c r="W19" i="4"/>
  <c r="W22" i="4" s="1"/>
  <c r="W34" i="4" s="1"/>
  <c r="W36" i="4" s="1"/>
  <c r="W43" i="4" s="1"/>
  <c r="W41" i="4"/>
  <c r="W85" i="22"/>
  <c r="W91" i="22" l="1"/>
  <c r="X9" i="4" s="1"/>
  <c r="X12" i="4" l="1"/>
  <c r="X19" i="4"/>
  <c r="X22" i="4" s="1"/>
  <c r="X34" i="4" s="1"/>
  <c r="X36" i="4" s="1"/>
  <c r="X43" i="4" s="1"/>
  <c r="X41" i="4"/>
  <c r="X85" i="22"/>
  <c r="X91" i="22" l="1"/>
  <c r="Y9" i="4" s="1"/>
  <c r="Y41" i="4" s="1"/>
  <c r="Y12" i="4" l="1"/>
  <c r="Y19" i="4"/>
  <c r="Y22" i="4" s="1"/>
  <c r="Y34" i="4" s="1"/>
  <c r="Y36" i="4" s="1"/>
  <c r="Y43" i="4" s="1"/>
  <c r="Y85" i="22"/>
  <c r="Y91" i="22" l="1"/>
  <c r="Z9" i="4" s="1"/>
  <c r="Z12" i="4" l="1"/>
  <c r="Z19" i="4"/>
  <c r="Z22" i="4" s="1"/>
  <c r="Z34" i="4" s="1"/>
  <c r="Z36" i="4" s="1"/>
  <c r="Z43" i="4" s="1"/>
  <c r="Z41" i="4"/>
  <c r="Z85" i="22"/>
  <c r="Z91" i="22" l="1"/>
  <c r="AA9" i="4" s="1"/>
  <c r="AA41" i="4" s="1"/>
  <c r="AA12" i="4" l="1"/>
  <c r="AA19" i="4"/>
  <c r="AA22" i="4" s="1"/>
  <c r="AA34" i="4" s="1"/>
  <c r="AA36" i="4" s="1"/>
  <c r="AA43" i="4" s="1"/>
  <c r="AA85" i="22"/>
  <c r="AA91" i="22" l="1"/>
  <c r="AB9" i="4" s="1"/>
  <c r="AB12" i="4" l="1"/>
  <c r="AB19" i="4"/>
  <c r="AB22" i="4" s="1"/>
  <c r="AB34" i="4" s="1"/>
  <c r="AB36" i="4" s="1"/>
  <c r="AB43" i="4" s="1"/>
  <c r="AB41" i="4"/>
  <c r="AB85" i="22"/>
  <c r="AB91" i="22" l="1"/>
  <c r="AC9" i="4" s="1"/>
  <c r="AC85" i="22" l="1"/>
  <c r="AC12" i="4"/>
  <c r="AC19" i="4"/>
  <c r="AC22" i="4" s="1"/>
  <c r="AC34" i="4" s="1"/>
  <c r="AC36" i="4" s="1"/>
  <c r="AC43" i="4" s="1"/>
  <c r="AC41" i="4"/>
  <c r="AC91" i="22" l="1"/>
  <c r="AD9" i="4" s="1"/>
  <c r="AD12" i="4" l="1"/>
  <c r="AD19" i="4"/>
  <c r="AD22" i="4" s="1"/>
  <c r="AD34" i="4" s="1"/>
  <c r="AD36" i="4" s="1"/>
  <c r="AD43" i="4" s="1"/>
  <c r="AD85" i="22"/>
  <c r="AD41" i="4"/>
  <c r="AD91" i="22" l="1"/>
  <c r="AE9" i="4" s="1"/>
  <c r="AE12" i="4" l="1"/>
  <c r="AE19" i="4"/>
  <c r="AE22" i="4" s="1"/>
  <c r="AE34" i="4" s="1"/>
  <c r="AE36" i="4" s="1"/>
  <c r="AE43" i="4" s="1"/>
  <c r="AE85" i="22"/>
  <c r="AE91" i="22" s="1"/>
  <c r="AF9" i="4" s="1"/>
  <c r="AE41" i="4"/>
  <c r="AF41" i="4" l="1"/>
  <c r="AG41" i="4" s="1"/>
  <c r="AF12" i="4"/>
  <c r="AF19" i="4"/>
  <c r="AF22" i="4" s="1"/>
  <c r="AF34" i="4" s="1"/>
  <c r="AF36" i="4" l="1"/>
  <c r="AF43" i="4" s="1"/>
  <c r="D71" i="4"/>
  <c r="D77" i="4" l="1"/>
  <c r="D70" i="4"/>
  <c r="D78" i="4"/>
  <c r="D72" i="4" l="1"/>
  <c r="E70" i="4"/>
  <c r="D75" i="4" l="1"/>
  <c r="E71" i="4"/>
  <c r="D80" i="4" l="1"/>
  <c r="H40" i="1"/>
  <c r="D74" i="4"/>
  <c r="J42" i="1" s="1"/>
  <c r="E78" i="4"/>
  <c r="E77"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D45" authorId="3"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Catarina Sofia Cruz Margalhau</author>
    <author>Raul Vasconcelos da Silva</author>
  </authors>
  <commentList>
    <comment ref="C39" authorId="0" shapeId="0" xr:uid="{76F2C689-1384-4A8F-89A3-7A9E012897EA}">
      <text>
        <r>
          <rPr>
            <sz val="10"/>
            <rFont val="Arial"/>
            <family val="2"/>
          </rPr>
          <t xml:space="preserve">Catarina Sofia Cruz Margalhau:
The intangible assets of the company are Goodwill. There are no amortization of goodwill as an intangible asset.
</t>
        </r>
      </text>
    </comment>
    <comment ref="E50" authorId="1" shapeId="0" xr:uid="{AB5C7B1E-7302-4608-AB32-122D156CB3B8}">
      <text>
        <r>
          <rPr>
            <sz val="10"/>
            <rFont val="Arial"/>
            <family val="2"/>
          </rPr>
          <t>Raul Vasconcelos da Silva:
Given that the firm has strong financial health and the major risks Lennar faces are macroeconomic and related to the Real Estate sector, its premium is already to be included in the Equity premium.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Damião Ribeiro</author>
    <author>Damião Carvalho Perdigão Gonçalves Ribeiro</author>
    <author>Raul Vasconcelos</author>
    <author>Raul Vasconcelos da Silva</author>
  </authors>
  <commentList>
    <comment ref="O23" authorId="0" shapeId="0" xr:uid="{4933DAFF-721E-4DD7-9652-E02D2A561EE8}">
      <text>
        <r>
          <rPr>
            <b/>
            <sz val="9"/>
            <color indexed="81"/>
            <rFont val="Tahoma"/>
            <family val="2"/>
          </rPr>
          <t>Damião Ribeiro:</t>
        </r>
        <r>
          <rPr>
            <sz val="9"/>
            <color indexed="81"/>
            <rFont val="Tahoma"/>
            <family val="2"/>
          </rPr>
          <t xml:space="preserve">
Average YoY Growth (Gross PPE)</t>
        </r>
      </text>
    </comment>
    <comment ref="P23" authorId="1" shapeId="0" xr:uid="{6E478CFC-98B1-491D-B9A2-4B23F33AC43B}">
      <text>
        <r>
          <rPr>
            <sz val="10"/>
            <rFont val="Arial"/>
            <family val="2"/>
          </rPr>
          <t>Damião Carvalho Perdigão Gonçalves Ribeiro:
Average YoY Growth (Gross PPE)</t>
        </r>
      </text>
    </comment>
    <comment ref="Q23" authorId="1" shapeId="0" xr:uid="{1EA63F23-E7A6-4972-8A14-A15EA6172957}">
      <text>
        <r>
          <rPr>
            <sz val="10"/>
            <rFont val="Arial"/>
            <family val="2"/>
          </rPr>
          <t>Damião Carvalho Perdigão Gonçalves Ribeiro:
Average YoY Growth (Gross PPE)</t>
        </r>
      </text>
    </comment>
    <comment ref="B73" authorId="2" shapeId="0" xr:uid="{5362947D-A418-44E8-9373-293BBE502EA8}">
      <text>
        <r>
          <rPr>
            <b/>
            <sz val="9"/>
            <color indexed="81"/>
            <rFont val="Tahoma"/>
            <family val="2"/>
          </rPr>
          <t>Raul Vasconcelos:</t>
        </r>
        <r>
          <rPr>
            <sz val="9"/>
            <color indexed="81"/>
            <rFont val="Tahoma"/>
            <family val="2"/>
          </rPr>
          <t xml:space="preserve">
Projected up to 2026 with analysts consenus, after that margins will converge to 14% as the industry tends to get more competitive, reducing margins</t>
        </r>
      </text>
    </comment>
    <comment ref="B87" authorId="3" shapeId="0" xr:uid="{F7B69D79-4DE3-4461-890B-180D95EF5CD8}">
      <text>
        <r>
          <rPr>
            <sz val="10"/>
            <rFont val="Arial"/>
            <family val="2"/>
          </rPr>
          <t>Raul Vasconcelos da Silva:
annual amortization ofdebt of 4% of 2023 value</t>
        </r>
      </text>
    </comment>
    <comment ref="B100" authorId="2" shapeId="0" xr:uid="{19DCF913-D13C-4300-995E-E2659DE88858}">
      <text>
        <r>
          <rPr>
            <b/>
            <sz val="9"/>
            <color indexed="81"/>
            <rFont val="Tahoma"/>
            <family val="2"/>
          </rPr>
          <t>Raul Vasconcelos:</t>
        </r>
        <r>
          <rPr>
            <sz val="9"/>
            <color indexed="81"/>
            <rFont val="Tahoma"/>
            <family val="2"/>
          </rPr>
          <t xml:space="preserve">
5bln of repurchases with undetermined expiry date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2">
    <bk>
      <extLst>
        <ext uri="{3e2802c4-a4d2-4d8b-9148-e3be6c30e623}">
          <xlrd:rvb i="6"/>
        </ext>
      </extLst>
    </bk>
    <bk>
      <extLst>
        <ext uri="{3e2802c4-a4d2-4d8b-9148-e3be6c30e623}">
          <xlrd:rvb i="7"/>
        </ext>
      </extLst>
    </bk>
    <bk>
      <extLst>
        <ext uri="{3e2802c4-a4d2-4d8b-9148-e3be6c30e623}">
          <xlrd:rvb i="10"/>
        </ext>
      </extLst>
    </bk>
    <bk>
      <extLst>
        <ext uri="{3e2802c4-a4d2-4d8b-9148-e3be6c30e623}">
          <xlrd:rvb i="13"/>
        </ext>
      </extLst>
    </bk>
    <bk>
      <extLst>
        <ext uri="{3e2802c4-a4d2-4d8b-9148-e3be6c30e623}">
          <xlrd:rvb i="16"/>
        </ext>
      </extLst>
    </bk>
    <bk>
      <extLst>
        <ext uri="{3e2802c4-a4d2-4d8b-9148-e3be6c30e623}">
          <xlrd:rvb i="19"/>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futureMetadata>
  <futureMetadata name="XLDAPR" count="1">
    <bk>
      <extLst>
        <ext uri="{bdbb8cdc-fa1e-496e-a857-3c3f30c029c3}">
          <xda:dynamicArrayProperties fDynamic="1" fCollapsed="0"/>
        </ext>
      </extLst>
    </bk>
  </futureMetadata>
  <cellMetadata count="1">
    <bk>
      <rc t="2" v="0"/>
    </bk>
  </cellMetadata>
  <valueMetadata count="12">
    <bk>
      <rc t="1" v="0"/>
    </bk>
    <bk>
      <rc t="1" v="1"/>
    </bk>
    <bk>
      <rc t="1" v="2"/>
    </bk>
    <bk>
      <rc t="1" v="3"/>
    </bk>
    <bk>
      <rc t="1" v="4"/>
    </bk>
    <bk>
      <rc t="1" v="5"/>
    </bk>
    <bk>
      <rc t="1" v="6"/>
    </bk>
    <bk>
      <rc t="1" v="7"/>
    </bk>
    <bk>
      <rc t="1" v="8"/>
    </bk>
    <bk>
      <rc t="1" v="9"/>
    </bk>
    <bk>
      <rc t="1" v="10"/>
    </bk>
    <bk>
      <rc t="1" v="11"/>
    </bk>
  </valueMetadata>
</metadata>
</file>

<file path=xl/sharedStrings.xml><?xml version="1.0" encoding="utf-8"?>
<sst xmlns="http://schemas.openxmlformats.org/spreadsheetml/2006/main" count="1938" uniqueCount="917">
  <si>
    <t>27/09/2024</t>
  </si>
  <si>
    <t>Team 6</t>
  </si>
  <si>
    <t xml:space="preserve">SIC: </t>
  </si>
  <si>
    <t>COMPANY DESCRIPTION</t>
  </si>
  <si>
    <t>CEO &amp; BOARD OF DIRECTORS</t>
  </si>
  <si>
    <t>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Its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t>
  </si>
  <si>
    <t>Name, Age and Tenure</t>
  </si>
  <si>
    <t>Gender</t>
  </si>
  <si>
    <t>Executive?</t>
  </si>
  <si>
    <t>Other roles</t>
  </si>
  <si>
    <t>Amy Banse (65;3)</t>
  </si>
  <si>
    <t>W</t>
  </si>
  <si>
    <t>N</t>
  </si>
  <si>
    <t>Senior Advisor to Executive Committee of Comcast Corporation</t>
  </si>
  <si>
    <t>Theron (Tig) Gilliam (59;14)</t>
  </si>
  <si>
    <t>M</t>
  </si>
  <si>
    <t>Chief Executive Officer, NES Global Talent</t>
  </si>
  <si>
    <t>Sherrill W. Hudson (81;16)</t>
  </si>
  <si>
    <t>Retired Chairman of the Board and former Chief Executive Officer TECO Energy, Inc.</t>
  </si>
  <si>
    <t>Jonathan M. Jaffe (64;7/6)</t>
  </si>
  <si>
    <t>Y</t>
  </si>
  <si>
    <t>Co-Chief Executive Officer and President, Lennar Corporation</t>
  </si>
  <si>
    <t>Sidney Lapidus (86;27)</t>
  </si>
  <si>
    <t>Retired Partner; Warburg Pincus, LLC</t>
  </si>
  <si>
    <t>Teri P. McClure (60;11)</t>
  </si>
  <si>
    <t>Retired Chief Human Resources Officer and Senior Vice President Labor, UPS</t>
  </si>
  <si>
    <t>Stuart Miller (67;34)</t>
  </si>
  <si>
    <t>Executive Chairman and Co-Chief Executive Officer, Lennar Corporation</t>
  </si>
  <si>
    <t>Armando Oliveira (74;9)</t>
  </si>
  <si>
    <t>Retired President and Chief Executive Officer of Florida Power &amp; Light Company</t>
  </si>
  <si>
    <t>Dacona Smith (51;1)</t>
  </si>
  <si>
    <t>Retired Executive Vice President and Chief Operations Officer, Walmart</t>
  </si>
  <si>
    <t>Jeffrey Sonnenfield (69;19)</t>
  </si>
  <si>
    <t>Senior Associate Dean and the Lester Crown Professor-in-the-Practice of Management  for the Yale School of Management President, Chief Executive Leadership Institute of Yale University</t>
  </si>
  <si>
    <t>Serena Wolfe (44;1)</t>
  </si>
  <si>
    <t>Chief Financial Officer, Annaly Capital Management, Inc.</t>
  </si>
  <si>
    <t>COMPANY OVERVIEW</t>
  </si>
  <si>
    <t>Stock</t>
  </si>
  <si>
    <t>Liquidity and Solvency</t>
  </si>
  <si>
    <t>Segments</t>
  </si>
  <si>
    <t>Multiples</t>
  </si>
  <si>
    <t>Last Price</t>
  </si>
  <si>
    <t>Total Assets</t>
  </si>
  <si>
    <t>Regions</t>
  </si>
  <si>
    <t>% Sales</t>
  </si>
  <si>
    <t>Reporting Year</t>
  </si>
  <si>
    <t>Float</t>
  </si>
  <si>
    <t>Outstanding Shares</t>
  </si>
  <si>
    <t>Total Liabilities</t>
  </si>
  <si>
    <t>End of Year</t>
  </si>
  <si>
    <t>Insiders Own</t>
  </si>
  <si>
    <t>Market Cap.</t>
  </si>
  <si>
    <t>Cash/Share</t>
  </si>
  <si>
    <t>EBITDA</t>
  </si>
  <si>
    <t>b (Yahoo)</t>
  </si>
  <si>
    <t>+Total Debt</t>
  </si>
  <si>
    <t>EBITDA/Net Financial Cost (NFC)</t>
  </si>
  <si>
    <t>Depreciation &amp; Amortization</t>
  </si>
  <si>
    <t>Score (S&amp;P)</t>
  </si>
  <si>
    <t>-Cash</t>
  </si>
  <si>
    <t>Debt/EBITDA</t>
  </si>
  <si>
    <t>EBIT</t>
  </si>
  <si>
    <t>Price/Book Value</t>
  </si>
  <si>
    <t>=Enterprise Value</t>
  </si>
  <si>
    <t>"Others Assets"/Asset</t>
  </si>
  <si>
    <t>Net Income</t>
  </si>
  <si>
    <t>NCF(3y avg)/Asset</t>
  </si>
  <si>
    <t>Holdings (nac/int'l)</t>
  </si>
  <si>
    <t>-</t>
  </si>
  <si>
    <t>Debt/Assets</t>
  </si>
  <si>
    <t>Categories</t>
  </si>
  <si>
    <t>EPS</t>
  </si>
  <si>
    <t>Price/Net Inc. (3y avg)</t>
  </si>
  <si>
    <t>t liq. (Holdings/Vol.)</t>
  </si>
  <si>
    <t>EBITDA Margin (average)</t>
  </si>
  <si>
    <t>ROA</t>
  </si>
  <si>
    <t>EV/Asset</t>
  </si>
  <si>
    <t>% Short</t>
  </si>
  <si>
    <t>Operating Margin (average)</t>
  </si>
  <si>
    <t>ROIC</t>
  </si>
  <si>
    <t>EV/Ebitda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</si>
  <si>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</si>
  <si>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</si>
  <si>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</si>
  <si>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</si>
  <si>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</si>
  <si>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</si>
  <si>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</si>
  <si>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</si>
  <si>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</si>
  <si>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</si>
  <si>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</si>
  <si>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</si>
  <si>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</si>
  <si>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</si>
  <si>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</si>
  <si>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</si>
  <si>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</si>
  <si>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</si>
  <si>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</si>
  <si>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SELL</t>
  </si>
  <si>
    <t>Check DCF</t>
  </si>
  <si>
    <t>Overprice</t>
  </si>
  <si>
    <t>According to the DCF model the company is currently overpriced despite strong financial results</t>
  </si>
  <si>
    <t>Low Dividend Yield</t>
  </si>
  <si>
    <t>Current dividend yield of 1.09%</t>
  </si>
  <si>
    <t>No differentiation</t>
  </si>
  <si>
    <t>Highly fragmented market with little to no product differentiation</t>
  </si>
  <si>
    <t>Risks of Investment</t>
  </si>
  <si>
    <t>Price Target</t>
  </si>
  <si>
    <t>Valuation</t>
  </si>
  <si>
    <t>Risk</t>
  </si>
  <si>
    <t>Discount Rate</t>
  </si>
  <si>
    <t>Price M. Upside</t>
  </si>
  <si>
    <t>Decreasing margins</t>
  </si>
  <si>
    <t>Increasing costs of production and decreasing margins due to the need of tech implementation into homes</t>
  </si>
  <si>
    <t>Trade Policies</t>
  </si>
  <si>
    <t>Increase in costs of international trading may increase cost of supplies reducing margins even further</t>
  </si>
  <si>
    <t>Upside</t>
  </si>
  <si>
    <t>EV M. Upside</t>
  </si>
  <si>
    <t>Decreasing pop growth</t>
  </si>
  <si>
    <t>The trend in population growth in the US is decreasing, therefore reducing the need of homebuilding</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</si>
  <si>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</si>
  <si>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</si>
  <si>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</si>
  <si>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</si>
  <si>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</si>
  <si>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</si>
  <si>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</si>
  <si>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</si>
  <si>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</si>
  <si>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</si>
  <si>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</si>
  <si>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</si>
  <si>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</si>
  <si>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</si>
  <si>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</si>
  <si>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</si>
  <si>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</si>
  <si>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</si>
  <si>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</si>
  <si>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</si>
  <si>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</si>
  <si>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</si>
  <si>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</si>
  <si>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</si>
  <si>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</si>
  <si>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</si>
  <si>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</si>
  <si>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</si>
  <si>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Name</t>
  </si>
  <si>
    <t>% Stake</t>
  </si>
  <si>
    <t xml:space="preserve">•	Robust Financial Performance: Lennar Corp has demonstrated a strong financial performance, with its latest 10-Q filing showcasing a 9% increase in home sales revenues, totaling $8.4 billion.
•	Strategic Technological Investments: Lennar's strategic investments in technology companies, managed by its LENX subsidiary, underscore its commitment to innovation and future growth.
•	Strong branding and marketing in the region.
</t>
  </si>
  <si>
    <t>•	Operational dangers in Land Development: Lennar's involvement in land development exposes it to risks associated with real estate market cycles. The company's land-light strategy, although beneficial in mitigating some risks, still requires careful management to ensure consistent cash flow and avoid overexposure to market downturns.</t>
  </si>
  <si>
    <t>Institutional Holders</t>
  </si>
  <si>
    <t>The Vanguard Group, Inc.</t>
  </si>
  <si>
    <t>11,00%</t>
  </si>
  <si>
    <t>BlackRock Institutional Trust Company, N.A.</t>
  </si>
  <si>
    <t>6,87%</t>
  </si>
  <si>
    <t>Fidelity Management &amp; Research Company LLC</t>
  </si>
  <si>
    <t>4,65%</t>
  </si>
  <si>
    <t>State Street Global Advisors (US)</t>
  </si>
  <si>
    <t>4,64%</t>
  </si>
  <si>
    <t>Aristotle Capital Management, LLC</t>
  </si>
  <si>
    <t>4,22%</t>
  </si>
  <si>
    <t>Greenhaven Associates, Inc.</t>
  </si>
  <si>
    <t>3,71%</t>
  </si>
  <si>
    <t>Wellington Management Company, LLP</t>
  </si>
  <si>
    <t>3,29%</t>
  </si>
  <si>
    <t>Manulife Investment Management (North America) Limited</t>
  </si>
  <si>
    <t>2,41%</t>
  </si>
  <si>
    <t>Geode Capital Management, L.L.C.</t>
  </si>
  <si>
    <t>2,40%</t>
  </si>
  <si>
    <t>Opportunities</t>
  </si>
  <si>
    <t>Risks</t>
  </si>
  <si>
    <t>Capital World Investors</t>
  </si>
  <si>
    <t>1,81%</t>
  </si>
  <si>
    <t xml:space="preserve">•	Expanding Market Presence: Lennar's strong balance sheet, with a low debt-to-capital ratio and substantial cash reserves, positions it well to seize growth opportunities. 
•	Technological Advancements: Continued investment in technology startups offers Lennar the opportunity to lead the homebuilding industry in innovation. By leveraging technologies such as smart home systems and construction automation, Lennar can differentiate itself from competitors and cater to evolving consumer preferences.
</t>
  </si>
  <si>
    <t xml:space="preserve">•	Further increase in mortgage interest rates could reduce potential buyers’ ability or desire to obtain financing with which to buy homes.
•	Demand for homes they build may be adversely affected by a variety of macroeconomic factors beyond control.
•	Changes in U.S. trade policies and retaliatory responses from other countries may substantially increase the costs or limit supplies of building materials and products used in their homes.
</t>
  </si>
  <si>
    <t>Total Institutional Holders</t>
  </si>
  <si>
    <t>94,84%</t>
  </si>
  <si>
    <t>Insiders</t>
  </si>
  <si>
    <t>Sidney Lapidus</t>
  </si>
  <si>
    <t xml:space="preserve">Jeffrey Joseph Mccall </t>
  </si>
  <si>
    <t>Jeffrey Sonnenfield</t>
  </si>
  <si>
    <t>Sherrill W. Hudson</t>
  </si>
  <si>
    <t>Teri P. McClure</t>
  </si>
  <si>
    <t>Total Insiders</t>
  </si>
  <si>
    <t>NOTES</t>
  </si>
  <si>
    <t>STOCK PERFORMANCE (5 years)</t>
  </si>
  <si>
    <t xml:space="preserve">- Class B common stock of $0.10 par value per share; 
- Authorized: 2023 and 2022 - 90,000,000 shares; 
- Issued: 2023 - 36,601,215 shares and in 2022 - 36,601,215 shares
- Class B common stock entitles holders to ten votes per share.
- As of November 30, 2023, Stuart Miller, the Company’s Executive Chairman and Co-Chief Executive Officer, directly owned, or controlled through family-owned entities, shares of Class B and to a lesser extent class A common stock, which represented approximately 36% voting power of the Company’s stock.
- 803 holders of class B common stock
- Class A common stock of $0.10 par value per share; 
- Authorized: 2023 and 2022 - 400,000,000 shares; 
- Issued: 2023 - 258,475,012 shares and 2022 - 256,084,147 shares
- Class A common stock entitles holders to one vote per share
- 1518 holders of class A common stock
</t>
  </si>
  <si>
    <t>_</t>
  </si>
  <si>
    <t>Products</t>
  </si>
  <si>
    <t>Nominal value</t>
  </si>
  <si>
    <t>YoY Growth</t>
  </si>
  <si>
    <t>Weight</t>
  </si>
  <si>
    <t>Region</t>
  </si>
  <si>
    <t>East: Alabama, Florida, New Jersey, Pennsylvania, South Carolina</t>
  </si>
  <si>
    <t>Central: Georgia, Illnois, Indiana, North Carolina, Virginia, Tennessee, Minnesota, Maryland</t>
  </si>
  <si>
    <t>Texas</t>
  </si>
  <si>
    <t>West: Idaho, California, Colorado, Arizona, Nevada, Utah, Oregon, Washington</t>
  </si>
  <si>
    <t>Other: Primarly California, including Five Point</t>
  </si>
  <si>
    <t>TOTAL</t>
  </si>
  <si>
    <t>Category</t>
  </si>
  <si>
    <t>Homebuilding</t>
  </si>
  <si>
    <t>Financial Services</t>
  </si>
  <si>
    <t>Multifamily</t>
  </si>
  <si>
    <t>Lennar other</t>
  </si>
  <si>
    <t>Description</t>
  </si>
  <si>
    <t>Graphs</t>
  </si>
  <si>
    <t>Homebuilding operations include the construction and sale of single-family attached and detached homes as well
 as the purchase, development and sale of residential land.</t>
  </si>
  <si>
    <t>Offer of conforming conventional, FHA-insured and VA-guaranteed residential mortgage loan products and other home mortgage products primarily to buyers of their homes through their financial services subsidiary (Lennar Mortgage).</t>
  </si>
  <si>
    <t>Initially, the Multifamily business almost exclusively participated in shorter-duration joint ventures that built multifamily communities with the intention of selling them soon after they were built,and in most cases after they were substantially occupied. However, the Multifamily business now manages, and owns interests in,longer-duration funds that build Multifamily  communities with the intention of retaining them as rental income-generating assets.</t>
  </si>
  <si>
    <t>Investment in companies involved in technology initiatives that, among other things,help them enhance the home buying or home ownership experience, reduce their SG&amp;A expenses and help them stay at the forefront of homebuilding innovation.</t>
  </si>
  <si>
    <t>Industry</t>
  </si>
  <si>
    <t>Graphs (Industry Forecasts)</t>
  </si>
  <si>
    <t>Drivers</t>
  </si>
  <si>
    <t>Suburban and cross-rate migration</t>
  </si>
  <si>
    <t>Due in part to flexible work arrangements, government stimulus and current low mortgage rates, people are moving to city centers therefore increasing the house search.</t>
  </si>
  <si>
    <t>Housing Inventory</t>
  </si>
  <si>
    <t>In the case of residential real estate, the more houses that exist the less demand for new homes, in general. The less homes that exist compared to potential buyers (households), the higher the demand and the higher prices (and volume) that homebuilders can sustain.</t>
  </si>
  <si>
    <t>Sales forecast</t>
  </si>
  <si>
    <t>Source</t>
  </si>
  <si>
    <t>Market Growth CAGR</t>
  </si>
  <si>
    <t>Period</t>
  </si>
  <si>
    <t>Real Estate Market</t>
  </si>
  <si>
    <t>2022-2030</t>
  </si>
  <si>
    <t>Home Rental Market</t>
  </si>
  <si>
    <t>2023-2033</t>
  </si>
  <si>
    <t>US Residencial Construction</t>
  </si>
  <si>
    <t>2024-2029</t>
  </si>
  <si>
    <t>Average</t>
  </si>
  <si>
    <t>Company's Strategy / Extra Notes</t>
  </si>
  <si>
    <t xml:space="preserve">•	On January 9, 2024, our Board of Directors increased their annual dividend to$2.00 per share from $1.50 per share.
Operating strategy was 
•	Reduce their land assets while growing.
•	Drive strong and consistent earnings while concurrently generating net cashflow
•	Reduce the time it takes us to build a home while increasing the rate at which we absorb inventory
•	 Enhance their return on equity and return on inventory by focusing on allocation of cash and other liquid assets.
•	Relationships with trade partners in local markets improved the efficiency of operations, reduced the time it takes to build homes and helped inventory absorption.
•	 Announced their commitment to the New Jersey market with the announcement of a strategic expansion that includes the opening of four new communities.
</t>
  </si>
  <si>
    <t>Ntr</t>
  </si>
  <si>
    <t>Invertir</t>
  </si>
  <si>
    <t>NO invertir</t>
  </si>
  <si>
    <t>Mantener sin elevar posición</t>
  </si>
  <si>
    <t>Mantener (y seguir comprando)</t>
  </si>
  <si>
    <t>Liquidar</t>
  </si>
  <si>
    <t>PENDIENTE</t>
  </si>
  <si>
    <t>Peer Logo</t>
  </si>
  <si>
    <t>Peer Name</t>
  </si>
  <si>
    <t>PulteGroup, Inc. is an american home builder that includes Homebuilding and Financial Services. The Homebuilding operations are engaged in the acquisition and development of land primarily for residential purposes within the United States and the construction of housing on such land. The Financial Services segment consist principally of mortgage banking, title, and insurance agency operations, through Pulte Mortgage LLC (Pulte Mortgage) and other subsidiaries.</t>
  </si>
  <si>
    <t>Toll Brothers, Inc. is a builder of luxury homes. The Company operates its own architectural, engineering, mortgage, title, land development, insurance, smart home technology and landscaping subsidiaries. It also caters to urban and suburban renters under the brand names Toll Brothers Apartment Living and Toll Brothers Campus Living. It designs, builds, markets, and sells high-density, high-rise urban luxury condominiums with third-party joint venture partners through Toll Brothers City Living (City Living). The Company operates in approximately 24 states and in the District of Columbia.</t>
  </si>
  <si>
    <t>D.R. Horton, Inc. is primarily engaged in the acquisition and development of land and the construction and sale of residential homes. Its Homebuilding segment focuses on single-family detached homes on lots they develop lots ready for home construction. It provides single-family and multi-family rental operations.  The Financial services segment provides mortgage financing, title agency services and title insurance to homebuyers in many of the Company’s homebuilding markets. In addition, it also conducts insurance-related operations.</t>
  </si>
  <si>
    <t>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Its mortgage banking operations primarily operate in the homebuilding operations market. Its mortgage banking business consists of origination fees, gains on sales of loans, and title fees.</t>
  </si>
  <si>
    <t>KB Home's segments include homebuilding and financial services. It builds a variety of new homes, including attached and detached single-family residential homes, townhomes and condominiums. It offers homes in development communities, at urban in-fill locations and as part of mixed-use projects. It also provides financial services and offers various insurance products to its homebuyers in the markets. Its financial services provide mortgage banking services, including residential consumer mortgage loan originations, to its homebuyers indirectly.</t>
  </si>
  <si>
    <t>In Millions USD</t>
  </si>
  <si>
    <t>AVERAGE</t>
  </si>
  <si>
    <t>Deviation from Average</t>
  </si>
  <si>
    <t>Company Info</t>
  </si>
  <si>
    <t>TRAFFIC</t>
  </si>
  <si>
    <t>Market Cap</t>
  </si>
  <si>
    <t>Best Value</t>
  </si>
  <si>
    <t>Net Sales (current)</t>
  </si>
  <si>
    <t>Profitability</t>
  </si>
  <si>
    <t>Important Value</t>
  </si>
  <si>
    <t>Sales Growth (ttm)</t>
  </si>
  <si>
    <t>Sales Growth (36m)</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</si>
  <si>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</si>
  <si>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</si>
  <si>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</si>
  <si>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</si>
  <si>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</si>
  <si>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</si>
  <si>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</si>
  <si>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</si>
  <si>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</si>
  <si>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</si>
  <si>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</si>
  <si>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</si>
  <si>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</si>
  <si>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</si>
  <si>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</si>
  <si>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</si>
  <si>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</si>
  <si>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</si>
  <si>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</si>
  <si>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</si>
  <si>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</si>
  <si>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</si>
  <si>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</si>
  <si>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</si>
  <si>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</si>
  <si>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</si>
  <si>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</si>
  <si>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</si>
  <si>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</si>
  <si>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</si>
  <si>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Extra</t>
  </si>
  <si>
    <t>3y Operating Cash Flow</t>
  </si>
  <si>
    <t>R&amp;D/Net Sales</t>
  </si>
  <si>
    <t>N/A</t>
  </si>
  <si>
    <t>Financial Data</t>
  </si>
  <si>
    <t>IS</t>
  </si>
  <si>
    <t>Net Sales (36m ago)</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</si>
  <si>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</si>
  <si>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</si>
  <si>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</si>
  <si>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</si>
  <si>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</si>
  <si>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</si>
  <si>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</si>
  <si>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</si>
  <si>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</si>
  <si>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</si>
  <si>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</si>
  <si>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</si>
  <si>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</si>
  <si>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</si>
  <si>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</si>
  <si>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</si>
  <si>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Company GICS Sector:</t>
  </si>
  <si>
    <t>Yes</t>
  </si>
  <si>
    <t>Industrials</t>
  </si>
  <si>
    <t>&lt;- Select Industry</t>
  </si>
  <si>
    <t>No</t>
  </si>
  <si>
    <t>ESG Analysis</t>
  </si>
  <si>
    <t>Relative ESG Analysis</t>
  </si>
  <si>
    <t>Parameters</t>
  </si>
  <si>
    <t>Impact</t>
  </si>
  <si>
    <t>Do they report?</t>
  </si>
  <si>
    <t>Ranking</t>
  </si>
  <si>
    <t>Mitigation Plan</t>
  </si>
  <si>
    <t>Traffic Lights</t>
  </si>
  <si>
    <t>Improvement over time?</t>
  </si>
  <si>
    <t>Targets / Goals?</t>
  </si>
  <si>
    <t>Comments</t>
  </si>
  <si>
    <t>Environmental</t>
  </si>
  <si>
    <t>Ratios</t>
  </si>
  <si>
    <t>CO2 Direct Emissions</t>
  </si>
  <si>
    <t>Reduce CO2 emissions by 64% 
per year.</t>
  </si>
  <si>
    <t>Reduces a home’s CO2 emissions by 64% per year.</t>
  </si>
  <si>
    <t>CO2 Emissions/$M Sales</t>
  </si>
  <si>
    <t>Total Water Consumption</t>
  </si>
  <si>
    <t xml:space="preserve"> Reduce indoor water consumption by up to 25%.</t>
  </si>
  <si>
    <t>Lennar homes saved 1 billion gallons of water by installing Moen fixtures</t>
  </si>
  <si>
    <t>Water Consumption/$M Sales</t>
  </si>
  <si>
    <t>Total Energy Consumption</t>
  </si>
  <si>
    <t xml:space="preserve"> At least 90% of Lennar homes have  
one or more ENERGY STAR® 
appliances installed.</t>
  </si>
  <si>
    <t xml:space="preserve"> 18% of the homes Lennar built in 2022 were ENERGY STAR® 
certified. These homes are at least 10% more energy-efficient than homes built to code,</t>
  </si>
  <si>
    <t>Energy Consumption/$M Sales</t>
  </si>
  <si>
    <t>Waste Management</t>
  </si>
  <si>
    <t>Reduces job site waste by as much as 75%</t>
  </si>
  <si>
    <t xml:space="preserve"> Reduced job site waste by as much as 75%</t>
  </si>
  <si>
    <t>Waste Production/$M Sales</t>
  </si>
  <si>
    <t>Land Degradation/Deforestation/Biodiversity loss/Animal sufering/…</t>
  </si>
  <si>
    <t>Could not find any information</t>
  </si>
  <si>
    <t>Inputs</t>
  </si>
  <si>
    <t>Social</t>
  </si>
  <si>
    <t>Net Sales ($M)</t>
  </si>
  <si>
    <t>Employee Turnover %</t>
  </si>
  <si>
    <t>None</t>
  </si>
  <si>
    <t>CO2 Emissions Total (Tonnes)</t>
  </si>
  <si>
    <t>Salaries &amp; Compensation</t>
  </si>
  <si>
    <t>"Best in class"</t>
  </si>
  <si>
    <t>The average estimated annual salary, including base and bonus, at Lennar Corporation is $131,864, or $63 per hour, while the estimated median salary is $130,614, or $62 per hour.</t>
  </si>
  <si>
    <t>Water Consumption Total (Cubic Meters)</t>
  </si>
  <si>
    <t>Reputation</t>
  </si>
  <si>
    <t>"Villain"</t>
  </si>
  <si>
    <t>Lennar has a bad reputation because they have been sued a lot of times lately.</t>
  </si>
  <si>
    <t>Energy Consumption Total (Gigajoules)</t>
  </si>
  <si>
    <t>Discrimination Events</t>
  </si>
  <si>
    <t>San Antonio advocacy group sues Lennar, alleges discrimination agains people with disabilities.</t>
  </si>
  <si>
    <t>Waste Production Total (Tonnes)</t>
  </si>
  <si>
    <t>Work Safety</t>
  </si>
  <si>
    <t xml:space="preserve">Miami-based homebuilder Lennar is facing a wrongful death lawsuit over an incident that killed two workers at a construction site in Conroe. </t>
  </si>
  <si>
    <t>ESG Scores</t>
  </si>
  <si>
    <t>Damage to consumer health</t>
  </si>
  <si>
    <t>Could not find any information relating damages to consumer health made by lennar houses.</t>
  </si>
  <si>
    <t>Refinitiv</t>
  </si>
  <si>
    <t>38/100</t>
  </si>
  <si>
    <t>59/100</t>
  </si>
  <si>
    <t>53/100</t>
  </si>
  <si>
    <t>46/100</t>
  </si>
  <si>
    <t>34/100</t>
  </si>
  <si>
    <t>66/100</t>
  </si>
  <si>
    <t>PXP?</t>
  </si>
  <si>
    <t>Medium High</t>
  </si>
  <si>
    <t>Lennar Corporation sponsors The Lennar Corporation 401(k) Plan, a qualified retirement plan that Lennar has adopted to provide you with the opportunity to save for retirement.</t>
  </si>
  <si>
    <t>Sustainalytics</t>
  </si>
  <si>
    <t>26.0(medium risk)</t>
  </si>
  <si>
    <t>21.1(medium risk)</t>
  </si>
  <si>
    <t>22.4(medium risk)</t>
  </si>
  <si>
    <t>21.6(medium risk)</t>
  </si>
  <si>
    <t>21.0(medium risk)</t>
  </si>
  <si>
    <t>14.2(low risk)</t>
  </si>
  <si>
    <t>Supply chain</t>
  </si>
  <si>
    <t>Lennar are involved in all phases of planning and building in their residential communities. They use independent subcontractors for most aspects of home construction.</t>
  </si>
  <si>
    <t>ISS</t>
  </si>
  <si>
    <t>D+</t>
  </si>
  <si>
    <t>C-</t>
  </si>
  <si>
    <t>C+</t>
  </si>
  <si>
    <t>Community involvement</t>
  </si>
  <si>
    <t>Lennar proudly supports the Miami Dolphins Challenge Cancer (DCC). Each December, Lennar´s Divisions replace the usual corporate holiday parties with a Focused Acts of Caring kickoff for the coming year.</t>
  </si>
  <si>
    <t>CDP</t>
  </si>
  <si>
    <t>F/F/F</t>
  </si>
  <si>
    <t>C/F/F</t>
  </si>
  <si>
    <t>C//</t>
  </si>
  <si>
    <t>F/F/</t>
  </si>
  <si>
    <t>Public Sector</t>
  </si>
  <si>
    <t>Could not find any information that relates lennar with the public sector.</t>
  </si>
  <si>
    <t>Litigation</t>
  </si>
  <si>
    <t>The allegations against Lennar Homes in the class action lawsuit include: Misrepresentation of Home Quality; Failure to Disclose Defects; Breach of Warranty; Negligence</t>
  </si>
  <si>
    <t>Corporate Governance</t>
  </si>
  <si>
    <t>PARAMETERS</t>
  </si>
  <si>
    <t>Diversity (Gender, Age, Industry, Region)</t>
  </si>
  <si>
    <t>When asked about diversity and inclusion at Lennar, 506 employees answered giving a rating of 3.9/5.</t>
  </si>
  <si>
    <t>IMPACT</t>
  </si>
  <si>
    <t>RANKING</t>
  </si>
  <si>
    <t>MITIGATION PLAN</t>
  </si>
  <si>
    <t>% Independence</t>
  </si>
  <si>
    <t>The Board will have a majority of directors who meet the requirements for independence 
required by the New York Stock Exchange for listed U.S. companies and any other applicable 
regulations. Don´t report the number of independent directors.</t>
  </si>
  <si>
    <t>Low</t>
  </si>
  <si>
    <t>Is there evidence of a plan/program ?</t>
  </si>
  <si>
    <t>average time as independent directors</t>
  </si>
  <si>
    <t>The average time as an independent director is 6 years.</t>
  </si>
  <si>
    <t>Medium</t>
  </si>
  <si>
    <t>Recent departures of directors / C-level executives?</t>
  </si>
  <si>
    <t>The chairman is the same since April 2018. The president is the same since 2018.</t>
  </si>
  <si>
    <t>High</t>
  </si>
  <si>
    <t>CEO/Chairman duality</t>
  </si>
  <si>
    <t>There are two people that have the Co-CEO position and those are the chairmain and the president of Lennar.</t>
  </si>
  <si>
    <t>Very high</t>
  </si>
  <si>
    <t>Transparency (ESG, segments, acquisitions, other)</t>
  </si>
  <si>
    <t>It was really hard to find data related to the environmental part.</t>
  </si>
  <si>
    <t>Time taken to report after the end of the quarter / year</t>
  </si>
  <si>
    <t>The company took 8 months to publish the 2023 financial report.</t>
  </si>
  <si>
    <t>Additional participation of the CEO in other boards or excessive participation of Ch.</t>
  </si>
  <si>
    <t>Both John Jaffe (chairman) and Stuart Miller (president) are fully comited to lennar and are notpart of the board of any other company.</t>
  </si>
  <si>
    <t>Audit / Consulting</t>
  </si>
  <si>
    <t xml:space="preserve">Lennar spends more than 4000€ in auditor fees. </t>
  </si>
  <si>
    <t>ESG-compensation related</t>
  </si>
  <si>
    <t>There are no compations related to the ESG.</t>
  </si>
  <si>
    <t>Management compensation schemes</t>
  </si>
  <si>
    <t>Managers do not receive an extra competation for being members of the board.</t>
  </si>
  <si>
    <t>VALUATION MODEL</t>
  </si>
  <si>
    <t>Short Term</t>
  </si>
  <si>
    <t>Long Term</t>
  </si>
  <si>
    <t>Section</t>
  </si>
  <si>
    <t>Line #</t>
  </si>
  <si>
    <t>ITEM</t>
  </si>
  <si>
    <t>2021 (Real)</t>
  </si>
  <si>
    <t>2022 (Real)</t>
  </si>
  <si>
    <t>2023 (Real)</t>
  </si>
  <si>
    <t>INCOME STATEMENT</t>
  </si>
  <si>
    <t>Growth</t>
  </si>
  <si>
    <t>Revenues/Sales</t>
  </si>
  <si>
    <t>EBIT/Operating Margin</t>
  </si>
  <si>
    <t>5a</t>
  </si>
  <si>
    <t>(D&amp;A)</t>
  </si>
  <si>
    <t>5b</t>
  </si>
  <si>
    <t>(Amort)</t>
  </si>
  <si>
    <t>5c</t>
  </si>
  <si>
    <t>(Stock based compensation)</t>
  </si>
  <si>
    <t>(Net financing cost)</t>
  </si>
  <si>
    <t>Other income/(cost)</t>
  </si>
  <si>
    <t>Earnings before taxes</t>
  </si>
  <si>
    <t>(Income tax)</t>
  </si>
  <si>
    <t>Net income</t>
  </si>
  <si>
    <t> </t>
  </si>
  <si>
    <t xml:space="preserve">            </t>
  </si>
  <si>
    <t>Operating cash flows before WK</t>
  </si>
  <si>
    <t>(Stock-based compensation)</t>
  </si>
  <si>
    <t>(Working Capital Flows)</t>
  </si>
  <si>
    <t>-Total Operating Cash Flow</t>
  </si>
  <si>
    <t>(CAPEX)</t>
  </si>
  <si>
    <t>Acquisitions</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</si>
  <si>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</si>
  <si>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</si>
  <si>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</si>
  <si>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</si>
  <si>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</si>
  <si>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</si>
  <si>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</si>
  <si>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</si>
  <si>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</si>
  <si>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</si>
  <si>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</si>
  <si>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</si>
  <si>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</si>
  <si>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</si>
  <si>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</si>
  <si>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</si>
  <si>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</si>
  <si>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</si>
  <si>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</si>
  <si>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</si>
  <si>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</si>
  <si>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</si>
  <si>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</si>
  <si>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</si>
  <si>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</si>
  <si>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</si>
  <si>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</si>
  <si>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</si>
  <si>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</si>
  <si>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</si>
  <si>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</si>
  <si>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Depreciation factor</t>
  </si>
  <si>
    <t>Amortization factor</t>
  </si>
  <si>
    <t>Stock-based comp</t>
  </si>
  <si>
    <t>Tax Rate</t>
  </si>
  <si>
    <t>Interest Rate on debt</t>
  </si>
  <si>
    <t>Interest Rate on cash</t>
  </si>
  <si>
    <t>PPE+ROA</t>
  </si>
  <si>
    <t>Working capital flows</t>
  </si>
  <si>
    <t>Intangible Assets</t>
  </si>
  <si>
    <t>Capex</t>
  </si>
  <si>
    <t>Acquisition factor</t>
  </si>
  <si>
    <t>Repurchases</t>
  </si>
  <si>
    <t>Leases</t>
  </si>
  <si>
    <t>--</t>
  </si>
  <si>
    <t>$ millions</t>
  </si>
  <si>
    <t>Value of flows</t>
  </si>
  <si>
    <t>Value of perpetuity</t>
  </si>
  <si>
    <t>Total Value</t>
  </si>
  <si>
    <t>Actual share price</t>
  </si>
  <si>
    <t>Total value vs Mkt Cap</t>
  </si>
  <si>
    <t>Estimated NPV per share</t>
  </si>
  <si>
    <t>Sensibility</t>
  </si>
  <si>
    <t>Sensitivity +0.1%</t>
  </si>
  <si>
    <t>Sensitivity +0.5%</t>
  </si>
  <si>
    <t>Notes</t>
  </si>
  <si>
    <t>Price where it'd be a "BUY"</t>
  </si>
  <si>
    <t>x</t>
  </si>
  <si>
    <t>Assumptions</t>
  </si>
  <si>
    <t>Prospects:</t>
  </si>
  <si>
    <t>Links:</t>
  </si>
  <si>
    <t xml:space="preserve">10Y Average </t>
  </si>
  <si>
    <t xml:space="preserve">5Y Average </t>
  </si>
  <si>
    <t xml:space="preserve">3Y Average </t>
  </si>
  <si>
    <t>Short Term Forecast</t>
  </si>
  <si>
    <t>Long Term Forecast</t>
  </si>
  <si>
    <t>Revenue growth</t>
  </si>
  <si>
    <t>Modelling Factors</t>
  </si>
  <si>
    <t>Last 10 Years</t>
  </si>
  <si>
    <t>Reference</t>
  </si>
  <si>
    <t>% PPE</t>
  </si>
  <si>
    <t>% IA</t>
  </si>
  <si>
    <t>% Revenue</t>
  </si>
  <si>
    <t>% EBT</t>
  </si>
  <si>
    <t>% Debt</t>
  </si>
  <si>
    <t xml:space="preserve">% Cash </t>
  </si>
  <si>
    <t>- -</t>
  </si>
  <si>
    <t>Growing with CAPEX</t>
  </si>
  <si>
    <t xml:space="preserve">% Change in Revenues </t>
  </si>
  <si>
    <t>Growing with Amortization</t>
  </si>
  <si>
    <t xml:space="preserve">CAPEX </t>
  </si>
  <si>
    <t>% Net Income</t>
  </si>
  <si>
    <t>% EBITDA</t>
  </si>
  <si>
    <t>Forecasts</t>
  </si>
  <si>
    <t>Market Size</t>
  </si>
  <si>
    <t>(In USD billions)</t>
  </si>
  <si>
    <t xml:space="preserve">US Home Building Segment </t>
  </si>
  <si>
    <t>Market Size (Mordor Intelligence)</t>
  </si>
  <si>
    <t>Growth Rate (Statista)</t>
  </si>
  <si>
    <t>Home Building Market Share</t>
  </si>
  <si>
    <t>D r Horton Inc</t>
  </si>
  <si>
    <t>Lennar Corp</t>
  </si>
  <si>
    <t>Pultegroup Inc</t>
  </si>
  <si>
    <t>Nvr Inc</t>
  </si>
  <si>
    <t>Taylor Morrison Home Corp</t>
  </si>
  <si>
    <t>Kb Home</t>
  </si>
  <si>
    <t>Meritage Homes Corporation</t>
  </si>
  <si>
    <t>Toll Brothers Inc</t>
  </si>
  <si>
    <t>Century Communities Inc</t>
  </si>
  <si>
    <t>Lgi Homes Inc</t>
  </si>
  <si>
    <t>Others</t>
  </si>
  <si>
    <t>Income Statement</t>
  </si>
  <si>
    <t>Revenues</t>
  </si>
  <si>
    <t>% growth</t>
  </si>
  <si>
    <t>% of revenue</t>
  </si>
  <si>
    <t>Interest</t>
  </si>
  <si>
    <t>Balance Sheet</t>
  </si>
  <si>
    <t>Property, Plant &amp; Equipment</t>
  </si>
  <si>
    <t>Cash Flow Items</t>
  </si>
  <si>
    <t>Depreciation Expense</t>
  </si>
  <si>
    <t>% of PPE</t>
  </si>
  <si>
    <t>CapEx</t>
  </si>
  <si>
    <t>% of Net Income</t>
  </si>
  <si>
    <t>Stock-Based Compensation</t>
  </si>
  <si>
    <t>SBC</t>
  </si>
  <si>
    <t>% of Revenues</t>
  </si>
  <si>
    <t>3Y Average</t>
  </si>
  <si>
    <t>5Y Average</t>
  </si>
  <si>
    <t>10Y Average</t>
  </si>
  <si>
    <t>Interest Rate on Debt</t>
  </si>
  <si>
    <t>Credit Ranking (Moody's)</t>
  </si>
  <si>
    <t>Baa2</t>
  </si>
  <si>
    <t>Default Spread</t>
  </si>
  <si>
    <t>5Y US T-Note</t>
  </si>
  <si>
    <t>10Y US T-Bond</t>
  </si>
  <si>
    <t xml:space="preserve">30Y US T-Bond </t>
  </si>
  <si>
    <t>ST Multiple</t>
  </si>
  <si>
    <t>LT Multiple</t>
  </si>
  <si>
    <t>Interest Rate on Cash</t>
  </si>
  <si>
    <t>US T-Note 10-year Yield (Risk-free rate)</t>
  </si>
  <si>
    <t>Current US Inflation Rate</t>
  </si>
  <si>
    <t>Average Annual US Inflation rate (2014-2024)</t>
  </si>
  <si>
    <t>Working Capital Flows</t>
  </si>
  <si>
    <t>Net Working Capital</t>
  </si>
  <si>
    <t>Change in Net Working Capital</t>
  </si>
  <si>
    <t>Change in Revenues</t>
  </si>
  <si>
    <t>PPE Gross</t>
  </si>
  <si>
    <t xml:space="preserve">    Growth YoY (%)</t>
  </si>
  <si>
    <t>CAPEX Growth</t>
  </si>
  <si>
    <t>ST Debt</t>
  </si>
  <si>
    <t>LT Debt</t>
  </si>
  <si>
    <t>% of EBITDA</t>
  </si>
  <si>
    <t>Total Leases</t>
  </si>
  <si>
    <t>D&amp;A Factor</t>
  </si>
  <si>
    <t>PPE</t>
  </si>
  <si>
    <t>IA</t>
  </si>
  <si>
    <t>Total PPE&amp;IA</t>
  </si>
  <si>
    <t xml:space="preserve">Annual D&amp;A Expenses </t>
  </si>
  <si>
    <t>% of PPE&amp;IA</t>
  </si>
  <si>
    <t>Acummulated Depreciation</t>
  </si>
  <si>
    <t>Annual Depreciation Expense</t>
  </si>
  <si>
    <t>Acummulated Amortization</t>
  </si>
  <si>
    <t>Annual Amortization Expense</t>
  </si>
  <si>
    <t>Amortization (% of IA)</t>
  </si>
  <si>
    <t>Results</t>
  </si>
  <si>
    <t>Operating expenses</t>
  </si>
  <si>
    <t>% over sales</t>
  </si>
  <si>
    <t xml:space="preserve">     Growth vs. Previous year</t>
  </si>
  <si>
    <t>Other Expenses (Revenues)</t>
  </si>
  <si>
    <t>Changes Net Working Capital</t>
  </si>
  <si>
    <t>EBITDA Margin</t>
  </si>
  <si>
    <t>% Tax</t>
  </si>
  <si>
    <t>Growth vs. Previous year</t>
  </si>
  <si>
    <t>Cash Generated</t>
  </si>
  <si>
    <t>Share buyback</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</si>
  <si>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</si>
  <si>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</si>
  <si>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</si>
  <si>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</si>
  <si>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</si>
  <si>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</si>
  <si>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</si>
  <si>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</si>
  <si>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</si>
  <si>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</si>
  <si>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</si>
  <si>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</si>
  <si>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</si>
  <si>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</si>
  <si>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</si>
  <si>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</si>
  <si>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</si>
  <si>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</si>
  <si>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</si>
  <si>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</si>
  <si>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</si>
  <si>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</si>
  <si>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</si>
  <si>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</si>
  <si>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</si>
  <si>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</si>
  <si>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</si>
  <si>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</si>
  <si>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</si>
  <si>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</si>
  <si>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</si>
  <si>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</si>
  <si>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</si>
  <si>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</si>
  <si>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</si>
  <si>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</si>
  <si>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</si>
  <si>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</si>
  <si>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</si>
  <si>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</si>
  <si>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</si>
  <si>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</si>
  <si>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</si>
  <si>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</si>
  <si>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</si>
  <si>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</si>
  <si>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</si>
  <si>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</si>
  <si>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</si>
  <si>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</si>
  <si>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</si>
  <si>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</si>
  <si>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</si>
  <si>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Consumer Discretionary</t>
  </si>
  <si>
    <t>Direct CO2 emissions</t>
  </si>
  <si>
    <t>Cable &amp; Satellite</t>
  </si>
  <si>
    <t>Consumer Staples</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</si>
  <si>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</si>
  <si>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</si>
  <si>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</si>
  <si>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</si>
  <si>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</si>
  <si>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</si>
  <si>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</si>
  <si>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</si>
  <si>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</si>
  <si>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</si>
  <si>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</si>
  <si>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</si>
  <si>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</si>
  <si>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</si>
  <si>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</si>
  <si>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</si>
  <si>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</si>
  <si>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</si>
  <si>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</si>
  <si>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</si>
  <si>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</si>
  <si>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</si>
  <si>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</si>
  <si>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</si>
  <si>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</si>
  <si>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</si>
  <si>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</si>
  <si>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</si>
  <si>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</si>
  <si>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</si>
  <si>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</si>
  <si>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</si>
  <si>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</si>
  <si>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</si>
  <si>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</si>
  <si>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</si>
  <si>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</si>
  <si>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</si>
  <si>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</si>
  <si>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</si>
  <si>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</si>
  <si>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</si>
  <si>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</si>
  <si>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</si>
  <si>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</si>
  <si>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</si>
  <si>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</si>
  <si>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</si>
  <si>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</si>
  <si>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</si>
  <si>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</si>
  <si>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</si>
  <si>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</si>
  <si>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</si>
  <si>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</si>
  <si>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</si>
  <si>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</si>
  <si>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</si>
  <si>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</si>
  <si>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</si>
  <si>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</si>
  <si>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</si>
  <si>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</si>
  <si>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</si>
  <si>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</si>
  <si>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</si>
  <si>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</si>
  <si>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</si>
  <si>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</si>
  <si>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</si>
  <si>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</si>
  <si>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</si>
  <si>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</si>
  <si>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</si>
  <si>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</si>
  <si>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</si>
  <si>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</si>
  <si>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</si>
  <si>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</si>
  <si>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</si>
  <si>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</si>
  <si>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</si>
  <si>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</si>
  <si>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</si>
  <si>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</si>
  <si>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</si>
  <si>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</si>
  <si>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</si>
  <si>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</si>
  <si>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</si>
  <si>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</si>
  <si>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</si>
  <si>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</si>
  <si>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</si>
  <si>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</si>
  <si>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</si>
  <si>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</si>
  <si>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</si>
  <si>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</si>
  <si>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</si>
  <si>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</si>
  <si>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</si>
  <si>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</si>
  <si>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</si>
  <si>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</si>
  <si>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</si>
  <si>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</si>
  <si>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</si>
  <si>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</si>
  <si>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</si>
  <si>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</si>
  <si>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</si>
  <si>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</si>
  <si>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</si>
  <si>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</si>
  <si>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</si>
  <si>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</si>
  <si>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</si>
  <si>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</si>
  <si>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</si>
  <si>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</si>
  <si>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</si>
  <si>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</si>
  <si>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</si>
  <si>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</si>
  <si>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</si>
  <si>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</si>
  <si>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</si>
  <si>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</si>
  <si>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</si>
  <si>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</si>
  <si>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</si>
  <si>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</si>
  <si>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</si>
  <si>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</si>
  <si>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Figures in Millions of USD</t>
  </si>
  <si>
    <t>Company</t>
  </si>
  <si>
    <t>Report in millions</t>
  </si>
  <si>
    <t>RESULTS</t>
  </si>
  <si>
    <t>Hoja</t>
  </si>
  <si>
    <t>Nombre campo Bloomberg</t>
  </si>
  <si>
    <t>Cambio de signo</t>
  </si>
  <si>
    <t>Sales</t>
  </si>
  <si>
    <t>Ingreso</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</si>
  <si>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</si>
  <si>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</si>
  <si>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</si>
  <si>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</si>
  <si>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</si>
  <si>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</si>
  <si>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</si>
  <si>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</si>
  <si>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</si>
  <si>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</si>
  <si>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</si>
  <si>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</si>
  <si>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</si>
  <si>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</si>
  <si>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 xml:space="preserve">306,612
</t>
  </si>
  <si>
    <t>Weighted Average Shares (Diluted NI)</t>
  </si>
  <si>
    <t>Net gains (losses) from ForEx</t>
  </si>
  <si>
    <t>Total Comprehensive Income</t>
  </si>
  <si>
    <t>cash flows</t>
  </si>
  <si>
    <t>NWC</t>
  </si>
  <si>
    <t xml:space="preserve">  + Dividendos pagados</t>
  </si>
  <si>
    <t>Cambiar signo</t>
  </si>
  <si>
    <t xml:space="preserve">    + Aumento en capital</t>
  </si>
  <si>
    <t xml:space="preserve">    + Baja en capital</t>
  </si>
  <si>
    <t>Cambiar signo y hacer suma</t>
  </si>
  <si>
    <t>ASSETS</t>
  </si>
  <si>
    <t>Current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</si>
  <si>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</si>
  <si>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</si>
  <si>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</si>
  <si>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</si>
  <si>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</si>
  <si>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</si>
  <si>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</si>
  <si>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</si>
  <si>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Operating leases</t>
  </si>
  <si>
    <t>Equity Method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</si>
  <si>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</si>
  <si>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</si>
  <si>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</si>
  <si>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</si>
  <si>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</si>
  <si>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</si>
  <si>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</si>
  <si>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</si>
  <si>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</si>
  <si>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</si>
  <si>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</si>
  <si>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</si>
  <si>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</si>
  <si>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</si>
  <si>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</si>
  <si>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</si>
  <si>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</si>
  <si>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Inflows (Outflows)</t>
  </si>
  <si>
    <t>Debt Borrowing</t>
  </si>
  <si>
    <t>Debt Repayment</t>
  </si>
  <si>
    <t>Lease Increases</t>
  </si>
  <si>
    <t>Lease Payments</t>
  </si>
  <si>
    <t>cash flows FINANCING</t>
  </si>
  <si>
    <t>Dividends paid</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</si>
  <si>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</si>
  <si>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</si>
  <si>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</si>
  <si>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</si>
  <si>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</si>
  <si>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</si>
  <si>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</si>
  <si>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</si>
  <si>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</si>
  <si>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</si>
  <si>
    <t>13,73</t>
  </si>
  <si>
    <t>15,74</t>
  </si>
  <si>
    <t>14,28</t>
  </si>
  <si>
    <t>Stock based compensation</t>
  </si>
  <si>
    <t>Market Share</t>
  </si>
  <si>
    <t>Revenues are projected up to 2026 with analysts' consensus</t>
  </si>
  <si>
    <t>Weights</t>
  </si>
  <si>
    <t>Market share projected afterwards by WMA of the 6 previous years</t>
  </si>
  <si>
    <t>Market size growth projections up to 2031 (Statista)</t>
  </si>
  <si>
    <t>Market size after 2031 project to grow on perpetuity at 2%</t>
  </si>
  <si>
    <t>CSI Market LEN's vs. Market share relative to its competitors, as of Q2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</si>
</sst>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2">
    <numFmt numFmtId="43" formatCode="_(* #,##0.00_);_(* \(#,##0.00\);_(* &quot;-&quot;??_);_(@_)"/>
    <numFmt numFmtId="164" formatCode="_-* #,##0.00_-;\-* #,##0.00_-;_-* &quot;-&quot;??_-;_-@_-"/>
    <numFmt numFmtId="165" formatCode="_-&quot;$&quot;* #,##0.00_-;\-&quot;$&quot;* #,##0.00_-;_-&quot;$&quot;* &quot;-&quot;??_-;_-@_-"/>
    <numFmt numFmtId="166" formatCode="&quot;$&quot;#,##0.00"/>
    <numFmt numFmtId="167" formatCode="&quot;$&quot;#,##0"/>
    <numFmt numFmtId="168" formatCode="0.0%"/>
    <numFmt numFmtId="169" formatCode="0.0"/>
    <numFmt numFmtId="170" formatCode="#,##0.0"/>
    <numFmt numFmtId="171" formatCode="[$$-409]#,##0.00_ ;\-[$$-409]#,##0.00\ "/>
    <numFmt numFmtId="172" formatCode="[$$-409]#,##0"/>
    <numFmt numFmtId="173" formatCode="_-[$$-409]* #,##0.00_ ;_-[$$-409]* \-#,##0.00\ ;_-[$$-409]* &quot;-&quot;??_ ;_-@_ "/>
    <numFmt numFmtId="174" formatCode="0.000000"/>
    <numFmt numFmtId="175" formatCode="_([$$-409]* #,##0.00_);_([$$-409]* \(#,##0.00\);_([$$-409]* &quot;-&quot;??_);_(@_)"/>
    <numFmt numFmtId="176" formatCode="0.000%"/>
    <numFmt numFmtId="177" formatCode="0.000"/>
    <numFmt numFmtId="178" formatCode="[$$-C09]#,##0.00"/>
    <numFmt numFmtId="179" formatCode="#,##0_ ;\-#,##0\ "/>
    <numFmt numFmtId="180" formatCode="0.00000%"/>
    <numFmt numFmtId="181" formatCode="_-* #,##0_-;\-* #,##0_-;_-* &quot;-&quot;??_-;_-@_-"/>
    <numFmt numFmtId="182" formatCode="0&quot;A&quot;"/>
    <numFmt numFmtId="183" formatCode="0&quot;E&quot;"/>
    <numFmt numFmtId="184" formatCode="#,##0.000"/>
  </numFmts>
  <fonts count="9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u/>
      <sz val="10"/>
      <color theme="4"/>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sz val="12"/>
      <name val="Arial"/>
      <family val="2"/>
    </font>
    <font>
      <b/>
      <sz val="11"/>
      <color rgb="FF374151"/>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sz val="9"/>
      <color indexed="81"/>
      <name val="Tahoma"/>
      <family val="2"/>
    </font>
    <font>
      <b/>
      <sz val="9"/>
      <color indexed="81"/>
      <name val="Tahoma"/>
      <family val="2"/>
    </font>
    <font>
      <sz val="10"/>
      <name val="Arial"/>
      <family val="2"/>
    </font>
    <font>
      <sz val="9"/>
      <name val="宋体"/>
      <family val="3"/>
      <charset val="134"/>
    </font>
    <font>
      <sz val="10"/>
      <color rgb="FF2D2D2D"/>
      <name val="Arial"/>
      <family val="2"/>
    </font>
    <font>
      <b/>
      <sz val="10"/>
      <color rgb="FF232A31"/>
      <name val="Arial"/>
      <family val="2"/>
    </font>
    <font>
      <sz val="11"/>
      <color rgb="FF242424"/>
      <name val="Aptos Narrow"/>
      <family val="2"/>
    </font>
    <font>
      <u/>
      <sz val="10"/>
      <color theme="10"/>
      <name val="Arial"/>
      <family val="2"/>
    </font>
    <font>
      <i/>
      <sz val="10"/>
      <color theme="0"/>
      <name val="Arial"/>
      <family val="2"/>
    </font>
    <font>
      <u/>
      <sz val="10"/>
      <color theme="0"/>
      <name val="Arial"/>
      <family val="2"/>
    </font>
    <font>
      <sz val="10"/>
      <color rgb="FF1F497D"/>
      <name val="Arial"/>
      <family val="2"/>
    </font>
    <font>
      <sz val="7.5"/>
      <color rgb="FF1F497D"/>
      <name val="Arial"/>
      <family val="2"/>
    </font>
    <font>
      <i/>
      <sz val="8"/>
      <name val="Arial"/>
      <family val="2"/>
    </font>
    <font>
      <sz val="10"/>
      <color rgb="FF242424"/>
      <name val="Arial"/>
      <family val="2"/>
    </font>
    <font>
      <i/>
      <sz val="9"/>
      <name val="Arial"/>
      <family val="2"/>
    </font>
  </fonts>
  <fills count="48">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
      <patternFill patternType="solid">
        <fgColor rgb="FF63CB97"/>
        <bgColor indexed="64"/>
      </patternFill>
    </fill>
  </fills>
  <borders count="282">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medium">
        <color rgb="FF1F497D"/>
      </right>
      <top style="thin">
        <color indexed="64"/>
      </top>
      <bottom style="thin">
        <color indexed="64"/>
      </bottom>
      <diagonal/>
    </border>
    <border>
      <left style="thin">
        <color theme="0" tint="-0.24994659260841701"/>
      </left>
      <right style="thin">
        <color theme="0" tint="-0.24994659260841701"/>
      </right>
      <top style="thin">
        <color theme="0" tint="-0.24994659260841701"/>
      </top>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right/>
      <top style="medium">
        <color theme="3"/>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style="medium">
        <color theme="3"/>
      </right>
      <top style="medium">
        <color rgb="FF1F497D"/>
      </top>
      <bottom style="thin">
        <color theme="0" tint="-0.24994659260841701"/>
      </bottom>
      <diagonal/>
    </border>
    <border>
      <left style="medium">
        <color theme="3"/>
      </left>
      <right style="medium">
        <color theme="3"/>
      </right>
      <top style="medium">
        <color rgb="FF1F497D"/>
      </top>
      <bottom style="thin">
        <color theme="0" tint="-0.24994659260841701"/>
      </bottom>
      <diagonal/>
    </border>
    <border>
      <left style="medium">
        <color theme="3"/>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style="medium">
        <color rgb="FF1F497D"/>
      </left>
      <right/>
      <top style="medium">
        <color theme="3"/>
      </top>
      <bottom style="medium">
        <color rgb="FF1F497D"/>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right style="medium">
        <color indexed="64"/>
      </right>
      <top style="medium">
        <color rgb="FF1F497D"/>
      </top>
      <bottom style="medium">
        <color rgb="FF1F497D"/>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right style="medium">
        <color rgb="FF1F497D"/>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theme="3"/>
      </right>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rgb="FF1F497D"/>
      </left>
      <right/>
      <top/>
      <bottom style="thin">
        <color theme="0" tint="-0.24994659260841701"/>
      </bottom>
      <diagonal/>
    </border>
    <border>
      <left style="medium">
        <color indexed="64"/>
      </left>
      <right/>
      <top style="thin">
        <color indexed="64"/>
      </top>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right style="thin">
        <color rgb="FF000000"/>
      </right>
      <top style="thin">
        <color rgb="FF000000"/>
      </top>
      <bottom style="thin">
        <color rgb="FF000000"/>
      </bottom>
      <diagonal/>
    </border>
    <border>
      <left style="medium">
        <color rgb="FF000000"/>
      </left>
      <right style="medium">
        <color rgb="FF000000"/>
      </right>
      <top/>
      <bottom style="thin">
        <color theme="0" tint="-0.249977111117893"/>
      </bottom>
      <diagonal/>
    </border>
    <border>
      <left style="medium">
        <color rgb="FF000000"/>
      </left>
      <right style="medium">
        <color theme="3"/>
      </right>
      <top style="medium">
        <color rgb="FF000000"/>
      </top>
      <bottom/>
      <diagonal/>
    </border>
    <border>
      <left style="medium">
        <color rgb="FF000000"/>
      </left>
      <right style="medium">
        <color rgb="FF000000"/>
      </right>
      <top/>
      <bottom style="thin">
        <color indexed="64"/>
      </bottom>
      <diagonal/>
    </border>
    <border>
      <left style="medium">
        <color indexed="64"/>
      </left>
      <right/>
      <top style="thin">
        <color indexed="64"/>
      </top>
      <bottom style="thin">
        <color indexed="64"/>
      </bottom>
      <diagonal/>
    </border>
    <border>
      <left style="medium">
        <color theme="3"/>
      </left>
      <right/>
      <top style="medium">
        <color theme="3"/>
      </top>
      <bottom style="medium">
        <color theme="3"/>
      </bottom>
      <diagonal/>
    </border>
    <border>
      <left/>
      <right style="medium">
        <color theme="3"/>
      </right>
      <top style="medium">
        <color theme="3"/>
      </top>
      <bottom style="medium">
        <color theme="3"/>
      </bottom>
      <diagonal/>
    </border>
    <border>
      <left style="medium">
        <color rgb="FF1F497D"/>
      </left>
      <right/>
      <top style="thin">
        <color theme="0" tint="-0.24994659260841701"/>
      </top>
      <bottom/>
      <diagonal/>
    </border>
    <border>
      <left/>
      <right style="medium">
        <color rgb="FF1F497D"/>
      </right>
      <top style="thin">
        <color theme="0" tint="-0.24994659260841701"/>
      </top>
      <bottom/>
      <diagonal/>
    </border>
    <border>
      <left style="medium">
        <color rgb="FF000000"/>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top style="medium">
        <color rgb="FF000000"/>
      </top>
      <bottom/>
      <diagonal/>
    </border>
    <border>
      <left style="medium">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bottom style="thin">
        <color indexed="64"/>
      </bottom>
      <diagonal/>
    </border>
    <border>
      <left style="thin">
        <color indexed="64"/>
      </left>
      <right style="medium">
        <color rgb="FF000000"/>
      </right>
      <top/>
      <bottom style="thin">
        <color indexed="64"/>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style="medium">
        <color rgb="FF000000"/>
      </bottom>
      <diagonal/>
    </border>
    <border>
      <left style="medium">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right style="medium">
        <color rgb="FF000000"/>
      </right>
      <top/>
      <bottom style="thin">
        <color indexed="64"/>
      </bottom>
      <diagonal/>
    </border>
    <border>
      <left style="medium">
        <color rgb="FF000000"/>
      </left>
      <right style="thin">
        <color indexed="64"/>
      </right>
      <top/>
      <bottom style="medium">
        <color rgb="FF000000"/>
      </bottom>
      <diagonal/>
    </border>
    <border>
      <left/>
      <right style="thin">
        <color indexed="64"/>
      </right>
      <top style="thin">
        <color indexed="64"/>
      </top>
      <bottom style="medium">
        <color indexed="64"/>
      </bottom>
      <diagonal/>
    </border>
    <border>
      <left style="medium">
        <color rgb="FF000000"/>
      </left>
      <right style="thin">
        <color indexed="64"/>
      </right>
      <top style="medium">
        <color rgb="FF000000"/>
      </top>
      <bottom style="medium">
        <color rgb="FF000000"/>
      </bottom>
      <diagonal/>
    </border>
    <border>
      <left style="medium">
        <color rgb="FF1F497D"/>
      </left>
      <right style="thin">
        <color theme="0" tint="-0.249977111117893"/>
      </right>
      <top style="medium">
        <color rgb="FF1F497D"/>
      </top>
      <bottom style="thin">
        <color theme="0" tint="-0.249977111117893"/>
      </bottom>
      <diagonal/>
    </border>
    <border>
      <left style="thin">
        <color theme="0" tint="-0.249977111117893"/>
      </left>
      <right style="thin">
        <color theme="0" tint="-0.249977111117893"/>
      </right>
      <top style="medium">
        <color rgb="FF1F497D"/>
      </top>
      <bottom style="thin">
        <color theme="0" tint="-0.249977111117893"/>
      </bottom>
      <diagonal/>
    </border>
    <border>
      <left style="thin">
        <color theme="0" tint="-0.14999847407452621"/>
      </left>
      <right style="thin">
        <color theme="0" tint="-0.14999847407452621"/>
      </right>
      <top style="medium">
        <color rgb="FF1F497D"/>
      </top>
      <bottom/>
      <diagonal/>
    </border>
    <border>
      <left style="thin">
        <color theme="0" tint="-0.249977111117893"/>
      </left>
      <right/>
      <top style="medium">
        <color rgb="FF1F497D"/>
      </top>
      <bottom/>
      <diagonal/>
    </border>
    <border>
      <left/>
      <right style="thin">
        <color theme="0" tint="-0.249977111117893"/>
      </right>
      <top style="medium">
        <color rgb="FF1F497D"/>
      </top>
      <bottom/>
      <diagonal/>
    </border>
    <border>
      <left style="thin">
        <color theme="0" tint="-0.249977111117893"/>
      </left>
      <right style="thin">
        <color theme="0" tint="-0.249977111117893"/>
      </right>
      <top style="medium">
        <color rgb="FF1F497D"/>
      </top>
      <bottom/>
      <diagonal/>
    </border>
    <border>
      <left style="thin">
        <color theme="0" tint="-0.249977111117893"/>
      </left>
      <right style="medium">
        <color rgb="FF1F497D"/>
      </right>
      <top style="medium">
        <color rgb="FF1F497D"/>
      </top>
      <bottom/>
      <diagonal/>
    </border>
    <border>
      <left style="medium">
        <color rgb="FF1F497D"/>
      </left>
      <right style="thin">
        <color theme="0" tint="-0.249977111117893"/>
      </right>
      <top style="thin">
        <color theme="0" tint="-0.249977111117893"/>
      </top>
      <bottom style="thin">
        <color theme="0" tint="-0.249977111117893"/>
      </bottom>
      <diagonal/>
    </border>
    <border>
      <left style="thin">
        <color theme="0" tint="-0.249977111117893"/>
      </left>
      <right style="medium">
        <color rgb="FF1F497D"/>
      </right>
      <top style="thin">
        <color theme="0" tint="-0.249977111117893"/>
      </top>
      <bottom style="thin">
        <color theme="0" tint="-0.249977111117893"/>
      </bottom>
      <diagonal/>
    </border>
    <border>
      <left/>
      <right style="medium">
        <color rgb="FF1F497D"/>
      </right>
      <top style="thin">
        <color theme="0" tint="-0.249977111117893"/>
      </top>
      <bottom style="thin">
        <color theme="0" tint="-0.249977111117893"/>
      </bottom>
      <diagonal/>
    </border>
    <border>
      <left/>
      <right style="medium">
        <color rgb="FF1F497D"/>
      </right>
      <top/>
      <bottom style="thin">
        <color theme="0" tint="-0.249977111117893"/>
      </bottom>
      <diagonal/>
    </border>
    <border>
      <left style="medium">
        <color rgb="FF000000"/>
      </left>
      <right style="medium">
        <color rgb="FF000000"/>
      </right>
      <top style="thin">
        <color indexed="64"/>
      </top>
      <bottom/>
      <diagonal/>
    </border>
    <border>
      <left style="medium">
        <color rgb="FF000000"/>
      </left>
      <right style="medium">
        <color rgb="FF000000"/>
      </right>
      <top/>
      <bottom style="medium">
        <color rgb="FF000000"/>
      </bottom>
      <diagonal/>
    </border>
    <border>
      <left/>
      <right style="medium">
        <color theme="3"/>
      </right>
      <top/>
      <bottom style="thin">
        <color theme="0" tint="-0.24994659260841701"/>
      </bottom>
      <diagonal/>
    </border>
    <border>
      <left/>
      <right style="medium">
        <color theme="3"/>
      </right>
      <top style="thin">
        <color theme="0" tint="-0.24994659260841701"/>
      </top>
      <bottom/>
      <diagonal/>
    </border>
    <border>
      <left style="medium">
        <color theme="3"/>
      </left>
      <right/>
      <top style="thin">
        <color theme="0" tint="-0.24994659260841701"/>
      </top>
      <bottom style="thin">
        <color theme="0" tint="-0.24994659260841701"/>
      </bottom>
      <diagonal/>
    </border>
    <border>
      <left/>
      <right style="medium">
        <color theme="3"/>
      </right>
      <top style="thin">
        <color theme="0" tint="-0.24994659260841701"/>
      </top>
      <bottom style="thin">
        <color theme="0" tint="-0.24994659260841701"/>
      </bottom>
      <diagonal/>
    </border>
    <border>
      <left/>
      <right style="medium">
        <color theme="3"/>
      </right>
      <top style="medium">
        <color rgb="FF000000"/>
      </top>
      <bottom style="medium">
        <color rgb="FF000000"/>
      </bottom>
      <diagonal/>
    </border>
    <border>
      <left style="medium">
        <color rgb="FF1F497D"/>
      </left>
      <right/>
      <top style="thin">
        <color theme="0" tint="-0.249977111117893"/>
      </top>
      <bottom style="medium">
        <color rgb="FF000000"/>
      </bottom>
      <diagonal/>
    </border>
    <border>
      <left/>
      <right/>
      <top style="thin">
        <color theme="0" tint="-0.249977111117893"/>
      </top>
      <bottom style="medium">
        <color rgb="FF000000"/>
      </bottom>
      <diagonal/>
    </border>
    <border>
      <left/>
      <right style="medium">
        <color rgb="FF1F497D"/>
      </right>
      <top style="thin">
        <color theme="0" tint="-0.249977111117893"/>
      </top>
      <bottom style="medium">
        <color rgb="FF000000"/>
      </bottom>
      <diagonal/>
    </border>
    <border>
      <left style="medium">
        <color rgb="FF1F497D"/>
      </left>
      <right/>
      <top style="thin">
        <color theme="0" tint="-0.249977111117893"/>
      </top>
      <bottom/>
      <diagonal/>
    </border>
    <border>
      <left/>
      <right/>
      <top style="thin">
        <color theme="0" tint="-0.249977111117893"/>
      </top>
      <bottom/>
      <diagonal/>
    </border>
    <border>
      <left/>
      <right style="medium">
        <color rgb="FF1F497D"/>
      </right>
      <top style="thin">
        <color theme="0" tint="-0.249977111117893"/>
      </top>
      <bottom/>
      <diagonal/>
    </border>
    <border>
      <left style="medium">
        <color rgb="FF1F497D"/>
      </left>
      <right/>
      <top style="thin">
        <color theme="0" tint="-0.249977111117893"/>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diagonal/>
    </border>
    <border>
      <left style="medium">
        <color rgb="FF1F497D"/>
      </left>
      <right/>
      <top/>
      <bottom style="thin">
        <color theme="0" tint="-0.249977111117893"/>
      </bottom>
      <diagonal/>
    </border>
    <border>
      <left style="thin">
        <color theme="0" tint="-0.249977111117893"/>
      </left>
      <right/>
      <top style="thin">
        <color theme="0" tint="-0.249977111117893"/>
      </top>
      <bottom/>
      <diagonal/>
    </border>
    <border>
      <left style="thin">
        <color theme="0" tint="-0.249977111117893"/>
      </left>
      <right/>
      <top/>
      <bottom/>
      <diagonal/>
    </border>
    <border>
      <left/>
      <right style="thin">
        <color theme="0" tint="-0.249977111117893"/>
      </right>
      <top style="thin">
        <color theme="0" tint="-0.24994659260841701"/>
      </top>
      <bottom style="thin">
        <color theme="0" tint="-0.24994659260841701"/>
      </bottom>
      <diagonal/>
    </border>
    <border>
      <left style="thin">
        <color theme="0" tint="-0.24994659260841701"/>
      </left>
      <right/>
      <top style="thin">
        <color theme="0" tint="-0.249977111117893"/>
      </top>
      <bottom style="thin">
        <color theme="0" tint="-0.24994659260841701"/>
      </bottom>
      <diagonal/>
    </border>
    <border>
      <left/>
      <right style="thin">
        <color theme="0" tint="-0.249977111117893"/>
      </right>
      <top style="thin">
        <color theme="0" tint="-0.249977111117893"/>
      </top>
      <bottom style="thin">
        <color theme="0" tint="-0.24994659260841701"/>
      </bottom>
      <diagonal/>
    </border>
    <border>
      <left/>
      <right style="medium">
        <color rgb="FF000000"/>
      </right>
      <top style="thin">
        <color indexed="64"/>
      </top>
      <bottom style="thin">
        <color indexed="64"/>
      </bottom>
      <diagonal/>
    </border>
    <border>
      <left style="medium">
        <color indexed="64"/>
      </left>
      <right style="medium">
        <color indexed="64"/>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rgb="FF000000"/>
      </right>
      <top/>
      <bottom style="medium">
        <color indexed="64"/>
      </bottom>
      <diagonal/>
    </border>
    <border>
      <left style="medium">
        <color indexed="64"/>
      </left>
      <right/>
      <top/>
      <bottom style="thin">
        <color indexed="64"/>
      </bottom>
      <diagonal/>
    </border>
    <border>
      <left/>
      <right/>
      <top style="medium">
        <color indexed="64"/>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s>
  <cellStyleXfs count="35">
    <xf numFmtId="0" fontId="0" fillId="0" borderId="0"/>
    <xf numFmtId="0" fontId="15" fillId="2" borderId="1" applyNumberFormat="0" applyProtection="0">
      <alignment horizontal="left" vertical="center" readingOrder="1"/>
    </xf>
    <xf numFmtId="0" fontId="16" fillId="2" borderId="2">
      <alignment horizontal="left"/>
    </xf>
    <xf numFmtId="0" fontId="16" fillId="2" borderId="3">
      <alignment horizontal="right"/>
    </xf>
    <xf numFmtId="0" fontId="16" fillId="2" borderId="3">
      <alignment horizontal="left"/>
    </xf>
    <xf numFmtId="3" fontId="17" fillId="3" borderId="4">
      <alignment horizontal="right"/>
    </xf>
    <xf numFmtId="170" fontId="10" fillId="3" borderId="4">
      <alignment horizontal="right"/>
    </xf>
    <xf numFmtId="4" fontId="10" fillId="3" borderId="4">
      <alignment horizontal="right"/>
    </xf>
    <xf numFmtId="0" fontId="19" fillId="4" borderId="5" applyNumberFormat="0" applyAlignment="0" applyProtection="0"/>
    <xf numFmtId="0" fontId="17" fillId="3" borderId="6"/>
    <xf numFmtId="0" fontId="18" fillId="3" borderId="6"/>
    <xf numFmtId="165" fontId="21" fillId="0" borderId="0" applyFont="0" applyFill="0" applyBorder="0" applyAlignment="0" applyProtection="0"/>
    <xf numFmtId="165" fontId="11" fillId="0" borderId="0" applyFont="0" applyFill="0" applyBorder="0" applyAlignment="0" applyProtection="0"/>
    <xf numFmtId="0" fontId="23" fillId="0" borderId="0"/>
    <xf numFmtId="0" fontId="11" fillId="0" borderId="0"/>
    <xf numFmtId="9" fontId="8" fillId="0" borderId="0" applyFont="0" applyFill="0" applyBorder="0" applyAlignment="0" applyProtection="0"/>
    <xf numFmtId="9" fontId="21" fillId="0" borderId="0" applyFont="0" applyFill="0" applyBorder="0" applyAlignment="0" applyProtection="0"/>
    <xf numFmtId="9" fontId="11" fillId="0" borderId="0" applyFont="0" applyFill="0" applyBorder="0" applyAlignment="0" applyProtection="0"/>
    <xf numFmtId="9" fontId="23"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xf numFmtId="164" fontId="81" fillId="0" borderId="0" applyFont="0" applyFill="0" applyBorder="0" applyAlignment="0" applyProtection="0"/>
    <xf numFmtId="0" fontId="86" fillId="0" borderId="0" applyNumberFormat="0" applyFill="0" applyBorder="0" applyAlignment="0" applyProtection="0"/>
  </cellStyleXfs>
  <cellXfs count="1241">
    <xf numFmtId="0" fontId="0" fillId="0" borderId="0" xfId="0"/>
    <xf numFmtId="9" fontId="0" fillId="0" borderId="0" xfId="15" applyFont="1" applyAlignment="1">
      <alignment horizontal="center"/>
    </xf>
    <xf numFmtId="0" fontId="0" fillId="0" borderId="0" xfId="0" applyAlignment="1">
      <alignment horizontal="center"/>
    </xf>
    <xf numFmtId="167" fontId="0" fillId="0" borderId="0" xfId="0" applyNumberFormat="1"/>
    <xf numFmtId="10" fontId="0" fillId="0" borderId="0" xfId="0" applyNumberFormat="1" applyAlignment="1">
      <alignment horizontal="center"/>
    </xf>
    <xf numFmtId="168" fontId="0" fillId="0" borderId="0" xfId="0" applyNumberFormat="1" applyAlignment="1">
      <alignment horizontal="center"/>
    </xf>
    <xf numFmtId="0" fontId="12" fillId="0" borderId="0" xfId="0" applyFont="1" applyAlignment="1">
      <alignment horizontal="center"/>
    </xf>
    <xf numFmtId="0" fontId="25" fillId="0" borderId="0" xfId="0" applyFont="1"/>
    <xf numFmtId="0" fontId="14" fillId="0" borderId="17" xfId="0" applyFont="1" applyBorder="1"/>
    <xf numFmtId="0" fontId="22" fillId="0" borderId="0" xfId="0" applyFont="1"/>
    <xf numFmtId="0" fontId="8" fillId="0" borderId="0" xfId="0" applyFont="1"/>
    <xf numFmtId="0" fontId="8" fillId="0" borderId="17" xfId="0" applyFont="1" applyBorder="1"/>
    <xf numFmtId="0" fontId="8" fillId="0" borderId="17" xfId="0" applyFont="1" applyBorder="1" applyAlignment="1">
      <alignment horizontal="left"/>
    </xf>
    <xf numFmtId="0" fontId="12" fillId="0" borderId="0" xfId="0" applyFont="1"/>
    <xf numFmtId="167" fontId="12" fillId="0" borderId="0" xfId="0" applyNumberFormat="1" applyFont="1" applyAlignment="1">
      <alignment horizontal="center"/>
    </xf>
    <xf numFmtId="9" fontId="12" fillId="0" borderId="0" xfId="15" applyFont="1"/>
    <xf numFmtId="9" fontId="8" fillId="8" borderId="17" xfId="15" applyFont="1" applyFill="1" applyBorder="1" applyAlignment="1">
      <alignment horizontal="center"/>
    </xf>
    <xf numFmtId="10" fontId="8" fillId="8" borderId="17" xfId="0" applyNumberFormat="1" applyFont="1" applyFill="1" applyBorder="1" applyAlignment="1">
      <alignment horizontal="center"/>
    </xf>
    <xf numFmtId="0" fontId="8" fillId="8" borderId="21" xfId="0" applyFont="1" applyFill="1" applyBorder="1" applyAlignment="1">
      <alignment horizontal="center" vertical="center"/>
    </xf>
    <xf numFmtId="0" fontId="25" fillId="8" borderId="0" xfId="0" applyFont="1" applyFill="1"/>
    <xf numFmtId="0" fontId="32" fillId="0" borderId="0" xfId="0" applyFont="1"/>
    <xf numFmtId="0" fontId="25" fillId="8" borderId="0" xfId="0" applyFont="1" applyFill="1" applyAlignment="1">
      <alignment horizontal="center"/>
    </xf>
    <xf numFmtId="0" fontId="34" fillId="0" borderId="0" xfId="0" applyFont="1"/>
    <xf numFmtId="0" fontId="34" fillId="12" borderId="0" xfId="0" applyFont="1" applyFill="1"/>
    <xf numFmtId="3" fontId="34" fillId="0" borderId="0" xfId="0" applyNumberFormat="1" applyFont="1" applyAlignment="1">
      <alignment horizontal="center"/>
    </xf>
    <xf numFmtId="0" fontId="34" fillId="0" borderId="0" xfId="0" applyFont="1" applyAlignment="1">
      <alignment horizontal="left"/>
    </xf>
    <xf numFmtId="0" fontId="34" fillId="19" borderId="0" xfId="0" applyFont="1" applyFill="1"/>
    <xf numFmtId="3" fontId="34" fillId="19" borderId="0" xfId="0" applyNumberFormat="1" applyFont="1" applyFill="1" applyAlignment="1">
      <alignment horizontal="center"/>
    </xf>
    <xf numFmtId="0" fontId="0" fillId="12" borderId="0" xfId="0" applyFill="1"/>
    <xf numFmtId="3" fontId="34" fillId="0" borderId="0" xfId="0" applyNumberFormat="1" applyFont="1"/>
    <xf numFmtId="3" fontId="35" fillId="19" borderId="0" xfId="0" applyNumberFormat="1" applyFont="1" applyFill="1" applyAlignment="1">
      <alignment horizontal="center"/>
    </xf>
    <xf numFmtId="3" fontId="34" fillId="12" borderId="0" xfId="0" applyNumberFormat="1" applyFont="1" applyFill="1" applyAlignment="1">
      <alignment horizontal="center"/>
    </xf>
    <xf numFmtId="3" fontId="35" fillId="12" borderId="0" xfId="0" applyNumberFormat="1" applyFont="1" applyFill="1" applyAlignment="1">
      <alignment horizontal="center"/>
    </xf>
    <xf numFmtId="0" fontId="18" fillId="3" borderId="6" xfId="10"/>
    <xf numFmtId="0" fontId="0" fillId="20" borderId="0" xfId="0" applyFill="1"/>
    <xf numFmtId="3" fontId="22" fillId="0" borderId="0" xfId="0" applyNumberFormat="1" applyFont="1" applyAlignment="1">
      <alignment horizontal="center"/>
    </xf>
    <xf numFmtId="3" fontId="22" fillId="0" borderId="0" xfId="0" applyNumberFormat="1" applyFont="1"/>
    <xf numFmtId="0" fontId="0" fillId="21" borderId="0" xfId="0" applyFill="1"/>
    <xf numFmtId="3" fontId="22" fillId="19" borderId="0" xfId="0" applyNumberFormat="1" applyFont="1" applyFill="1" applyAlignment="1">
      <alignment horizontal="center"/>
    </xf>
    <xf numFmtId="0" fontId="22" fillId="19" borderId="0" xfId="0" applyFont="1" applyFill="1"/>
    <xf numFmtId="0" fontId="0" fillId="22" borderId="0" xfId="0" applyFill="1"/>
    <xf numFmtId="170" fontId="34" fillId="0" borderId="0" xfId="0" applyNumberFormat="1" applyFont="1" applyAlignment="1">
      <alignment horizontal="center"/>
    </xf>
    <xf numFmtId="9" fontId="0" fillId="8" borderId="17" xfId="15" applyFont="1" applyFill="1" applyBorder="1" applyAlignment="1">
      <alignment horizontal="center"/>
    </xf>
    <xf numFmtId="0" fontId="37" fillId="0" borderId="0" xfId="0" applyFont="1"/>
    <xf numFmtId="0" fontId="38" fillId="0" borderId="0" xfId="0" applyFont="1"/>
    <xf numFmtId="0" fontId="39" fillId="0" borderId="0" xfId="0" applyFont="1" applyAlignment="1">
      <alignment horizontal="center"/>
    </xf>
    <xf numFmtId="169" fontId="38" fillId="0" borderId="0" xfId="0" applyNumberFormat="1" applyFont="1" applyAlignment="1">
      <alignment horizontal="center"/>
    </xf>
    <xf numFmtId="0" fontId="40" fillId="0" borderId="0" xfId="0" applyFont="1"/>
    <xf numFmtId="0" fontId="41" fillId="0" borderId="0" xfId="0" applyFont="1"/>
    <xf numFmtId="0" fontId="0" fillId="0" borderId="12" xfId="0" applyBorder="1"/>
    <xf numFmtId="0" fontId="22" fillId="0" borderId="0" xfId="0" applyFont="1" applyAlignment="1">
      <alignment horizontal="center"/>
    </xf>
    <xf numFmtId="0" fontId="38" fillId="0" borderId="0" xfId="0" applyFont="1" applyAlignment="1">
      <alignment horizontal="center"/>
    </xf>
    <xf numFmtId="167" fontId="8" fillId="24" borderId="17" xfId="0" applyNumberFormat="1" applyFont="1" applyFill="1" applyBorder="1" applyAlignment="1">
      <alignment horizontal="center"/>
    </xf>
    <xf numFmtId="3" fontId="37" fillId="0" borderId="0" xfId="0" applyNumberFormat="1" applyFont="1"/>
    <xf numFmtId="0" fontId="39" fillId="17" borderId="0" xfId="0" applyFont="1" applyFill="1" applyAlignment="1">
      <alignment horizontal="center"/>
    </xf>
    <xf numFmtId="3" fontId="0" fillId="25" borderId="1" xfId="0" applyNumberFormat="1" applyFill="1" applyBorder="1" applyAlignment="1">
      <alignment horizontal="center"/>
    </xf>
    <xf numFmtId="3" fontId="0" fillId="25" borderId="38" xfId="0" applyNumberFormat="1" applyFill="1" applyBorder="1" applyAlignment="1">
      <alignment horizontal="center"/>
    </xf>
    <xf numFmtId="168" fontId="12" fillId="26" borderId="1" xfId="15" applyNumberFormat="1" applyFont="1" applyFill="1" applyBorder="1" applyAlignment="1">
      <alignment horizontal="center"/>
    </xf>
    <xf numFmtId="168" fontId="12" fillId="26" borderId="38" xfId="15" applyNumberFormat="1" applyFont="1" applyFill="1" applyBorder="1" applyAlignment="1">
      <alignment horizontal="center"/>
    </xf>
    <xf numFmtId="3" fontId="0" fillId="25" borderId="1" xfId="15" applyNumberFormat="1" applyFont="1" applyFill="1" applyBorder="1" applyAlignment="1">
      <alignment horizontal="center"/>
    </xf>
    <xf numFmtId="3" fontId="0" fillId="25" borderId="38" xfId="15" applyNumberFormat="1" applyFont="1" applyFill="1" applyBorder="1" applyAlignment="1">
      <alignment horizontal="center"/>
    </xf>
    <xf numFmtId="3" fontId="12" fillId="27" borderId="1" xfId="15" applyNumberFormat="1" applyFont="1" applyFill="1" applyBorder="1" applyAlignment="1">
      <alignment horizontal="center"/>
    </xf>
    <xf numFmtId="3" fontId="0" fillId="0" borderId="0" xfId="0" applyNumberFormat="1" applyAlignment="1">
      <alignment horizontal="center"/>
    </xf>
    <xf numFmtId="169" fontId="0" fillId="0" borderId="0" xfId="0" applyNumberFormat="1" applyAlignment="1">
      <alignment horizontal="center"/>
    </xf>
    <xf numFmtId="170" fontId="34" fillId="19" borderId="0" xfId="0" applyNumberFormat="1" applyFont="1" applyFill="1" applyAlignment="1">
      <alignment horizontal="center"/>
    </xf>
    <xf numFmtId="0" fontId="34" fillId="19" borderId="0" xfId="0" applyFont="1" applyFill="1" applyAlignment="1">
      <alignment horizontal="center"/>
    </xf>
    <xf numFmtId="168" fontId="34" fillId="19" borderId="0" xfId="0" applyNumberFormat="1" applyFont="1" applyFill="1" applyAlignment="1">
      <alignment horizontal="center"/>
    </xf>
    <xf numFmtId="9" fontId="34" fillId="0" borderId="0" xfId="15" applyFont="1" applyFill="1" applyAlignment="1">
      <alignment horizontal="center"/>
    </xf>
    <xf numFmtId="168" fontId="34" fillId="0" borderId="0" xfId="15" applyNumberFormat="1" applyFont="1" applyFill="1" applyAlignment="1">
      <alignment horizontal="center"/>
    </xf>
    <xf numFmtId="9" fontId="34" fillId="0" borderId="0" xfId="21" applyFont="1" applyFill="1" applyAlignment="1">
      <alignment horizontal="center"/>
    </xf>
    <xf numFmtId="168" fontId="32" fillId="24" borderId="17" xfId="15" applyNumberFormat="1" applyFont="1" applyFill="1" applyBorder="1" applyAlignment="1">
      <alignment horizontal="center"/>
    </xf>
    <xf numFmtId="0" fontId="12" fillId="0" borderId="31" xfId="0" applyFont="1" applyBorder="1"/>
    <xf numFmtId="0" fontId="16" fillId="5" borderId="8" xfId="4" applyFill="1" applyBorder="1" applyAlignment="1"/>
    <xf numFmtId="0" fontId="8" fillId="0" borderId="0" xfId="25"/>
    <xf numFmtId="0" fontId="26" fillId="5" borderId="7" xfId="25" applyFont="1" applyFill="1" applyBorder="1" applyAlignment="1">
      <alignment horizontal="center"/>
    </xf>
    <xf numFmtId="0" fontId="26" fillId="5" borderId="11" xfId="25" applyFont="1" applyFill="1" applyBorder="1" applyAlignment="1">
      <alignment horizontal="center"/>
    </xf>
    <xf numFmtId="0" fontId="28" fillId="3" borderId="10" xfId="10" applyFont="1" applyBorder="1"/>
    <xf numFmtId="0" fontId="8" fillId="0" borderId="0" xfId="25" applyAlignment="1">
      <alignment vertical="center"/>
    </xf>
    <xf numFmtId="0" fontId="28" fillId="3" borderId="13" xfId="10" applyFont="1" applyBorder="1"/>
    <xf numFmtId="0" fontId="28" fillId="0" borderId="10" xfId="10" applyFont="1" applyFill="1" applyBorder="1"/>
    <xf numFmtId="0" fontId="19" fillId="0" borderId="0" xfId="8" applyFill="1" applyBorder="1"/>
    <xf numFmtId="9" fontId="8" fillId="0" borderId="0" xfId="27" applyFont="1"/>
    <xf numFmtId="0" fontId="29" fillId="0" borderId="0" xfId="34" applyFont="1" applyAlignment="1" applyProtection="1"/>
    <xf numFmtId="0" fontId="26" fillId="29" borderId="0" xfId="25" applyFont="1" applyFill="1" applyAlignment="1">
      <alignment horizontal="center" vertical="center"/>
    </xf>
    <xf numFmtId="0" fontId="27" fillId="0" borderId="9" xfId="9" applyFont="1" applyFill="1" applyBorder="1"/>
    <xf numFmtId="0" fontId="18" fillId="3" borderId="13" xfId="10" applyBorder="1"/>
    <xf numFmtId="0" fontId="18" fillId="3" borderId="10" xfId="10" applyBorder="1"/>
    <xf numFmtId="0" fontId="25" fillId="0" borderId="0" xfId="25" applyFont="1"/>
    <xf numFmtId="0" fontId="12" fillId="0" borderId="26" xfId="0" applyFont="1" applyBorder="1"/>
    <xf numFmtId="0" fontId="12" fillId="0" borderId="32" xfId="0" applyFont="1" applyBorder="1"/>
    <xf numFmtId="0" fontId="0" fillId="0" borderId="4" xfId="0" applyBorder="1"/>
    <xf numFmtId="0" fontId="0" fillId="0" borderId="6" xfId="0" applyBorder="1"/>
    <xf numFmtId="0" fontId="0" fillId="0" borderId="30" xfId="0" applyBorder="1"/>
    <xf numFmtId="0" fontId="0" fillId="0" borderId="2" xfId="0" applyBorder="1"/>
    <xf numFmtId="0" fontId="0" fillId="0" borderId="31" xfId="0" applyBorder="1"/>
    <xf numFmtId="0" fontId="0" fillId="0" borderId="26" xfId="0" applyBorder="1"/>
    <xf numFmtId="0" fontId="0" fillId="0" borderId="32" xfId="0" applyBorder="1"/>
    <xf numFmtId="0" fontId="12" fillId="0" borderId="37" xfId="0" applyFont="1" applyBorder="1"/>
    <xf numFmtId="0" fontId="12" fillId="0" borderId="1" xfId="0" applyFont="1" applyBorder="1"/>
    <xf numFmtId="0" fontId="12" fillId="0" borderId="38" xfId="0" applyFont="1" applyBorder="1"/>
    <xf numFmtId="0" fontId="0" fillId="8" borderId="0" xfId="0" applyFill="1"/>
    <xf numFmtId="0" fontId="34" fillId="19" borderId="0" xfId="0" applyFont="1" applyFill="1" applyAlignment="1">
      <alignment horizontal="left" indent="1"/>
    </xf>
    <xf numFmtId="170" fontId="34" fillId="19" borderId="0" xfId="0" applyNumberFormat="1" applyFont="1" applyFill="1" applyAlignment="1">
      <alignment horizontal="left" indent="1"/>
    </xf>
    <xf numFmtId="0" fontId="34" fillId="30" borderId="0" xfId="0" applyFont="1" applyFill="1" applyAlignment="1">
      <alignment horizontal="left" indent="1"/>
    </xf>
    <xf numFmtId="0" fontId="22" fillId="0" borderId="0" xfId="0" applyFont="1" applyAlignment="1">
      <alignment horizontal="left"/>
    </xf>
    <xf numFmtId="0" fontId="26" fillId="32" borderId="23" xfId="0" applyFont="1" applyFill="1" applyBorder="1" applyAlignment="1">
      <alignment horizontal="center"/>
    </xf>
    <xf numFmtId="0" fontId="26" fillId="32" borderId="20" xfId="0" applyFont="1" applyFill="1" applyBorder="1" applyAlignment="1">
      <alignment horizontal="center"/>
    </xf>
    <xf numFmtId="9" fontId="32" fillId="8" borderId="45" xfId="15" applyFont="1" applyFill="1" applyBorder="1" applyAlignment="1">
      <alignment horizontal="center"/>
    </xf>
    <xf numFmtId="9" fontId="8" fillId="8" borderId="45" xfId="15" applyFont="1" applyFill="1" applyBorder="1" applyAlignment="1">
      <alignment horizontal="center"/>
    </xf>
    <xf numFmtId="0" fontId="12" fillId="0" borderId="45" xfId="0" applyFont="1" applyBorder="1" applyAlignment="1">
      <alignment horizontal="center"/>
    </xf>
    <xf numFmtId="168" fontId="32" fillId="24" borderId="45" xfId="15" applyNumberFormat="1" applyFont="1" applyFill="1" applyBorder="1" applyAlignment="1">
      <alignment horizontal="center"/>
    </xf>
    <xf numFmtId="0" fontId="26" fillId="32" borderId="17" xfId="0" applyFont="1" applyFill="1" applyBorder="1" applyAlignment="1">
      <alignment horizontal="center" vertical="center" wrapText="1"/>
    </xf>
    <xf numFmtId="0" fontId="8" fillId="8" borderId="17" xfId="0" applyFont="1" applyFill="1" applyBorder="1" applyAlignment="1">
      <alignment vertical="center" wrapText="1"/>
    </xf>
    <xf numFmtId="0" fontId="26" fillId="32" borderId="45" xfId="0" applyFont="1" applyFill="1" applyBorder="1" applyAlignment="1">
      <alignment horizontal="center"/>
    </xf>
    <xf numFmtId="3" fontId="8" fillId="0" borderId="0" xfId="0" applyNumberFormat="1" applyFont="1"/>
    <xf numFmtId="0" fontId="8" fillId="17" borderId="37" xfId="0" applyFont="1" applyFill="1" applyBorder="1"/>
    <xf numFmtId="0" fontId="8" fillId="0" borderId="37" xfId="0" applyFont="1" applyBorder="1" applyAlignment="1">
      <alignment horizontal="left" indent="1"/>
    </xf>
    <xf numFmtId="0" fontId="8" fillId="0" borderId="37" xfId="0" applyFont="1" applyBorder="1" applyAlignment="1">
      <alignment horizontal="left"/>
    </xf>
    <xf numFmtId="0" fontId="8" fillId="17" borderId="37" xfId="0" applyFont="1" applyFill="1" applyBorder="1" applyAlignment="1">
      <alignment horizontal="left" indent="1"/>
    </xf>
    <xf numFmtId="0" fontId="12" fillId="0" borderId="37" xfId="0" applyFont="1" applyBorder="1" applyAlignment="1">
      <alignment horizontal="left"/>
    </xf>
    <xf numFmtId="0" fontId="12" fillId="17" borderId="37" xfId="0" applyFont="1" applyFill="1" applyBorder="1"/>
    <xf numFmtId="0" fontId="8" fillId="0" borderId="37" xfId="0" applyFont="1" applyBorder="1"/>
    <xf numFmtId="172" fontId="8" fillId="24" borderId="17" xfId="0" applyNumberFormat="1" applyFont="1" applyFill="1" applyBorder="1" applyAlignment="1">
      <alignment horizontal="center"/>
    </xf>
    <xf numFmtId="9" fontId="8" fillId="24" borderId="17" xfId="15" applyFont="1" applyFill="1" applyBorder="1" applyAlignment="1">
      <alignment horizontal="center"/>
    </xf>
    <xf numFmtId="167" fontId="8" fillId="7" borderId="17" xfId="0" applyNumberFormat="1" applyFont="1" applyFill="1" applyBorder="1" applyAlignment="1">
      <alignment horizontal="center"/>
    </xf>
    <xf numFmtId="4" fontId="8" fillId="7" borderId="17" xfId="0" applyNumberFormat="1" applyFont="1" applyFill="1" applyBorder="1" applyAlignment="1">
      <alignment horizontal="center"/>
    </xf>
    <xf numFmtId="9" fontId="32" fillId="7" borderId="45" xfId="15" applyFont="1" applyFill="1" applyBorder="1" applyAlignment="1">
      <alignment horizontal="center"/>
    </xf>
    <xf numFmtId="0" fontId="8" fillId="7" borderId="17" xfId="0" applyFont="1" applyFill="1" applyBorder="1"/>
    <xf numFmtId="9" fontId="8" fillId="7" borderId="17" xfId="15" applyFont="1" applyFill="1" applyBorder="1" applyAlignment="1">
      <alignment horizontal="center"/>
    </xf>
    <xf numFmtId="168" fontId="8" fillId="7" borderId="17" xfId="15" applyNumberFormat="1" applyFont="1" applyFill="1" applyBorder="1" applyAlignment="1">
      <alignment horizontal="center"/>
    </xf>
    <xf numFmtId="9" fontId="8" fillId="7" borderId="17" xfId="15" applyFont="1" applyFill="1" applyBorder="1"/>
    <xf numFmtId="172" fontId="32" fillId="8" borderId="45" xfId="15" applyNumberFormat="1" applyFont="1" applyFill="1" applyBorder="1" applyAlignment="1">
      <alignment horizontal="center"/>
    </xf>
    <xf numFmtId="172" fontId="8" fillId="8" borderId="45" xfId="0" applyNumberFormat="1" applyFont="1" applyFill="1" applyBorder="1" applyAlignment="1">
      <alignment horizontal="center"/>
    </xf>
    <xf numFmtId="0" fontId="47" fillId="32" borderId="45" xfId="0" applyFont="1" applyFill="1" applyBorder="1" applyAlignment="1">
      <alignment horizontal="center"/>
    </xf>
    <xf numFmtId="0" fontId="48" fillId="32" borderId="45" xfId="0" applyFont="1" applyFill="1" applyBorder="1" applyAlignment="1">
      <alignment horizontal="center"/>
    </xf>
    <xf numFmtId="167" fontId="12" fillId="24" borderId="17" xfId="0" applyNumberFormat="1" applyFont="1" applyFill="1" applyBorder="1" applyAlignment="1">
      <alignment horizontal="center"/>
    </xf>
    <xf numFmtId="0" fontId="12" fillId="14" borderId="12" xfId="0" applyFont="1" applyFill="1" applyBorder="1" applyAlignment="1">
      <alignment horizontal="center"/>
    </xf>
    <xf numFmtId="0" fontId="0" fillId="0" borderId="43" xfId="0" applyBorder="1"/>
    <xf numFmtId="0" fontId="0" fillId="0" borderId="58" xfId="0" applyBorder="1"/>
    <xf numFmtId="0" fontId="12" fillId="0" borderId="76" xfId="0" applyFont="1" applyBorder="1" applyAlignment="1">
      <alignment horizontal="left"/>
    </xf>
    <xf numFmtId="0" fontId="12" fillId="0" borderId="77" xfId="0" applyFont="1" applyBorder="1" applyAlignment="1">
      <alignment horizontal="left"/>
    </xf>
    <xf numFmtId="9" fontId="0" fillId="0" borderId="77" xfId="15" applyFont="1" applyBorder="1"/>
    <xf numFmtId="9" fontId="0" fillId="0" borderId="78" xfId="15" applyFont="1" applyBorder="1"/>
    <xf numFmtId="9" fontId="0" fillId="0" borderId="54" xfId="0" applyNumberFormat="1" applyBorder="1"/>
    <xf numFmtId="167" fontId="0" fillId="0" borderId="71" xfId="0" applyNumberFormat="1" applyBorder="1" applyAlignment="1">
      <alignment horizontal="center"/>
    </xf>
    <xf numFmtId="167" fontId="0" fillId="0" borderId="74" xfId="0" applyNumberFormat="1" applyBorder="1" applyAlignment="1">
      <alignment horizontal="center"/>
    </xf>
    <xf numFmtId="0" fontId="0" fillId="33" borderId="79" xfId="0" applyFill="1" applyBorder="1"/>
    <xf numFmtId="0" fontId="0" fillId="33" borderId="80" xfId="0" applyFill="1" applyBorder="1"/>
    <xf numFmtId="10" fontId="0" fillId="33" borderId="80" xfId="0" applyNumberFormat="1" applyFill="1" applyBorder="1"/>
    <xf numFmtId="0" fontId="12" fillId="8" borderId="33" xfId="0" applyFont="1" applyFill="1" applyBorder="1" applyAlignment="1">
      <alignment horizontal="center"/>
    </xf>
    <xf numFmtId="9" fontId="0" fillId="0" borderId="82" xfId="15" applyFont="1" applyBorder="1"/>
    <xf numFmtId="0" fontId="12" fillId="0" borderId="82" xfId="0" applyFont="1" applyBorder="1"/>
    <xf numFmtId="0" fontId="12" fillId="14" borderId="53" xfId="0" applyFont="1" applyFill="1" applyBorder="1" applyAlignment="1">
      <alignment horizontal="center"/>
    </xf>
    <xf numFmtId="9" fontId="12" fillId="14" borderId="53" xfId="15" applyFont="1" applyFill="1" applyBorder="1" applyAlignment="1">
      <alignment horizontal="center"/>
    </xf>
    <xf numFmtId="0" fontId="12" fillId="0" borderId="53" xfId="0" applyFont="1" applyBorder="1" applyAlignment="1">
      <alignment horizontal="center"/>
    </xf>
    <xf numFmtId="167" fontId="0" fillId="0" borderId="83" xfId="0" applyNumberFormat="1" applyBorder="1" applyAlignment="1">
      <alignment horizontal="center"/>
    </xf>
    <xf numFmtId="0" fontId="12" fillId="0" borderId="84" xfId="0" applyFont="1" applyBorder="1"/>
    <xf numFmtId="0" fontId="0" fillId="0" borderId="55" xfId="0" applyBorder="1"/>
    <xf numFmtId="0" fontId="0" fillId="0" borderId="56" xfId="0" applyBorder="1"/>
    <xf numFmtId="0" fontId="0" fillId="0" borderId="57" xfId="0" applyBorder="1"/>
    <xf numFmtId="0" fontId="0" fillId="0" borderId="44" xfId="0" applyBorder="1"/>
    <xf numFmtId="0" fontId="0" fillId="0" borderId="63" xfId="0" applyBorder="1"/>
    <xf numFmtId="0" fontId="0" fillId="0" borderId="64" xfId="0" applyBorder="1"/>
    <xf numFmtId="9" fontId="0" fillId="0" borderId="0" xfId="0" applyNumberFormat="1"/>
    <xf numFmtId="0" fontId="12" fillId="14" borderId="81" xfId="0" applyFont="1" applyFill="1" applyBorder="1" applyAlignment="1">
      <alignment horizontal="center"/>
    </xf>
    <xf numFmtId="0" fontId="0" fillId="33" borderId="60" xfId="0" applyFill="1" applyBorder="1"/>
    <xf numFmtId="0" fontId="0" fillId="33" borderId="62" xfId="0" applyFill="1" applyBorder="1"/>
    <xf numFmtId="0" fontId="12" fillId="0" borderId="60" xfId="0" applyFont="1" applyBorder="1" applyAlignment="1">
      <alignment horizontal="center"/>
    </xf>
    <xf numFmtId="167" fontId="0" fillId="0" borderId="72" xfId="0" applyNumberFormat="1" applyBorder="1" applyAlignment="1">
      <alignment horizontal="center"/>
    </xf>
    <xf numFmtId="167" fontId="0" fillId="0" borderId="75" xfId="0" applyNumberFormat="1" applyBorder="1" applyAlignment="1">
      <alignment horizontal="center"/>
    </xf>
    <xf numFmtId="0" fontId="12" fillId="8" borderId="9" xfId="0" applyFont="1" applyFill="1" applyBorder="1" applyAlignment="1">
      <alignment horizontal="center"/>
    </xf>
    <xf numFmtId="172" fontId="0" fillId="0" borderId="87" xfId="0" applyNumberFormat="1" applyBorder="1" applyAlignment="1">
      <alignment horizontal="center"/>
    </xf>
    <xf numFmtId="172" fontId="0" fillId="0" borderId="89" xfId="0" applyNumberFormat="1" applyBorder="1" applyAlignment="1">
      <alignment horizontal="center"/>
    </xf>
    <xf numFmtId="0" fontId="0" fillId="31" borderId="61" xfId="0" applyFill="1" applyBorder="1"/>
    <xf numFmtId="0" fontId="26" fillId="31" borderId="61" xfId="0" applyFont="1" applyFill="1" applyBorder="1" applyAlignment="1">
      <alignment horizontal="left"/>
    </xf>
    <xf numFmtId="9" fontId="0" fillId="31" borderId="61" xfId="15" applyFont="1" applyFill="1" applyBorder="1" applyAlignment="1">
      <alignment horizontal="center" vertical="center"/>
    </xf>
    <xf numFmtId="171" fontId="26" fillId="31" borderId="62" xfId="0" applyNumberFormat="1" applyFont="1" applyFill="1" applyBorder="1" applyAlignment="1">
      <alignment horizontal="center" vertical="center"/>
    </xf>
    <xf numFmtId="0" fontId="12" fillId="17" borderId="93" xfId="0" applyFont="1" applyFill="1" applyBorder="1"/>
    <xf numFmtId="0" fontId="12" fillId="17" borderId="95" xfId="0" applyFont="1" applyFill="1" applyBorder="1"/>
    <xf numFmtId="172" fontId="0" fillId="0" borderId="96" xfId="0" applyNumberFormat="1" applyBorder="1" applyAlignment="1">
      <alignment horizontal="center"/>
    </xf>
    <xf numFmtId="172" fontId="0" fillId="0" borderId="94" xfId="0" applyNumberFormat="1" applyBorder="1" applyAlignment="1">
      <alignment horizontal="center"/>
    </xf>
    <xf numFmtId="172" fontId="0" fillId="0" borderId="97" xfId="0" applyNumberFormat="1" applyBorder="1" applyAlignment="1">
      <alignment horizontal="center"/>
    </xf>
    <xf numFmtId="0" fontId="26" fillId="32" borderId="98" xfId="0" applyFont="1" applyFill="1" applyBorder="1" applyAlignment="1">
      <alignment horizontal="center"/>
    </xf>
    <xf numFmtId="0" fontId="0" fillId="32" borderId="99" xfId="0" applyFill="1" applyBorder="1"/>
    <xf numFmtId="0" fontId="0" fillId="32" borderId="100" xfId="0" applyFill="1" applyBorder="1"/>
    <xf numFmtId="0" fontId="26" fillId="32" borderId="93" xfId="0" applyFont="1" applyFill="1" applyBorder="1" applyAlignment="1">
      <alignment horizontal="center"/>
    </xf>
    <xf numFmtId="0" fontId="0" fillId="32" borderId="89" xfId="0" applyFill="1" applyBorder="1"/>
    <xf numFmtId="0" fontId="0" fillId="32" borderId="94" xfId="0" applyFill="1" applyBorder="1"/>
    <xf numFmtId="0" fontId="12" fillId="0" borderId="91" xfId="0" applyFont="1" applyBorder="1" applyAlignment="1">
      <alignment horizontal="left" vertical="center"/>
    </xf>
    <xf numFmtId="0" fontId="46" fillId="5" borderId="60" xfId="0" applyFont="1" applyFill="1" applyBorder="1" applyAlignment="1">
      <alignment horizontal="left" vertical="center"/>
    </xf>
    <xf numFmtId="0" fontId="46" fillId="31" borderId="60" xfId="0" applyFont="1" applyFill="1" applyBorder="1" applyAlignment="1">
      <alignment horizontal="left" vertical="center"/>
    </xf>
    <xf numFmtId="0" fontId="46" fillId="13" borderId="62" xfId="0" applyFont="1" applyFill="1" applyBorder="1" applyAlignment="1">
      <alignment horizontal="center"/>
    </xf>
    <xf numFmtId="0" fontId="12" fillId="8" borderId="91" xfId="0" applyFont="1" applyFill="1" applyBorder="1" applyAlignment="1">
      <alignment horizontal="left" vertical="center"/>
    </xf>
    <xf numFmtId="0" fontId="12" fillId="8" borderId="93" xfId="0" applyFont="1" applyFill="1" applyBorder="1" applyAlignment="1">
      <alignment horizontal="left" vertical="center"/>
    </xf>
    <xf numFmtId="0" fontId="0" fillId="31" borderId="61" xfId="0" applyFill="1" applyBorder="1" applyAlignment="1">
      <alignment horizontal="center"/>
    </xf>
    <xf numFmtId="0" fontId="8" fillId="0" borderId="55" xfId="0" applyFont="1" applyBorder="1"/>
    <xf numFmtId="0" fontId="49" fillId="5" borderId="52" xfId="0" applyFont="1" applyFill="1" applyBorder="1" applyAlignment="1">
      <alignment horizontal="center"/>
    </xf>
    <xf numFmtId="0" fontId="49" fillId="5" borderId="52" xfId="0" applyFont="1" applyFill="1" applyBorder="1"/>
    <xf numFmtId="0" fontId="0" fillId="0" borderId="52" xfId="0" applyBorder="1"/>
    <xf numFmtId="172" fontId="0" fillId="24" borderId="89" xfId="0" applyNumberFormat="1" applyFill="1" applyBorder="1" applyAlignment="1">
      <alignment horizontal="center"/>
    </xf>
    <xf numFmtId="172" fontId="0" fillId="24" borderId="96" xfId="0" applyNumberFormat="1" applyFill="1" applyBorder="1" applyAlignment="1">
      <alignment horizontal="center"/>
    </xf>
    <xf numFmtId="0" fontId="28" fillId="0" borderId="10" xfId="25" applyFont="1" applyBorder="1" applyAlignment="1">
      <alignment horizontal="center"/>
    </xf>
    <xf numFmtId="0" fontId="28" fillId="0" borderId="15" xfId="25" applyFont="1" applyBorder="1" applyAlignment="1">
      <alignment horizontal="center"/>
    </xf>
    <xf numFmtId="0" fontId="28" fillId="0" borderId="10" xfId="25" applyFont="1" applyBorder="1" applyAlignment="1">
      <alignment horizontal="center" vertical="center"/>
    </xf>
    <xf numFmtId="0" fontId="28" fillId="0" borderId="15" xfId="25" applyFont="1" applyBorder="1" applyAlignment="1">
      <alignment horizontal="center" vertical="center"/>
    </xf>
    <xf numFmtId="0" fontId="28" fillId="0" borderId="14" xfId="25" applyFont="1" applyBorder="1" applyAlignment="1">
      <alignment horizontal="center"/>
    </xf>
    <xf numFmtId="0" fontId="28" fillId="0" borderId="16" xfId="25" applyFont="1" applyBorder="1" applyAlignment="1">
      <alignment horizontal="center"/>
    </xf>
    <xf numFmtId="0" fontId="50" fillId="5" borderId="104" xfId="4" applyFont="1" applyFill="1" applyBorder="1" applyAlignment="1">
      <alignment horizontal="center" vertical="center"/>
    </xf>
    <xf numFmtId="0" fontId="50" fillId="5" borderId="104" xfId="3" applyFont="1" applyFill="1" applyBorder="1" applyAlignment="1">
      <alignment horizontal="center" vertical="center" wrapText="1"/>
    </xf>
    <xf numFmtId="0" fontId="50" fillId="5" borderId="104" xfId="3" applyFont="1" applyFill="1" applyBorder="1" applyAlignment="1">
      <alignment horizontal="center" vertical="center"/>
    </xf>
    <xf numFmtId="0" fontId="8" fillId="3" borderId="104" xfId="10" applyFont="1" applyBorder="1" applyAlignment="1">
      <alignment horizontal="center" vertical="center"/>
    </xf>
    <xf numFmtId="170" fontId="8" fillId="8" borderId="104" xfId="6" applyFont="1" applyFill="1" applyBorder="1" applyAlignment="1">
      <alignment horizontal="right" vertical="center" wrapText="1"/>
    </xf>
    <xf numFmtId="0" fontId="28" fillId="3" borderId="104" xfId="10" applyFont="1" applyBorder="1" applyAlignment="1">
      <alignment vertical="center"/>
    </xf>
    <xf numFmtId="170" fontId="8" fillId="3" borderId="104" xfId="6" applyFont="1" applyBorder="1" applyAlignment="1">
      <alignment horizontal="right" vertical="center" wrapText="1"/>
    </xf>
    <xf numFmtId="0" fontId="28" fillId="3" borderId="104" xfId="10" applyFont="1" applyBorder="1" applyAlignment="1">
      <alignment horizontal="center" vertical="center"/>
    </xf>
    <xf numFmtId="3" fontId="12" fillId="34" borderId="106" xfId="5" applyFont="1" applyFill="1" applyBorder="1" applyAlignment="1">
      <alignment horizontal="center" vertical="center"/>
    </xf>
    <xf numFmtId="0" fontId="12" fillId="0" borderId="0" xfId="25" applyFont="1" applyAlignment="1">
      <alignment vertical="center"/>
    </xf>
    <xf numFmtId="0" fontId="8" fillId="12" borderId="0" xfId="25" applyFill="1" applyAlignment="1">
      <alignment vertical="center"/>
    </xf>
    <xf numFmtId="0" fontId="27" fillId="0" borderId="104" xfId="9" applyFont="1" applyFill="1" applyBorder="1" applyAlignment="1">
      <alignment horizontal="center" vertical="center"/>
    </xf>
    <xf numFmtId="3" fontId="51" fillId="34" borderId="105" xfId="5" applyFont="1" applyFill="1" applyBorder="1" applyAlignment="1">
      <alignment horizontal="right" vertical="center"/>
    </xf>
    <xf numFmtId="3" fontId="51" fillId="34" borderId="106" xfId="5" applyFont="1" applyFill="1" applyBorder="1" applyAlignment="1">
      <alignment horizontal="right" vertical="center"/>
    </xf>
    <xf numFmtId="3" fontId="51" fillId="34" borderId="107" xfId="5" applyFont="1" applyFill="1" applyBorder="1" applyAlignment="1">
      <alignment horizontal="right" vertical="center"/>
    </xf>
    <xf numFmtId="170" fontId="8" fillId="3" borderId="104" xfId="6" applyFont="1" applyBorder="1" applyAlignment="1">
      <alignment horizontal="center" vertical="center"/>
    </xf>
    <xf numFmtId="0" fontId="0" fillId="34" borderId="106" xfId="0" applyFill="1" applyBorder="1" applyAlignment="1">
      <alignment horizontal="center" vertical="center"/>
    </xf>
    <xf numFmtId="4" fontId="8" fillId="34" borderId="106" xfId="7" applyFont="1" applyFill="1" applyBorder="1" applyAlignment="1">
      <alignment horizontal="right" vertical="center"/>
    </xf>
    <xf numFmtId="3" fontId="12" fillId="34" borderId="107" xfId="5" applyFont="1" applyFill="1" applyBorder="1" applyAlignment="1">
      <alignment horizontal="right" vertical="center" wrapText="1"/>
    </xf>
    <xf numFmtId="4" fontId="8" fillId="8" borderId="104" xfId="7" applyFont="1" applyFill="1" applyBorder="1" applyAlignment="1">
      <alignment horizontal="right" vertical="center" wrapText="1"/>
    </xf>
    <xf numFmtId="4" fontId="8" fillId="3" borderId="104" xfId="7" applyFont="1" applyBorder="1" applyAlignment="1">
      <alignment horizontal="center" vertical="center"/>
    </xf>
    <xf numFmtId="4" fontId="8" fillId="3" borderId="104" xfId="7" applyFont="1" applyBorder="1" applyAlignment="1">
      <alignment horizontal="right" vertical="center" wrapText="1"/>
    </xf>
    <xf numFmtId="0" fontId="28" fillId="0" borderId="104" xfId="10" applyFont="1" applyFill="1" applyBorder="1" applyAlignment="1">
      <alignment vertical="center"/>
    </xf>
    <xf numFmtId="0" fontId="8" fillId="0" borderId="104" xfId="10" applyFont="1" applyFill="1" applyBorder="1" applyAlignment="1">
      <alignment horizontal="center" vertical="center"/>
    </xf>
    <xf numFmtId="3" fontId="12" fillId="34" borderId="105" xfId="5" applyFont="1" applyFill="1" applyBorder="1" applyAlignment="1">
      <alignment horizontal="right" vertical="center"/>
    </xf>
    <xf numFmtId="4" fontId="8" fillId="6" borderId="104" xfId="7" applyFont="1" applyFill="1" applyBorder="1" applyAlignment="1">
      <alignment horizontal="right" vertical="center"/>
    </xf>
    <xf numFmtId="4" fontId="8" fillId="6" borderId="104" xfId="7" applyFont="1" applyFill="1" applyBorder="1" applyAlignment="1">
      <alignment horizontal="center" vertical="center"/>
    </xf>
    <xf numFmtId="4" fontId="8" fillId="0" borderId="104" xfId="7" applyFont="1" applyFill="1" applyBorder="1" applyAlignment="1">
      <alignment horizontal="right" vertical="center" wrapText="1"/>
    </xf>
    <xf numFmtId="0" fontId="28" fillId="3" borderId="104" xfId="10" applyFont="1" applyBorder="1" applyAlignment="1">
      <alignment vertical="center" wrapText="1"/>
    </xf>
    <xf numFmtId="4" fontId="8" fillId="0" borderId="104" xfId="7" applyFont="1" applyFill="1" applyBorder="1" applyAlignment="1">
      <alignment horizontal="center" vertical="center"/>
    </xf>
    <xf numFmtId="0" fontId="50" fillId="32" borderId="104" xfId="3" applyFont="1" applyFill="1" applyBorder="1" applyAlignment="1">
      <alignment horizontal="center" vertical="center" wrapText="1"/>
    </xf>
    <xf numFmtId="0" fontId="8" fillId="0" borderId="104" xfId="25" applyBorder="1"/>
    <xf numFmtId="0" fontId="8" fillId="0" borderId="104" xfId="25" applyBorder="1" applyAlignment="1">
      <alignment vertical="center"/>
    </xf>
    <xf numFmtId="0" fontId="34" fillId="12" borderId="104" xfId="25" applyFont="1" applyFill="1" applyBorder="1" applyAlignment="1">
      <alignment horizontal="center" vertical="center"/>
    </xf>
    <xf numFmtId="0" fontId="53" fillId="0" borderId="0" xfId="0" applyFont="1"/>
    <xf numFmtId="0" fontId="55" fillId="0" borderId="0" xfId="0" applyFont="1"/>
    <xf numFmtId="0" fontId="12" fillId="0" borderId="32" xfId="0" applyFont="1" applyBorder="1" applyAlignment="1">
      <alignment horizontal="center"/>
    </xf>
    <xf numFmtId="0" fontId="12" fillId="0" borderId="30" xfId="0" applyFont="1" applyBorder="1" applyAlignment="1">
      <alignment horizontal="center"/>
    </xf>
    <xf numFmtId="0" fontId="55" fillId="0" borderId="32" xfId="0" applyFont="1" applyBorder="1" applyAlignment="1">
      <alignment horizontal="center"/>
    </xf>
    <xf numFmtId="0" fontId="55" fillId="0" borderId="30" xfId="0" applyFont="1" applyBorder="1" applyAlignment="1">
      <alignment horizontal="center"/>
    </xf>
    <xf numFmtId="0" fontId="55" fillId="0" borderId="26" xfId="0" applyFont="1" applyBorder="1"/>
    <xf numFmtId="0" fontId="55" fillId="0" borderId="108" xfId="0" applyFont="1" applyBorder="1" applyAlignment="1">
      <alignment horizontal="center" vertical="center"/>
    </xf>
    <xf numFmtId="0" fontId="55" fillId="0" borderId="112" xfId="0" applyFont="1" applyBorder="1" applyAlignment="1">
      <alignment horizontal="center" vertical="center"/>
    </xf>
    <xf numFmtId="0" fontId="12" fillId="12" borderId="115" xfId="0" applyFont="1" applyFill="1" applyBorder="1" applyAlignment="1">
      <alignment horizontal="center"/>
    </xf>
    <xf numFmtId="0" fontId="55" fillId="12" borderId="115" xfId="0" applyFont="1" applyFill="1" applyBorder="1"/>
    <xf numFmtId="0" fontId="55" fillId="12" borderId="121" xfId="0" applyFont="1" applyFill="1" applyBorder="1"/>
    <xf numFmtId="0" fontId="53" fillId="12" borderId="121" xfId="0" applyFont="1" applyFill="1" applyBorder="1"/>
    <xf numFmtId="10" fontId="0" fillId="0" borderId="118" xfId="0" applyNumberFormat="1" applyBorder="1" applyAlignment="1">
      <alignment horizontal="center" vertical="center"/>
    </xf>
    <xf numFmtId="10" fontId="0" fillId="0" borderId="122" xfId="0" applyNumberFormat="1" applyBorder="1" applyAlignment="1">
      <alignment horizontal="center" vertical="center"/>
    </xf>
    <xf numFmtId="10" fontId="0" fillId="0" borderId="123" xfId="0" applyNumberFormat="1" applyBorder="1" applyAlignment="1">
      <alignment horizontal="center" vertical="center"/>
    </xf>
    <xf numFmtId="10" fontId="0" fillId="0" borderId="124" xfId="0" applyNumberFormat="1" applyBorder="1" applyAlignment="1">
      <alignment horizontal="center" vertical="center"/>
    </xf>
    <xf numFmtId="0" fontId="55" fillId="0" borderId="125" xfId="0" applyFont="1" applyBorder="1" applyAlignment="1">
      <alignment horizontal="center" vertical="center"/>
    </xf>
    <xf numFmtId="0" fontId="55" fillId="0" borderId="126" xfId="0" applyFont="1" applyBorder="1" applyAlignment="1">
      <alignment horizontal="center" vertical="center"/>
    </xf>
    <xf numFmtId="0" fontId="26" fillId="5" borderId="8" xfId="25" applyFont="1" applyFill="1" applyBorder="1" applyAlignment="1">
      <alignment horizontal="center"/>
    </xf>
    <xf numFmtId="0" fontId="53" fillId="8" borderId="0" xfId="0" applyFont="1" applyFill="1"/>
    <xf numFmtId="0" fontId="57" fillId="42" borderId="0" xfId="0" applyFont="1" applyFill="1"/>
    <xf numFmtId="0" fontId="8" fillId="37" borderId="26" xfId="0" applyFont="1" applyFill="1" applyBorder="1"/>
    <xf numFmtId="0" fontId="55" fillId="0" borderId="131" xfId="0" applyFont="1" applyBorder="1" applyAlignment="1">
      <alignment horizontal="center"/>
    </xf>
    <xf numFmtId="0" fontId="53" fillId="12" borderId="132" xfId="0" applyFont="1" applyFill="1" applyBorder="1" applyAlignment="1">
      <alignment horizontal="center"/>
    </xf>
    <xf numFmtId="0" fontId="8" fillId="39" borderId="132" xfId="0" applyFont="1" applyFill="1" applyBorder="1"/>
    <xf numFmtId="0" fontId="8" fillId="39" borderId="0" xfId="0" applyFont="1" applyFill="1"/>
    <xf numFmtId="0" fontId="12" fillId="41" borderId="26" xfId="0" quotePrefix="1" applyFont="1" applyFill="1" applyBorder="1"/>
    <xf numFmtId="0" fontId="12" fillId="41" borderId="0" xfId="0" quotePrefix="1" applyFont="1" applyFill="1"/>
    <xf numFmtId="0" fontId="53" fillId="39" borderId="0" xfId="0" applyFont="1" applyFill="1"/>
    <xf numFmtId="0" fontId="12" fillId="0" borderId="147" xfId="0" applyFont="1" applyBorder="1" applyAlignment="1">
      <alignment horizontal="center"/>
    </xf>
    <xf numFmtId="0" fontId="12" fillId="0" borderId="35" xfId="0" applyFont="1" applyBorder="1" applyAlignment="1">
      <alignment horizontal="center"/>
    </xf>
    <xf numFmtId="0" fontId="12" fillId="0" borderId="148" xfId="0" applyFont="1" applyBorder="1" applyAlignment="1">
      <alignment horizontal="center"/>
    </xf>
    <xf numFmtId="0" fontId="12" fillId="0" borderId="139" xfId="0" applyFont="1" applyBorder="1" applyAlignment="1">
      <alignment horizontal="center"/>
    </xf>
    <xf numFmtId="0" fontId="8" fillId="39" borderId="116" xfId="0" applyFont="1" applyFill="1" applyBorder="1"/>
    <xf numFmtId="10" fontId="0" fillId="0" borderId="0" xfId="15" applyNumberFormat="1" applyFont="1"/>
    <xf numFmtId="3" fontId="22" fillId="0" borderId="0" xfId="0" applyNumberFormat="1" applyFont="1" applyAlignment="1">
      <alignment horizontal="center" vertical="center"/>
    </xf>
    <xf numFmtId="3" fontId="34" fillId="19" borderId="0" xfId="0" applyNumberFormat="1" applyFont="1" applyFill="1" applyAlignment="1">
      <alignment horizontal="center" vertical="center"/>
    </xf>
    <xf numFmtId="168" fontId="32" fillId="43" borderId="142" xfId="29" applyNumberFormat="1" applyFont="1" applyFill="1" applyBorder="1" applyAlignment="1">
      <alignment horizontal="center" vertical="center"/>
    </xf>
    <xf numFmtId="0" fontId="58" fillId="0" borderId="142" xfId="0" applyFont="1" applyBorder="1" applyAlignment="1">
      <alignment horizontal="center" vertical="center"/>
    </xf>
    <xf numFmtId="0" fontId="58" fillId="0" borderId="144" xfId="0" applyFont="1" applyBorder="1" applyAlignment="1">
      <alignment horizontal="center" vertical="center"/>
    </xf>
    <xf numFmtId="0" fontId="58" fillId="0" borderId="39" xfId="0" applyFont="1" applyBorder="1" applyAlignment="1">
      <alignment horizontal="center" vertical="center"/>
    </xf>
    <xf numFmtId="0" fontId="58" fillId="41" borderId="144" xfId="0" applyFont="1" applyFill="1" applyBorder="1" applyAlignment="1">
      <alignment horizontal="center" vertical="center"/>
    </xf>
    <xf numFmtId="3" fontId="58" fillId="40" borderId="39" xfId="0" applyNumberFormat="1" applyFont="1" applyFill="1" applyBorder="1" applyAlignment="1">
      <alignment horizontal="center" vertical="center"/>
    </xf>
    <xf numFmtId="3" fontId="58" fillId="40" borderId="144" xfId="0" applyNumberFormat="1" applyFont="1" applyFill="1" applyBorder="1" applyAlignment="1">
      <alignment horizontal="center" vertical="center"/>
    </xf>
    <xf numFmtId="0" fontId="61" fillId="0" borderId="39" xfId="0" applyFont="1" applyBorder="1" applyAlignment="1">
      <alignment horizontal="center" vertical="center"/>
    </xf>
    <xf numFmtId="9" fontId="37" fillId="0" borderId="0" xfId="15" applyFont="1"/>
    <xf numFmtId="9" fontId="0" fillId="0" borderId="83" xfId="0" applyNumberFormat="1" applyBorder="1" applyAlignment="1">
      <alignment horizontal="center"/>
    </xf>
    <xf numFmtId="9" fontId="12" fillId="0" borderId="60" xfId="0" applyNumberFormat="1" applyFont="1" applyBorder="1" applyAlignment="1">
      <alignment horizontal="center"/>
    </xf>
    <xf numFmtId="9" fontId="12" fillId="0" borderId="61" xfId="0" applyNumberFormat="1" applyFont="1" applyBorder="1" applyAlignment="1">
      <alignment horizontal="center"/>
    </xf>
    <xf numFmtId="9" fontId="8" fillId="0" borderId="65" xfId="0" applyNumberFormat="1" applyFont="1" applyBorder="1" applyAlignment="1">
      <alignment horizontal="center"/>
    </xf>
    <xf numFmtId="9" fontId="8" fillId="0" borderId="70" xfId="0" applyNumberFormat="1" applyFont="1" applyBorder="1" applyAlignment="1">
      <alignment horizontal="center"/>
    </xf>
    <xf numFmtId="3" fontId="0" fillId="0" borderId="0" xfId="0" applyNumberFormat="1"/>
    <xf numFmtId="10" fontId="0" fillId="0" borderId="0" xfId="0" applyNumberFormat="1"/>
    <xf numFmtId="4" fontId="31" fillId="12" borderId="104" xfId="7" applyFont="1" applyFill="1" applyBorder="1" applyAlignment="1">
      <alignment horizontal="right" vertical="center"/>
    </xf>
    <xf numFmtId="4" fontId="8" fillId="0" borderId="0" xfId="7" applyFont="1" applyFill="1" applyBorder="1">
      <alignment horizontal="right"/>
    </xf>
    <xf numFmtId="4" fontId="31" fillId="0" borderId="0" xfId="7" applyFont="1" applyFill="1" applyBorder="1">
      <alignment horizontal="right"/>
    </xf>
    <xf numFmtId="4" fontId="31" fillId="9" borderId="104" xfId="7" applyFont="1" applyFill="1" applyBorder="1" applyAlignment="1">
      <alignment horizontal="right" vertical="center"/>
    </xf>
    <xf numFmtId="4" fontId="31" fillId="28" borderId="104" xfId="7" applyFont="1" applyFill="1" applyBorder="1" applyAlignment="1">
      <alignment horizontal="right" vertical="center"/>
    </xf>
    <xf numFmtId="4" fontId="24" fillId="12" borderId="104" xfId="7" applyFont="1" applyFill="1" applyBorder="1" applyAlignment="1">
      <alignment horizontal="right" vertical="center"/>
    </xf>
    <xf numFmtId="4" fontId="24" fillId="28" borderId="104" xfId="7" applyFont="1" applyFill="1" applyBorder="1" applyAlignment="1">
      <alignment horizontal="right" vertical="center"/>
    </xf>
    <xf numFmtId="3" fontId="58" fillId="40" borderId="39" xfId="0" quotePrefix="1" applyNumberFormat="1" applyFont="1" applyFill="1" applyBorder="1" applyAlignment="1">
      <alignment horizontal="center" vertical="center"/>
    </xf>
    <xf numFmtId="3" fontId="58" fillId="40" borderId="144" xfId="0" quotePrefix="1" applyNumberFormat="1" applyFont="1" applyFill="1" applyBorder="1" applyAlignment="1">
      <alignment horizontal="center" vertical="center"/>
    </xf>
    <xf numFmtId="1" fontId="53" fillId="40" borderId="32" xfId="0" applyNumberFormat="1" applyFont="1" applyFill="1" applyBorder="1" applyAlignment="1">
      <alignment horizontal="center" vertical="center"/>
    </xf>
    <xf numFmtId="0" fontId="25" fillId="0" borderId="0" xfId="0" applyFont="1" applyAlignment="1">
      <alignment horizontal="center"/>
    </xf>
    <xf numFmtId="0" fontId="65" fillId="0" borderId="0" xfId="0" applyFont="1"/>
    <xf numFmtId="0" fontId="0" fillId="0" borderId="39" xfId="0" applyBorder="1"/>
    <xf numFmtId="0" fontId="64" fillId="0" borderId="0" xfId="0" applyFont="1"/>
    <xf numFmtId="3" fontId="53" fillId="0" borderId="32" xfId="0" applyNumberFormat="1" applyFont="1" applyBorder="1" applyAlignment="1">
      <alignment horizontal="center" vertical="center"/>
    </xf>
    <xf numFmtId="168" fontId="32" fillId="38" borderId="39" xfId="15" applyNumberFormat="1" applyFont="1" applyFill="1" applyBorder="1" applyAlignment="1">
      <alignment horizontal="center" vertical="center"/>
    </xf>
    <xf numFmtId="3" fontId="61" fillId="0" borderId="39" xfId="0" applyNumberFormat="1" applyFont="1" applyBorder="1" applyAlignment="1">
      <alignment horizontal="center" vertical="center"/>
    </xf>
    <xf numFmtId="3" fontId="61" fillId="38" borderId="39" xfId="0" applyNumberFormat="1" applyFont="1" applyFill="1" applyBorder="1" applyAlignment="1">
      <alignment horizontal="center" vertical="center"/>
    </xf>
    <xf numFmtId="168" fontId="32" fillId="43" borderId="160" xfId="29" applyNumberFormat="1" applyFont="1" applyFill="1" applyBorder="1" applyAlignment="1">
      <alignment horizontal="center" vertical="center"/>
    </xf>
    <xf numFmtId="3" fontId="4" fillId="43" borderId="37" xfId="29" applyNumberFormat="1" applyFill="1" applyBorder="1" applyAlignment="1">
      <alignment horizontal="center" vertical="center"/>
    </xf>
    <xf numFmtId="168" fontId="32" fillId="38" borderId="37" xfId="15" applyNumberFormat="1" applyFont="1" applyFill="1" applyBorder="1" applyAlignment="1">
      <alignment horizontal="center" vertical="center"/>
    </xf>
    <xf numFmtId="3" fontId="61" fillId="0" borderId="37" xfId="0" applyNumberFormat="1" applyFont="1" applyBorder="1" applyAlignment="1">
      <alignment horizontal="center" vertical="center"/>
    </xf>
    <xf numFmtId="0" fontId="61" fillId="0" borderId="37" xfId="0" applyFont="1" applyBorder="1" applyAlignment="1">
      <alignment horizontal="center" vertical="center"/>
    </xf>
    <xf numFmtId="3" fontId="61" fillId="38" borderId="37" xfId="0" applyNumberFormat="1" applyFont="1" applyFill="1" applyBorder="1" applyAlignment="1">
      <alignment horizontal="center" vertical="center"/>
    </xf>
    <xf numFmtId="0" fontId="61" fillId="38" borderId="161" xfId="0" applyFont="1" applyFill="1" applyBorder="1" applyAlignment="1">
      <alignment horizontal="center" vertical="center"/>
    </xf>
    <xf numFmtId="1" fontId="53" fillId="0" borderId="39" xfId="0" applyNumberFormat="1" applyFont="1" applyBorder="1" applyAlignment="1">
      <alignment horizontal="center" vertical="center"/>
    </xf>
    <xf numFmtId="1" fontId="58" fillId="0" borderId="39" xfId="0" applyNumberFormat="1" applyFont="1" applyBorder="1" applyAlignment="1">
      <alignment horizontal="center" vertical="center"/>
    </xf>
    <xf numFmtId="1" fontId="53" fillId="0" borderId="144" xfId="0" applyNumberFormat="1" applyFont="1" applyBorder="1" applyAlignment="1">
      <alignment horizontal="center" vertical="center"/>
    </xf>
    <xf numFmtId="1" fontId="53" fillId="0" borderId="135" xfId="0" applyNumberFormat="1" applyFont="1" applyBorder="1" applyAlignment="1">
      <alignment horizontal="center" vertical="center"/>
    </xf>
    <xf numFmtId="1" fontId="58" fillId="0" borderId="144" xfId="0" applyNumberFormat="1" applyFont="1" applyBorder="1" applyAlignment="1">
      <alignment horizontal="center" vertical="center"/>
    </xf>
    <xf numFmtId="1" fontId="61" fillId="38" borderId="145" xfId="0" applyNumberFormat="1" applyFont="1" applyFill="1" applyBorder="1" applyAlignment="1">
      <alignment horizontal="center" vertical="center"/>
    </xf>
    <xf numFmtId="1" fontId="61" fillId="38" borderId="158" xfId="0" applyNumberFormat="1" applyFont="1" applyFill="1" applyBorder="1" applyAlignment="1">
      <alignment horizontal="center" vertical="center"/>
    </xf>
    <xf numFmtId="1" fontId="61" fillId="38" borderId="159" xfId="0" applyNumberFormat="1" applyFont="1" applyFill="1" applyBorder="1" applyAlignment="1">
      <alignment horizontal="center" vertical="center"/>
    </xf>
    <xf numFmtId="168" fontId="8" fillId="0" borderId="141" xfId="15" applyNumberFormat="1" applyFont="1" applyFill="1" applyBorder="1" applyAlignment="1">
      <alignment horizontal="center" vertical="center"/>
    </xf>
    <xf numFmtId="168" fontId="8" fillId="0" borderId="142" xfId="15" applyNumberFormat="1" applyFont="1" applyFill="1" applyBorder="1" applyAlignment="1">
      <alignment horizontal="center" vertical="center"/>
    </xf>
    <xf numFmtId="168" fontId="0" fillId="0" borderId="143" xfId="15" applyNumberFormat="1" applyFont="1" applyFill="1" applyBorder="1" applyAlignment="1">
      <alignment horizontal="center" vertical="center"/>
    </xf>
    <xf numFmtId="168" fontId="32" fillId="0" borderId="144" xfId="15" applyNumberFormat="1" applyFont="1" applyFill="1" applyBorder="1" applyAlignment="1">
      <alignment horizontal="center" vertical="center"/>
    </xf>
    <xf numFmtId="168" fontId="32" fillId="0" borderId="39" xfId="15" applyNumberFormat="1" applyFont="1" applyFill="1" applyBorder="1" applyAlignment="1">
      <alignment horizontal="center" vertical="center"/>
    </xf>
    <xf numFmtId="168" fontId="32" fillId="0" borderId="135" xfId="15" applyNumberFormat="1" applyFont="1" applyFill="1" applyBorder="1" applyAlignment="1">
      <alignment horizontal="center" vertical="center"/>
    </xf>
    <xf numFmtId="1" fontId="61" fillId="0" borderId="144" xfId="0" applyNumberFormat="1" applyFont="1" applyBorder="1" applyAlignment="1">
      <alignment horizontal="center" vertical="center"/>
    </xf>
    <xf numFmtId="1" fontId="61" fillId="0" borderId="39" xfId="0" applyNumberFormat="1" applyFont="1" applyBorder="1" applyAlignment="1">
      <alignment horizontal="center" vertical="center"/>
    </xf>
    <xf numFmtId="1" fontId="61" fillId="0" borderId="135" xfId="0" applyNumberFormat="1" applyFont="1" applyBorder="1" applyAlignment="1">
      <alignment horizontal="center" vertical="center"/>
    </xf>
    <xf numFmtId="1" fontId="58" fillId="41" borderId="39" xfId="0" applyNumberFormat="1" applyFont="1" applyFill="1" applyBorder="1" applyAlignment="1">
      <alignment horizontal="center" vertical="center"/>
    </xf>
    <xf numFmtId="1" fontId="58" fillId="41" borderId="144" xfId="0" applyNumberFormat="1" applyFont="1" applyFill="1" applyBorder="1" applyAlignment="1">
      <alignment horizontal="center" vertical="center"/>
    </xf>
    <xf numFmtId="1" fontId="53" fillId="40" borderId="39" xfId="0" applyNumberFormat="1" applyFont="1" applyFill="1" applyBorder="1" applyAlignment="1">
      <alignment horizontal="center" vertical="center"/>
    </xf>
    <xf numFmtId="1" fontId="53" fillId="40" borderId="141" xfId="0" applyNumberFormat="1" applyFont="1" applyFill="1" applyBorder="1" applyAlignment="1">
      <alignment horizontal="center" vertical="center"/>
    </xf>
    <xf numFmtId="1" fontId="53" fillId="40" borderId="142" xfId="0" applyNumberFormat="1" applyFont="1" applyFill="1" applyBorder="1" applyAlignment="1">
      <alignment horizontal="center" vertical="center"/>
    </xf>
    <xf numFmtId="1" fontId="53" fillId="40" borderId="144" xfId="0" applyNumberFormat="1" applyFont="1" applyFill="1" applyBorder="1" applyAlignment="1">
      <alignment horizontal="center" vertical="center"/>
    </xf>
    <xf numFmtId="1" fontId="53" fillId="40" borderId="160" xfId="0" applyNumberFormat="1" applyFont="1" applyFill="1" applyBorder="1" applyAlignment="1">
      <alignment horizontal="center" vertical="center"/>
    </xf>
    <xf numFmtId="1" fontId="53" fillId="40" borderId="37" xfId="0" applyNumberFormat="1" applyFont="1" applyFill="1" applyBorder="1" applyAlignment="1">
      <alignment horizontal="center" vertical="center"/>
    </xf>
    <xf numFmtId="1" fontId="0" fillId="0" borderId="39" xfId="0" applyNumberFormat="1" applyBorder="1" applyAlignment="1">
      <alignment horizontal="center" vertical="center"/>
    </xf>
    <xf numFmtId="1" fontId="0" fillId="0" borderId="141" xfId="0" applyNumberFormat="1" applyBorder="1" applyAlignment="1">
      <alignment horizontal="center" vertical="center"/>
    </xf>
    <xf numFmtId="1" fontId="0" fillId="0" borderId="142" xfId="0" applyNumberFormat="1" applyBorder="1" applyAlignment="1">
      <alignment horizontal="center" vertical="center"/>
    </xf>
    <xf numFmtId="1" fontId="0" fillId="0" borderId="143" xfId="0" applyNumberFormat="1" applyBorder="1" applyAlignment="1">
      <alignment horizontal="center" vertical="center"/>
    </xf>
    <xf numFmtId="1" fontId="0" fillId="0" borderId="144" xfId="0" applyNumberFormat="1" applyBorder="1" applyAlignment="1">
      <alignment horizontal="center" vertical="center"/>
    </xf>
    <xf numFmtId="1" fontId="0" fillId="0" borderId="135" xfId="0" applyNumberFormat="1" applyBorder="1" applyAlignment="1">
      <alignment horizontal="center" vertical="center"/>
    </xf>
    <xf numFmtId="1" fontId="53" fillId="40" borderId="133" xfId="0" applyNumberFormat="1" applyFont="1" applyFill="1" applyBorder="1" applyAlignment="1">
      <alignment horizontal="center" vertical="center"/>
    </xf>
    <xf numFmtId="1" fontId="53" fillId="40" borderId="134" xfId="0" applyNumberFormat="1" applyFont="1" applyFill="1" applyBorder="1" applyAlignment="1">
      <alignment horizontal="center" vertical="center"/>
    </xf>
    <xf numFmtId="1" fontId="53" fillId="40" borderId="136" xfId="0" applyNumberFormat="1" applyFont="1" applyFill="1" applyBorder="1" applyAlignment="1">
      <alignment horizontal="center" vertical="center"/>
    </xf>
    <xf numFmtId="1" fontId="53" fillId="40" borderId="137" xfId="0" applyNumberFormat="1" applyFont="1" applyFill="1" applyBorder="1" applyAlignment="1">
      <alignment horizontal="center" vertical="center"/>
    </xf>
    <xf numFmtId="1" fontId="53" fillId="40" borderId="138" xfId="0" applyNumberFormat="1" applyFont="1" applyFill="1" applyBorder="1" applyAlignment="1">
      <alignment horizontal="center" vertical="center"/>
    </xf>
    <xf numFmtId="9" fontId="0" fillId="0" borderId="0" xfId="15" applyFont="1" applyBorder="1" applyAlignment="1">
      <alignment horizontal="left"/>
    </xf>
    <xf numFmtId="3" fontId="58" fillId="0" borderId="39" xfId="0" applyNumberFormat="1" applyFont="1" applyBorder="1" applyAlignment="1">
      <alignment horizontal="center" vertical="center"/>
    </xf>
    <xf numFmtId="3" fontId="58" fillId="0" borderId="144" xfId="0" applyNumberFormat="1" applyFont="1" applyBorder="1" applyAlignment="1">
      <alignment horizontal="center" vertical="center"/>
    </xf>
    <xf numFmtId="2" fontId="8" fillId="24" borderId="17" xfId="0" applyNumberFormat="1" applyFont="1" applyFill="1" applyBorder="1" applyAlignment="1">
      <alignment horizontal="center"/>
    </xf>
    <xf numFmtId="0" fontId="22" fillId="0" borderId="0" xfId="0" applyFont="1" applyAlignment="1">
      <alignment horizontal="center" vertical="center"/>
    </xf>
    <xf numFmtId="3" fontId="34" fillId="19" borderId="0" xfId="20" applyNumberFormat="1" applyFont="1" applyFill="1" applyAlignment="1">
      <alignment horizontal="center" vertical="center"/>
    </xf>
    <xf numFmtId="3" fontId="35" fillId="19" borderId="0" xfId="20" applyNumberFormat="1" applyFont="1" applyFill="1" applyAlignment="1">
      <alignment horizontal="center" vertical="center"/>
    </xf>
    <xf numFmtId="3" fontId="35" fillId="19" borderId="0" xfId="0" applyNumberFormat="1" applyFont="1" applyFill="1" applyAlignment="1">
      <alignment horizontal="center" vertical="center"/>
    </xf>
    <xf numFmtId="3" fontId="34" fillId="0" borderId="0" xfId="0" applyNumberFormat="1" applyFont="1" applyAlignment="1">
      <alignment horizontal="center" vertical="center"/>
    </xf>
    <xf numFmtId="170" fontId="22" fillId="0" borderId="0" xfId="0" applyNumberFormat="1" applyFont="1" applyAlignment="1">
      <alignment horizontal="center" vertical="center"/>
    </xf>
    <xf numFmtId="4" fontId="34" fillId="19" borderId="0" xfId="0" applyNumberFormat="1" applyFont="1" applyFill="1" applyAlignment="1">
      <alignment horizontal="center" vertical="center"/>
    </xf>
    <xf numFmtId="3" fontId="22" fillId="19" borderId="0" xfId="0" applyNumberFormat="1" applyFont="1" applyFill="1" applyAlignment="1">
      <alignment horizontal="center" vertical="center"/>
    </xf>
    <xf numFmtId="0" fontId="0" fillId="0" borderId="0" xfId="0" applyAlignment="1">
      <alignment horizontal="center" vertical="center"/>
    </xf>
    <xf numFmtId="0" fontId="25" fillId="0" borderId="0" xfId="0" applyFont="1" applyAlignment="1">
      <alignment horizontal="center" vertical="center"/>
    </xf>
    <xf numFmtId="0" fontId="8" fillId="8" borderId="17" xfId="0" applyFont="1" applyFill="1" applyBorder="1" applyAlignment="1">
      <alignment horizontal="center" vertical="center" wrapText="1"/>
    </xf>
    <xf numFmtId="172" fontId="0" fillId="0" borderId="89" xfId="0" applyNumberFormat="1" applyBorder="1" applyAlignment="1">
      <alignment horizontal="center" wrapText="1"/>
    </xf>
    <xf numFmtId="0" fontId="46" fillId="9" borderId="60" xfId="0" applyFont="1" applyFill="1" applyBorder="1" applyAlignment="1">
      <alignment horizontal="center" vertical="center" wrapText="1"/>
    </xf>
    <xf numFmtId="0" fontId="46" fillId="10" borderId="61" xfId="0" applyFont="1" applyFill="1" applyBorder="1" applyAlignment="1">
      <alignment horizontal="center" vertical="center" wrapText="1"/>
    </xf>
    <xf numFmtId="0" fontId="46" fillId="11" borderId="61" xfId="0" applyFont="1" applyFill="1" applyBorder="1" applyAlignment="1">
      <alignment horizontal="center" vertical="center" wrapText="1"/>
    </xf>
    <xf numFmtId="0" fontId="46" fillId="15" borderId="61" xfId="0" applyFont="1" applyFill="1" applyBorder="1" applyAlignment="1">
      <alignment horizontal="center" vertical="center" wrapText="1"/>
    </xf>
    <xf numFmtId="0" fontId="46" fillId="23" borderId="90" xfId="0" applyFont="1" applyFill="1" applyBorder="1" applyAlignment="1">
      <alignment horizontal="center" vertical="center" wrapText="1"/>
    </xf>
    <xf numFmtId="0" fontId="46" fillId="16" borderId="61" xfId="0" applyFont="1" applyFill="1" applyBorder="1" applyAlignment="1">
      <alignment horizontal="center" vertical="center" wrapText="1"/>
    </xf>
    <xf numFmtId="0" fontId="46" fillId="10" borderId="52" xfId="0" applyFont="1" applyFill="1" applyBorder="1" applyAlignment="1">
      <alignment horizontal="center" vertical="center" wrapText="1"/>
    </xf>
    <xf numFmtId="0" fontId="46" fillId="11" borderId="52" xfId="0" applyFont="1" applyFill="1" applyBorder="1" applyAlignment="1">
      <alignment horizontal="center" vertical="center" wrapText="1"/>
    </xf>
    <xf numFmtId="0" fontId="46" fillId="15" borderId="52" xfId="0" applyFont="1" applyFill="1" applyBorder="1" applyAlignment="1">
      <alignment horizontal="center" vertical="center" wrapText="1"/>
    </xf>
    <xf numFmtId="0" fontId="46" fillId="23" borderId="52" xfId="0" applyFont="1" applyFill="1" applyBorder="1" applyAlignment="1">
      <alignment horizontal="center" vertical="center" wrapText="1"/>
    </xf>
    <xf numFmtId="0" fontId="46" fillId="16" borderId="52" xfId="0" applyFont="1" applyFill="1" applyBorder="1" applyAlignment="1">
      <alignment horizontal="center" vertical="center" wrapText="1"/>
    </xf>
    <xf numFmtId="0" fontId="55" fillId="0" borderId="0" xfId="0" applyFont="1" applyAlignment="1">
      <alignment horizontal="center" vertical="center"/>
    </xf>
    <xf numFmtId="0" fontId="0" fillId="0" borderId="0" xfId="0" applyAlignment="1">
      <alignment horizontal="left"/>
    </xf>
    <xf numFmtId="2" fontId="8" fillId="24" borderId="45" xfId="0" applyNumberFormat="1" applyFont="1" applyFill="1" applyBorder="1" applyAlignment="1">
      <alignment horizontal="center"/>
    </xf>
    <xf numFmtId="2" fontId="32" fillId="24" borderId="45" xfId="15" applyNumberFormat="1" applyFont="1" applyFill="1" applyBorder="1" applyAlignment="1">
      <alignment horizontal="center"/>
    </xf>
    <xf numFmtId="0" fontId="8" fillId="7" borderId="162" xfId="0" applyFont="1" applyFill="1" applyBorder="1"/>
    <xf numFmtId="0" fontId="26" fillId="32" borderId="49" xfId="0" applyFont="1" applyFill="1" applyBorder="1" applyAlignment="1">
      <alignment horizontal="center"/>
    </xf>
    <xf numFmtId="0" fontId="12" fillId="0" borderId="49" xfId="0" applyFont="1" applyBorder="1" applyAlignment="1">
      <alignment horizontal="center"/>
    </xf>
    <xf numFmtId="167" fontId="12" fillId="24" borderId="18" xfId="0" applyNumberFormat="1" applyFont="1" applyFill="1" applyBorder="1" applyAlignment="1">
      <alignment horizontal="center"/>
    </xf>
    <xf numFmtId="2" fontId="32" fillId="24" borderId="49" xfId="15" applyNumberFormat="1" applyFont="1" applyFill="1" applyBorder="1" applyAlignment="1">
      <alignment horizontal="center"/>
    </xf>
    <xf numFmtId="10" fontId="63" fillId="8" borderId="49" xfId="0" applyNumberFormat="1" applyFont="1" applyFill="1" applyBorder="1" applyAlignment="1">
      <alignment horizontal="center"/>
    </xf>
    <xf numFmtId="0" fontId="8" fillId="0" borderId="0" xfId="0" applyFont="1" applyAlignment="1">
      <alignment horizontal="center"/>
    </xf>
    <xf numFmtId="10" fontId="8" fillId="0" borderId="114" xfId="0" applyNumberFormat="1" applyFont="1" applyBorder="1" applyAlignment="1">
      <alignment horizontal="center" vertical="center"/>
    </xf>
    <xf numFmtId="10" fontId="8" fillId="0" borderId="5" xfId="0" applyNumberFormat="1" applyFont="1" applyBorder="1" applyAlignment="1">
      <alignment horizontal="center" vertical="center"/>
    </xf>
    <xf numFmtId="1" fontId="58" fillId="40" borderId="145" xfId="0" applyNumberFormat="1" applyFont="1" applyFill="1" applyBorder="1" applyAlignment="1">
      <alignment horizontal="center" vertical="center"/>
    </xf>
    <xf numFmtId="0" fontId="0" fillId="0" borderId="39" xfId="0" applyBorder="1" applyAlignment="1">
      <alignment horizontal="center"/>
    </xf>
    <xf numFmtId="167" fontId="0" fillId="0" borderId="39" xfId="0" applyNumberFormat="1" applyBorder="1" applyAlignment="1">
      <alignment horizontal="center"/>
    </xf>
    <xf numFmtId="168" fontId="64" fillId="0" borderId="39" xfId="15" applyNumberFormat="1" applyFont="1" applyBorder="1" applyAlignment="1">
      <alignment horizontal="center"/>
    </xf>
    <xf numFmtId="0" fontId="64" fillId="0" borderId="39" xfId="0" applyFont="1" applyBorder="1"/>
    <xf numFmtId="166" fontId="64" fillId="0" borderId="39" xfId="0" applyNumberFormat="1" applyFont="1" applyBorder="1" applyAlignment="1">
      <alignment horizontal="center"/>
    </xf>
    <xf numFmtId="9" fontId="0" fillId="0" borderId="0" xfId="15" applyFont="1" applyAlignment="1">
      <alignment horizontal="left"/>
    </xf>
    <xf numFmtId="0" fontId="53" fillId="0" borderId="163" xfId="0" applyFont="1" applyBorder="1"/>
    <xf numFmtId="0" fontId="53" fillId="0" borderId="29" xfId="0" applyFont="1" applyBorder="1"/>
    <xf numFmtId="3" fontId="58" fillId="0" borderId="141" xfId="0" applyNumberFormat="1" applyFont="1" applyBorder="1" applyAlignment="1">
      <alignment horizontal="center" vertical="center"/>
    </xf>
    <xf numFmtId="3" fontId="68" fillId="0" borderId="144" xfId="0" quotePrefix="1" applyNumberFormat="1" applyFont="1" applyBorder="1" applyAlignment="1">
      <alignment horizontal="center" vertical="center"/>
    </xf>
    <xf numFmtId="3" fontId="68" fillId="0" borderId="39" xfId="0" quotePrefix="1" applyNumberFormat="1" applyFont="1" applyBorder="1" applyAlignment="1">
      <alignment horizontal="center" vertical="center"/>
    </xf>
    <xf numFmtId="3" fontId="68" fillId="0" borderId="135" xfId="0" quotePrefix="1" applyNumberFormat="1" applyFont="1" applyBorder="1" applyAlignment="1">
      <alignment horizontal="center" vertical="center"/>
    </xf>
    <xf numFmtId="0" fontId="53" fillId="40" borderId="133" xfId="0" applyFont="1" applyFill="1" applyBorder="1" applyAlignment="1">
      <alignment horizontal="center" vertical="center"/>
    </xf>
    <xf numFmtId="1" fontId="53" fillId="40" borderId="112" xfId="0" applyNumberFormat="1" applyFont="1" applyFill="1" applyBorder="1" applyAlignment="1">
      <alignment horizontal="center" vertical="center"/>
    </xf>
    <xf numFmtId="1" fontId="53" fillId="40" borderId="164" xfId="0" applyNumberFormat="1" applyFont="1" applyFill="1" applyBorder="1" applyAlignment="1">
      <alignment horizontal="center" vertical="center"/>
    </xf>
    <xf numFmtId="3" fontId="58" fillId="41" borderId="165" xfId="0" applyNumberFormat="1" applyFont="1" applyFill="1" applyBorder="1" applyAlignment="1">
      <alignment horizontal="center" vertical="center"/>
    </xf>
    <xf numFmtId="3" fontId="58" fillId="41" borderId="3" xfId="0" applyNumberFormat="1" applyFont="1" applyFill="1" applyBorder="1" applyAlignment="1">
      <alignment horizontal="center" vertical="center"/>
    </xf>
    <xf numFmtId="3" fontId="58" fillId="41" borderId="28" xfId="0" applyNumberFormat="1" applyFont="1" applyFill="1" applyBorder="1" applyAlignment="1">
      <alignment horizontal="center" vertical="center"/>
    </xf>
    <xf numFmtId="3" fontId="59" fillId="12" borderId="0" xfId="0" applyNumberFormat="1" applyFont="1" applyFill="1" applyAlignment="1">
      <alignment horizontal="center" vertical="center"/>
    </xf>
    <xf numFmtId="3" fontId="59" fillId="12" borderId="166" xfId="0" applyNumberFormat="1" applyFont="1" applyFill="1" applyBorder="1" applyAlignment="1">
      <alignment horizontal="center" vertical="center"/>
    </xf>
    <xf numFmtId="1" fontId="58" fillId="41" borderId="37" xfId="0" applyNumberFormat="1" applyFont="1" applyFill="1" applyBorder="1" applyAlignment="1">
      <alignment horizontal="center" vertical="center"/>
    </xf>
    <xf numFmtId="1" fontId="58" fillId="0" borderId="37" xfId="0" applyNumberFormat="1" applyFont="1" applyBorder="1" applyAlignment="1">
      <alignment horizontal="center" vertical="center"/>
    </xf>
    <xf numFmtId="0" fontId="0" fillId="37" borderId="26" xfId="0" applyFill="1" applyBorder="1"/>
    <xf numFmtId="0" fontId="64" fillId="0" borderId="0" xfId="28" applyFont="1" applyAlignment="1">
      <alignment horizontal="center" vertical="center"/>
    </xf>
    <xf numFmtId="0" fontId="5" fillId="0" borderId="0" xfId="28"/>
    <xf numFmtId="0" fontId="5" fillId="0" borderId="30" xfId="28" applyBorder="1"/>
    <xf numFmtId="0" fontId="53" fillId="0" borderId="167" xfId="0" applyFont="1" applyBorder="1"/>
    <xf numFmtId="0" fontId="55" fillId="0" borderId="110" xfId="0" applyFont="1" applyBorder="1" applyAlignment="1">
      <alignment horizontal="center" vertical="center"/>
    </xf>
    <xf numFmtId="0" fontId="55" fillId="0" borderId="111" xfId="0" applyFont="1" applyBorder="1" applyAlignment="1">
      <alignment horizontal="center" vertical="center"/>
    </xf>
    <xf numFmtId="0" fontId="53" fillId="0" borderId="168" xfId="0" applyFont="1" applyBorder="1"/>
    <xf numFmtId="0" fontId="53" fillId="0" borderId="109" xfId="0" applyFont="1" applyBorder="1" applyAlignment="1">
      <alignment horizontal="center" vertical="center"/>
    </xf>
    <xf numFmtId="0" fontId="53" fillId="0" borderId="169" xfId="0" applyFont="1" applyBorder="1"/>
    <xf numFmtId="10" fontId="0" fillId="0" borderId="0" xfId="0" applyNumberFormat="1" applyAlignment="1">
      <alignment horizontal="center" vertical="center"/>
    </xf>
    <xf numFmtId="0" fontId="53" fillId="0" borderId="109" xfId="0" applyFont="1" applyBorder="1"/>
    <xf numFmtId="9" fontId="22" fillId="0" borderId="0" xfId="15" applyFont="1" applyAlignment="1">
      <alignment horizontal="center" vertical="center"/>
    </xf>
    <xf numFmtId="1" fontId="58" fillId="41" borderId="133" xfId="0" applyNumberFormat="1" applyFont="1" applyFill="1" applyBorder="1" applyAlignment="1">
      <alignment horizontal="center" vertical="center"/>
    </xf>
    <xf numFmtId="1" fontId="58" fillId="41" borderId="2" xfId="0" applyNumberFormat="1" applyFont="1" applyFill="1" applyBorder="1" applyAlignment="1">
      <alignment horizontal="center" vertical="center"/>
    </xf>
    <xf numFmtId="1" fontId="58" fillId="41" borderId="31" xfId="0" applyNumberFormat="1" applyFont="1" applyFill="1" applyBorder="1" applyAlignment="1">
      <alignment horizontal="center" vertical="center"/>
    </xf>
    <xf numFmtId="3" fontId="0" fillId="0" borderId="39" xfId="0" applyNumberFormat="1" applyBorder="1" applyAlignment="1">
      <alignment horizontal="center" vertical="center"/>
    </xf>
    <xf numFmtId="3" fontId="0" fillId="0" borderId="135" xfId="0" applyNumberFormat="1" applyBorder="1" applyAlignment="1">
      <alignment horizontal="center" vertical="center"/>
    </xf>
    <xf numFmtId="1" fontId="53" fillId="40" borderId="171" xfId="0" applyNumberFormat="1" applyFont="1" applyFill="1" applyBorder="1" applyAlignment="1">
      <alignment horizontal="center" vertical="center"/>
    </xf>
    <xf numFmtId="1" fontId="0" fillId="0" borderId="172" xfId="0" applyNumberFormat="1" applyBorder="1" applyAlignment="1">
      <alignment horizontal="center" vertical="center"/>
    </xf>
    <xf numFmtId="1" fontId="0" fillId="0" borderId="38" xfId="0" applyNumberFormat="1" applyBorder="1" applyAlignment="1">
      <alignment horizontal="center" vertical="center"/>
    </xf>
    <xf numFmtId="3" fontId="68" fillId="0" borderId="144" xfId="0" applyNumberFormat="1" applyFont="1" applyBorder="1" applyAlignment="1">
      <alignment horizontal="center" vertical="center"/>
    </xf>
    <xf numFmtId="2" fontId="0" fillId="24" borderId="49" xfId="0" applyNumberFormat="1" applyFill="1" applyBorder="1" applyAlignment="1">
      <alignment horizontal="center"/>
    </xf>
    <xf numFmtId="167" fontId="0" fillId="24" borderId="18" xfId="0" applyNumberFormat="1" applyFill="1" applyBorder="1" applyAlignment="1">
      <alignment horizontal="center"/>
    </xf>
    <xf numFmtId="174" fontId="0" fillId="0" borderId="0" xfId="0" applyNumberFormat="1" applyAlignment="1">
      <alignment horizontal="center"/>
    </xf>
    <xf numFmtId="1" fontId="58" fillId="0" borderId="133" xfId="0" applyNumberFormat="1" applyFont="1" applyBorder="1" applyAlignment="1">
      <alignment horizontal="center" vertical="center"/>
    </xf>
    <xf numFmtId="1" fontId="58" fillId="0" borderId="2" xfId="0" applyNumberFormat="1" applyFont="1" applyBorder="1" applyAlignment="1">
      <alignment horizontal="center" vertical="center"/>
    </xf>
    <xf numFmtId="1" fontId="8" fillId="0" borderId="165" xfId="0" applyNumberFormat="1" applyFont="1" applyBorder="1" applyAlignment="1">
      <alignment horizontal="center" vertical="center"/>
    </xf>
    <xf numFmtId="10" fontId="70" fillId="35" borderId="104" xfId="25" applyNumberFormat="1" applyFont="1" applyFill="1" applyBorder="1"/>
    <xf numFmtId="173" fontId="8" fillId="0" borderId="104" xfId="25" applyNumberFormat="1" applyBorder="1"/>
    <xf numFmtId="168" fontId="53" fillId="0" borderId="0" xfId="15" applyNumberFormat="1" applyFont="1"/>
    <xf numFmtId="3" fontId="68" fillId="38" borderId="39" xfId="0" quotePrefix="1" applyNumberFormat="1" applyFont="1" applyFill="1" applyBorder="1" applyAlignment="1">
      <alignment horizontal="center" vertical="center"/>
    </xf>
    <xf numFmtId="3" fontId="68" fillId="38" borderId="37" xfId="0" quotePrefix="1" applyNumberFormat="1" applyFont="1" applyFill="1" applyBorder="1" applyAlignment="1">
      <alignment horizontal="center" vertical="center"/>
    </xf>
    <xf numFmtId="3" fontId="24" fillId="38" borderId="39" xfId="0" applyNumberFormat="1" applyFont="1" applyFill="1" applyBorder="1" applyAlignment="1">
      <alignment horizontal="center" vertical="center"/>
    </xf>
    <xf numFmtId="3" fontId="24" fillId="38" borderId="37" xfId="0" applyNumberFormat="1" applyFont="1" applyFill="1" applyBorder="1" applyAlignment="1">
      <alignment horizontal="center" vertical="center"/>
    </xf>
    <xf numFmtId="0" fontId="68" fillId="38" borderId="39" xfId="0" applyFont="1" applyFill="1" applyBorder="1" applyAlignment="1">
      <alignment horizontal="center" vertical="center"/>
    </xf>
    <xf numFmtId="1" fontId="68" fillId="0" borderId="144" xfId="0" applyNumberFormat="1" applyFont="1" applyBorder="1" applyAlignment="1">
      <alignment horizontal="center" vertical="center"/>
    </xf>
    <xf numFmtId="1" fontId="24" fillId="0" borderId="144" xfId="0" applyNumberFormat="1" applyFont="1" applyBorder="1" applyAlignment="1">
      <alignment horizontal="center" vertical="center"/>
    </xf>
    <xf numFmtId="1" fontId="24" fillId="0" borderId="39" xfId="0" applyNumberFormat="1" applyFont="1" applyBorder="1" applyAlignment="1">
      <alignment horizontal="center" vertical="center"/>
    </xf>
    <xf numFmtId="1" fontId="68" fillId="0" borderId="135" xfId="0" applyNumberFormat="1" applyFont="1" applyBorder="1" applyAlignment="1">
      <alignment horizontal="center" vertical="center"/>
    </xf>
    <xf numFmtId="1" fontId="8" fillId="0" borderId="3" xfId="0" applyNumberFormat="1" applyFont="1" applyBorder="1" applyAlignment="1">
      <alignment horizontal="center" vertical="center"/>
    </xf>
    <xf numFmtId="1" fontId="8" fillId="0" borderId="28" xfId="0" applyNumberFormat="1" applyFont="1" applyBorder="1" applyAlignment="1">
      <alignment horizontal="center" vertical="center"/>
    </xf>
    <xf numFmtId="0" fontId="65" fillId="0" borderId="0" xfId="0" applyFont="1" applyAlignment="1">
      <alignment horizontal="center"/>
    </xf>
    <xf numFmtId="1" fontId="65" fillId="0" borderId="0" xfId="0" applyNumberFormat="1" applyFont="1" applyAlignment="1">
      <alignment horizontal="center"/>
    </xf>
    <xf numFmtId="1" fontId="71" fillId="0" borderId="0" xfId="0" applyNumberFormat="1" applyFont="1" applyAlignment="1">
      <alignment horizontal="left"/>
    </xf>
    <xf numFmtId="0" fontId="8" fillId="0" borderId="0" xfId="25" applyAlignment="1">
      <alignment vertical="center" wrapText="1"/>
    </xf>
    <xf numFmtId="3" fontId="51" fillId="34" borderId="106" xfId="5" applyFont="1" applyFill="1" applyBorder="1" applyAlignment="1">
      <alignment horizontal="right" vertical="center" wrapText="1"/>
    </xf>
    <xf numFmtId="4" fontId="8" fillId="34" borderId="106" xfId="7" applyFont="1" applyFill="1" applyBorder="1" applyAlignment="1">
      <alignment horizontal="right" vertical="center" wrapText="1"/>
    </xf>
    <xf numFmtId="0" fontId="19" fillId="0" borderId="0" xfId="8" applyFill="1" applyBorder="1" applyAlignment="1">
      <alignment wrapText="1"/>
    </xf>
    <xf numFmtId="0" fontId="8" fillId="0" borderId="0" xfId="25" applyAlignment="1">
      <alignment wrapText="1"/>
    </xf>
    <xf numFmtId="0" fontId="0" fillId="0" borderId="0" xfId="0" applyAlignment="1">
      <alignment wrapText="1"/>
    </xf>
    <xf numFmtId="0" fontId="0" fillId="0" borderId="0" xfId="25" applyFont="1"/>
    <xf numFmtId="2" fontId="8" fillId="0" borderId="0" xfId="25" applyNumberFormat="1"/>
    <xf numFmtId="2" fontId="0" fillId="0" borderId="0" xfId="25" applyNumberFormat="1" applyFont="1"/>
    <xf numFmtId="0" fontId="58" fillId="0" borderId="0" xfId="0" applyFont="1"/>
    <xf numFmtId="0" fontId="58" fillId="0" borderId="0" xfId="0" applyFont="1" applyAlignment="1">
      <alignment horizontal="center"/>
    </xf>
    <xf numFmtId="167" fontId="8" fillId="0" borderId="0" xfId="0" applyNumberFormat="1" applyFont="1"/>
    <xf numFmtId="166" fontId="8" fillId="0" borderId="0" xfId="0" applyNumberFormat="1" applyFont="1"/>
    <xf numFmtId="167" fontId="25" fillId="0" borderId="0" xfId="0" applyNumberFormat="1" applyFont="1"/>
    <xf numFmtId="168" fontId="8" fillId="24" borderId="17" xfId="15" applyNumberFormat="1" applyFont="1" applyFill="1" applyBorder="1" applyAlignment="1">
      <alignment horizontal="center"/>
    </xf>
    <xf numFmtId="172" fontId="33" fillId="24" borderId="89" xfId="0" applyNumberFormat="1" applyFont="1" applyFill="1" applyBorder="1" applyAlignment="1">
      <alignment horizontal="center"/>
    </xf>
    <xf numFmtId="0" fontId="46" fillId="9" borderId="60" xfId="0" applyFont="1" applyFill="1" applyBorder="1" applyAlignment="1">
      <alignment horizontal="center" vertical="center"/>
    </xf>
    <xf numFmtId="0" fontId="46" fillId="31" borderId="60" xfId="0" applyFont="1" applyFill="1" applyBorder="1" applyAlignment="1">
      <alignment horizontal="center" vertical="center"/>
    </xf>
    <xf numFmtId="4" fontId="24" fillId="9" borderId="104" xfId="7" applyFont="1" applyFill="1" applyBorder="1" applyAlignment="1">
      <alignment horizontal="right" vertical="center"/>
    </xf>
    <xf numFmtId="0" fontId="24" fillId="0" borderId="17" xfId="0" applyFont="1" applyBorder="1" applyAlignment="1">
      <alignment horizontal="center"/>
    </xf>
    <xf numFmtId="0" fontId="8" fillId="0" borderId="17" xfId="0" applyFont="1" applyBorder="1" applyAlignment="1">
      <alignment horizontal="center"/>
    </xf>
    <xf numFmtId="0" fontId="46" fillId="5" borderId="131" xfId="0" applyFont="1" applyFill="1" applyBorder="1" applyAlignment="1">
      <alignment horizontal="center"/>
    </xf>
    <xf numFmtId="0" fontId="26" fillId="32" borderId="10" xfId="0" applyFont="1" applyFill="1" applyBorder="1" applyAlignment="1">
      <alignment horizontal="center"/>
    </xf>
    <xf numFmtId="0" fontId="0" fillId="8" borderId="176" xfId="0" applyFill="1" applyBorder="1" applyAlignment="1">
      <alignment vertical="center" wrapText="1"/>
    </xf>
    <xf numFmtId="0" fontId="0" fillId="8" borderId="173" xfId="0" applyFill="1" applyBorder="1" applyAlignment="1">
      <alignment vertical="center" wrapText="1"/>
    </xf>
    <xf numFmtId="0" fontId="46" fillId="5" borderId="116" xfId="0" applyFont="1" applyFill="1" applyBorder="1" applyAlignment="1">
      <alignment horizontal="center"/>
    </xf>
    <xf numFmtId="0" fontId="26" fillId="32" borderId="176" xfId="0" applyFont="1" applyFill="1" applyBorder="1" applyAlignment="1">
      <alignment horizontal="center"/>
    </xf>
    <xf numFmtId="0" fontId="0" fillId="8" borderId="176" xfId="0" applyFill="1" applyBorder="1" applyAlignment="1">
      <alignment horizontal="left"/>
    </xf>
    <xf numFmtId="0" fontId="0" fillId="8" borderId="173" xfId="0" applyFill="1" applyBorder="1" applyAlignment="1">
      <alignment horizontal="left"/>
    </xf>
    <xf numFmtId="0" fontId="12" fillId="17" borderId="92" xfId="0" applyFont="1" applyFill="1" applyBorder="1" applyAlignment="1">
      <alignment horizontal="left" vertical="center"/>
    </xf>
    <xf numFmtId="172" fontId="0" fillId="17" borderId="88" xfId="0" applyNumberFormat="1" applyFill="1" applyBorder="1" applyAlignment="1">
      <alignment horizontal="center"/>
    </xf>
    <xf numFmtId="0" fontId="12" fillId="17" borderId="93" xfId="0" applyFont="1" applyFill="1" applyBorder="1" applyAlignment="1">
      <alignment horizontal="left" vertical="center"/>
    </xf>
    <xf numFmtId="9" fontId="0" fillId="17" borderId="89" xfId="15" applyFont="1" applyFill="1" applyBorder="1" applyAlignment="1">
      <alignment horizontal="center"/>
    </xf>
    <xf numFmtId="9" fontId="8" fillId="17" borderId="88" xfId="15" applyFont="1" applyFill="1" applyBorder="1" applyAlignment="1">
      <alignment horizontal="center"/>
    </xf>
    <xf numFmtId="2" fontId="8" fillId="17" borderId="89" xfId="0" applyNumberFormat="1" applyFont="1" applyFill="1" applyBorder="1" applyAlignment="1">
      <alignment horizontal="center" vertical="center"/>
    </xf>
    <xf numFmtId="2" fontId="0" fillId="17" borderId="89" xfId="0" applyNumberFormat="1" applyFill="1" applyBorder="1" applyAlignment="1">
      <alignment horizontal="center"/>
    </xf>
    <xf numFmtId="0" fontId="12" fillId="17" borderId="91" xfId="0" applyFont="1" applyFill="1" applyBorder="1" applyAlignment="1">
      <alignment horizontal="left" vertical="center"/>
    </xf>
    <xf numFmtId="2" fontId="0" fillId="17" borderId="87" xfId="0" applyNumberFormat="1" applyFill="1" applyBorder="1" applyAlignment="1">
      <alignment horizontal="center"/>
    </xf>
    <xf numFmtId="169" fontId="0" fillId="17" borderId="89" xfId="0" applyNumberFormat="1" applyFill="1" applyBorder="1" applyAlignment="1">
      <alignment horizontal="center"/>
    </xf>
    <xf numFmtId="9" fontId="0" fillId="0" borderId="87" xfId="15" applyFont="1" applyFill="1" applyBorder="1" applyAlignment="1">
      <alignment horizontal="center"/>
    </xf>
    <xf numFmtId="0" fontId="12" fillId="0" borderId="93" xfId="0" applyFont="1" applyBorder="1" applyAlignment="1">
      <alignment horizontal="left" vertical="center"/>
    </xf>
    <xf numFmtId="9" fontId="0" fillId="0" borderId="89" xfId="15" applyFont="1" applyFill="1" applyBorder="1" applyAlignment="1">
      <alignment horizontal="center"/>
    </xf>
    <xf numFmtId="2" fontId="0" fillId="0" borderId="87" xfId="0" applyNumberFormat="1" applyBorder="1" applyAlignment="1">
      <alignment horizontal="center"/>
    </xf>
    <xf numFmtId="0" fontId="12" fillId="0" borderId="92" xfId="0" applyFont="1" applyBorder="1" applyAlignment="1">
      <alignment horizontal="left" vertical="center"/>
    </xf>
    <xf numFmtId="2" fontId="0" fillId="0" borderId="89" xfId="0" applyNumberFormat="1" applyBorder="1" applyAlignment="1">
      <alignment horizontal="center"/>
    </xf>
    <xf numFmtId="2" fontId="0" fillId="17" borderId="88" xfId="0" applyNumberFormat="1" applyFill="1" applyBorder="1" applyAlignment="1">
      <alignment horizontal="center"/>
    </xf>
    <xf numFmtId="0" fontId="13" fillId="17" borderId="93" xfId="0" applyFont="1" applyFill="1" applyBorder="1" applyAlignment="1">
      <alignment horizontal="left" vertical="center"/>
    </xf>
    <xf numFmtId="2" fontId="0" fillId="17" borderId="89" xfId="15" applyNumberFormat="1" applyFont="1" applyFill="1" applyBorder="1" applyAlignment="1">
      <alignment horizontal="center"/>
    </xf>
    <xf numFmtId="0" fontId="12" fillId="0" borderId="95" xfId="0" applyFont="1" applyBorder="1" applyAlignment="1">
      <alignment horizontal="left" vertical="center"/>
    </xf>
    <xf numFmtId="9" fontId="0" fillId="0" borderId="96" xfId="15" applyFont="1" applyFill="1" applyBorder="1" applyAlignment="1">
      <alignment horizontal="center"/>
    </xf>
    <xf numFmtId="10" fontId="8" fillId="0" borderId="88" xfId="15" applyNumberFormat="1" applyFont="1" applyFill="1" applyBorder="1" applyAlignment="1">
      <alignment horizontal="center"/>
    </xf>
    <xf numFmtId="10" fontId="0" fillId="0" borderId="88" xfId="15" applyNumberFormat="1" applyFont="1" applyFill="1" applyBorder="1" applyAlignment="1">
      <alignment horizontal="center"/>
    </xf>
    <xf numFmtId="169" fontId="0" fillId="0" borderId="88" xfId="0" applyNumberFormat="1" applyBorder="1" applyAlignment="1">
      <alignment horizontal="center"/>
    </xf>
    <xf numFmtId="169" fontId="8" fillId="0" borderId="87" xfId="0" applyNumberFormat="1" applyFont="1" applyBorder="1" applyAlignment="1">
      <alignment horizontal="center"/>
    </xf>
    <xf numFmtId="169" fontId="0" fillId="0" borderId="87" xfId="0" applyNumberFormat="1" applyBorder="1" applyAlignment="1">
      <alignment horizontal="center"/>
    </xf>
    <xf numFmtId="2" fontId="0" fillId="0" borderId="88" xfId="0" applyNumberFormat="1" applyBorder="1" applyAlignment="1">
      <alignment horizontal="center"/>
    </xf>
    <xf numFmtId="169" fontId="0" fillId="0" borderId="89" xfId="0" applyNumberFormat="1" applyBorder="1" applyAlignment="1">
      <alignment horizontal="center"/>
    </xf>
    <xf numFmtId="168" fontId="0" fillId="0" borderId="87" xfId="15" applyNumberFormat="1" applyFont="1" applyFill="1" applyBorder="1" applyAlignment="1">
      <alignment horizontal="center"/>
    </xf>
    <xf numFmtId="172" fontId="25" fillId="18" borderId="180" xfId="0" applyNumberFormat="1" applyFont="1" applyFill="1" applyBorder="1" applyAlignment="1">
      <alignment horizontal="center"/>
    </xf>
    <xf numFmtId="172" fontId="25" fillId="18" borderId="181" xfId="0" applyNumberFormat="1" applyFont="1" applyFill="1" applyBorder="1" applyAlignment="1">
      <alignment horizontal="center"/>
    </xf>
    <xf numFmtId="9" fontId="25" fillId="31" borderId="62" xfId="15" applyFont="1" applyFill="1" applyBorder="1" applyAlignment="1">
      <alignment horizontal="center" vertical="center"/>
    </xf>
    <xf numFmtId="9" fontId="25" fillId="18" borderId="180" xfId="15" applyFont="1" applyFill="1" applyBorder="1" applyAlignment="1">
      <alignment horizontal="center"/>
    </xf>
    <xf numFmtId="9" fontId="25" fillId="18" borderId="94" xfId="15" applyFont="1" applyFill="1" applyBorder="1" applyAlignment="1">
      <alignment horizontal="center"/>
    </xf>
    <xf numFmtId="9" fontId="25" fillId="18" borderId="181" xfId="15" applyFont="1" applyFill="1" applyBorder="1" applyAlignment="1">
      <alignment horizontal="center"/>
    </xf>
    <xf numFmtId="0" fontId="25" fillId="31" borderId="62" xfId="0" applyFont="1" applyFill="1" applyBorder="1" applyAlignment="1">
      <alignment horizontal="center" vertical="center"/>
    </xf>
    <xf numFmtId="2" fontId="25" fillId="18" borderId="94" xfId="0" applyNumberFormat="1" applyFont="1" applyFill="1" applyBorder="1" applyAlignment="1">
      <alignment horizontal="center"/>
    </xf>
    <xf numFmtId="2" fontId="25" fillId="18" borderId="181" xfId="0" applyNumberFormat="1" applyFont="1" applyFill="1" applyBorder="1" applyAlignment="1">
      <alignment horizontal="center"/>
    </xf>
    <xf numFmtId="2" fontId="25" fillId="31" borderId="62" xfId="15" applyNumberFormat="1" applyFont="1" applyFill="1" applyBorder="1" applyAlignment="1">
      <alignment horizontal="center" vertical="center"/>
    </xf>
    <xf numFmtId="2" fontId="25" fillId="18" borderId="180" xfId="0" applyNumberFormat="1" applyFont="1" applyFill="1" applyBorder="1" applyAlignment="1">
      <alignment horizontal="center"/>
    </xf>
    <xf numFmtId="10" fontId="25" fillId="31" borderId="62" xfId="0" applyNumberFormat="1" applyFont="1" applyFill="1" applyBorder="1" applyAlignment="1">
      <alignment horizontal="center" vertical="center"/>
    </xf>
    <xf numFmtId="171" fontId="25" fillId="31" borderId="62" xfId="18" applyNumberFormat="1" applyFont="1" applyFill="1" applyBorder="1" applyAlignment="1">
      <alignment horizontal="center" vertical="center"/>
    </xf>
    <xf numFmtId="2" fontId="25" fillId="18" borderId="94" xfId="15" applyNumberFormat="1" applyFont="1" applyFill="1" applyBorder="1" applyAlignment="1">
      <alignment horizontal="center"/>
    </xf>
    <xf numFmtId="0" fontId="25" fillId="31" borderId="62" xfId="0" applyFont="1" applyFill="1" applyBorder="1" applyAlignment="1">
      <alignment horizontal="center"/>
    </xf>
    <xf numFmtId="9" fontId="25" fillId="18" borderId="64" xfId="15" applyFont="1" applyFill="1" applyBorder="1" applyAlignment="1">
      <alignment horizontal="center"/>
    </xf>
    <xf numFmtId="0" fontId="12" fillId="0" borderId="82" xfId="0" applyFont="1" applyBorder="1" applyAlignment="1">
      <alignment horizontal="left"/>
    </xf>
    <xf numFmtId="9" fontId="8" fillId="0" borderId="182" xfId="0" applyNumberFormat="1" applyFont="1" applyBorder="1" applyAlignment="1">
      <alignment horizontal="center"/>
    </xf>
    <xf numFmtId="3" fontId="53" fillId="0" borderId="133" xfId="0" applyNumberFormat="1" applyFont="1" applyBorder="1" applyAlignment="1">
      <alignment horizontal="center" vertical="center"/>
    </xf>
    <xf numFmtId="0" fontId="53" fillId="0" borderId="183" xfId="0" applyFont="1" applyBorder="1"/>
    <xf numFmtId="0" fontId="53" fillId="0" borderId="36" xfId="0" applyFont="1" applyBorder="1"/>
    <xf numFmtId="10" fontId="5" fillId="0" borderId="0" xfId="28" quotePrefix="1" applyNumberFormat="1" applyAlignment="1">
      <alignment horizontal="right"/>
    </xf>
    <xf numFmtId="1" fontId="53" fillId="40" borderId="184" xfId="0" applyNumberFormat="1" applyFont="1" applyFill="1" applyBorder="1" applyAlignment="1">
      <alignment horizontal="center" vertical="center"/>
    </xf>
    <xf numFmtId="1" fontId="53" fillId="40" borderId="165" xfId="0" applyNumberFormat="1" applyFont="1" applyFill="1" applyBorder="1" applyAlignment="1">
      <alignment horizontal="center" vertical="center"/>
    </xf>
    <xf numFmtId="1" fontId="53" fillId="40" borderId="3" xfId="0" applyNumberFormat="1" applyFont="1" applyFill="1" applyBorder="1" applyAlignment="1">
      <alignment horizontal="center" vertical="center"/>
    </xf>
    <xf numFmtId="1" fontId="53" fillId="40" borderId="28" xfId="0" applyNumberFormat="1" applyFont="1" applyFill="1" applyBorder="1" applyAlignment="1">
      <alignment horizontal="center" vertical="center"/>
    </xf>
    <xf numFmtId="1" fontId="0" fillId="0" borderId="165" xfId="0" applyNumberFormat="1" applyBorder="1" applyAlignment="1">
      <alignment horizontal="center" vertical="center"/>
    </xf>
    <xf numFmtId="1" fontId="0" fillId="0" borderId="3" xfId="0" applyNumberFormat="1" applyBorder="1" applyAlignment="1">
      <alignment horizontal="center" vertical="center"/>
    </xf>
    <xf numFmtId="1" fontId="0" fillId="0" borderId="170" xfId="0" applyNumberFormat="1" applyBorder="1" applyAlignment="1">
      <alignment horizontal="center" vertical="center"/>
    </xf>
    <xf numFmtId="1" fontId="0" fillId="0" borderId="29" xfId="0" applyNumberFormat="1" applyBorder="1" applyAlignment="1">
      <alignment horizontal="center" vertical="center"/>
    </xf>
    <xf numFmtId="1" fontId="53" fillId="0" borderId="2" xfId="0" applyNumberFormat="1" applyFont="1" applyBorder="1" applyAlignment="1">
      <alignment horizontal="center" vertical="center"/>
    </xf>
    <xf numFmtId="0" fontId="26" fillId="0" borderId="0" xfId="25" applyFont="1" applyAlignment="1">
      <alignment horizontal="center" vertical="center"/>
    </xf>
    <xf numFmtId="4" fontId="24" fillId="0" borderId="0" xfId="7" applyFont="1" applyFill="1" applyBorder="1">
      <alignment horizontal="right"/>
    </xf>
    <xf numFmtId="0" fontId="46" fillId="31" borderId="53" xfId="0" applyFont="1" applyFill="1" applyBorder="1" applyAlignment="1">
      <alignment horizontal="left" vertical="center"/>
    </xf>
    <xf numFmtId="10" fontId="0" fillId="0" borderId="44" xfId="0" applyNumberFormat="1" applyBorder="1" applyAlignment="1">
      <alignment horizontal="center" vertical="center"/>
    </xf>
    <xf numFmtId="0" fontId="12" fillId="8" borderId="95" xfId="0" applyFont="1" applyFill="1" applyBorder="1" applyAlignment="1">
      <alignment horizontal="left" vertical="center"/>
    </xf>
    <xf numFmtId="10" fontId="0" fillId="8" borderId="97" xfId="15" applyNumberFormat="1" applyFont="1" applyFill="1" applyBorder="1" applyAlignment="1">
      <alignment horizontal="center" vertical="center"/>
    </xf>
    <xf numFmtId="0" fontId="46" fillId="0" borderId="0" xfId="0" applyFont="1" applyAlignment="1">
      <alignment horizontal="left" vertical="center"/>
    </xf>
    <xf numFmtId="10" fontId="0" fillId="0" borderId="0" xfId="15" applyNumberFormat="1" applyFont="1" applyFill="1" applyBorder="1" applyAlignment="1">
      <alignment horizontal="center" vertical="center"/>
    </xf>
    <xf numFmtId="0" fontId="57" fillId="36" borderId="64" xfId="0" applyFont="1" applyFill="1" applyBorder="1" applyAlignment="1">
      <alignment horizontal="center" vertical="center"/>
    </xf>
    <xf numFmtId="172" fontId="0" fillId="0" borderId="180" xfId="0" applyNumberFormat="1" applyBorder="1" applyAlignment="1">
      <alignment horizontal="center"/>
    </xf>
    <xf numFmtId="172" fontId="0" fillId="17" borderId="181" xfId="0" applyNumberFormat="1" applyFill="1" applyBorder="1" applyAlignment="1">
      <alignment horizontal="center"/>
    </xf>
    <xf numFmtId="0" fontId="0" fillId="31" borderId="62" xfId="0" applyFill="1" applyBorder="1" applyAlignment="1">
      <alignment horizontal="center"/>
    </xf>
    <xf numFmtId="9" fontId="0" fillId="0" borderId="180" xfId="15" applyFont="1" applyFill="1" applyBorder="1" applyAlignment="1">
      <alignment horizontal="center"/>
    </xf>
    <xf numFmtId="9" fontId="0" fillId="17" borderId="94" xfId="15" applyFont="1" applyFill="1" applyBorder="1" applyAlignment="1">
      <alignment horizontal="center"/>
    </xf>
    <xf numFmtId="9" fontId="0" fillId="0" borderId="94" xfId="15" applyFont="1" applyFill="1" applyBorder="1" applyAlignment="1">
      <alignment horizontal="center"/>
    </xf>
    <xf numFmtId="9" fontId="0" fillId="17" borderId="181" xfId="15" applyFont="1" applyFill="1" applyBorder="1" applyAlignment="1">
      <alignment horizontal="center"/>
    </xf>
    <xf numFmtId="2" fontId="0" fillId="0" borderId="180" xfId="0" applyNumberFormat="1" applyBorder="1" applyAlignment="1">
      <alignment horizontal="center"/>
    </xf>
    <xf numFmtId="2" fontId="0" fillId="17" borderId="94" xfId="0" applyNumberFormat="1" applyFill="1" applyBorder="1" applyAlignment="1">
      <alignment horizontal="center"/>
    </xf>
    <xf numFmtId="2" fontId="0" fillId="0" borderId="181" xfId="0" applyNumberFormat="1" applyBorder="1" applyAlignment="1">
      <alignment horizontal="center"/>
    </xf>
    <xf numFmtId="2" fontId="0" fillId="17" borderId="180" xfId="0" applyNumberFormat="1" applyFill="1" applyBorder="1" applyAlignment="1">
      <alignment horizontal="center"/>
    </xf>
    <xf numFmtId="2" fontId="0" fillId="0" borderId="94" xfId="0" applyNumberFormat="1" applyBorder="1" applyAlignment="1">
      <alignment horizontal="center"/>
    </xf>
    <xf numFmtId="2" fontId="0" fillId="17" borderId="181" xfId="0" applyNumberFormat="1" applyFill="1" applyBorder="1" applyAlignment="1">
      <alignment horizontal="center"/>
    </xf>
    <xf numFmtId="169" fontId="0" fillId="0" borderId="180" xfId="0" applyNumberFormat="1" applyBorder="1" applyAlignment="1">
      <alignment horizontal="center"/>
    </xf>
    <xf numFmtId="169" fontId="0" fillId="17" borderId="94" xfId="0" applyNumberFormat="1" applyFill="1" applyBorder="1" applyAlignment="1">
      <alignment horizontal="center"/>
    </xf>
    <xf numFmtId="169" fontId="0" fillId="0" borderId="94" xfId="0" applyNumberFormat="1" applyBorder="1" applyAlignment="1">
      <alignment horizontal="center"/>
    </xf>
    <xf numFmtId="169" fontId="0" fillId="0" borderId="181" xfId="0" applyNumberFormat="1" applyBorder="1" applyAlignment="1">
      <alignment horizontal="center"/>
    </xf>
    <xf numFmtId="168" fontId="0" fillId="0" borderId="180" xfId="15" applyNumberFormat="1" applyFont="1" applyFill="1" applyBorder="1" applyAlignment="1">
      <alignment horizontal="center"/>
    </xf>
    <xf numFmtId="2" fontId="0" fillId="17" borderId="94" xfId="15" applyNumberFormat="1" applyFont="1" applyFill="1" applyBorder="1" applyAlignment="1">
      <alignment horizontal="center"/>
    </xf>
    <xf numFmtId="10" fontId="0" fillId="0" borderId="181" xfId="15" applyNumberFormat="1" applyFont="1" applyFill="1" applyBorder="1" applyAlignment="1">
      <alignment horizontal="center"/>
    </xf>
    <xf numFmtId="10" fontId="0" fillId="17" borderId="94" xfId="15" applyNumberFormat="1" applyFont="1" applyFill="1" applyBorder="1" applyAlignment="1">
      <alignment horizontal="center" vertical="center"/>
    </xf>
    <xf numFmtId="175" fontId="0" fillId="8" borderId="94" xfId="0" applyNumberFormat="1" applyFill="1" applyBorder="1" applyAlignment="1">
      <alignment horizontal="right" vertical="center"/>
    </xf>
    <xf numFmtId="175" fontId="0" fillId="17" borderId="94" xfId="0" applyNumberFormat="1" applyFill="1" applyBorder="1" applyAlignment="1">
      <alignment horizontal="center"/>
    </xf>
    <xf numFmtId="9" fontId="0" fillId="0" borderId="97" xfId="15" applyFont="1" applyFill="1" applyBorder="1" applyAlignment="1">
      <alignment horizontal="center"/>
    </xf>
    <xf numFmtId="0" fontId="73" fillId="36" borderId="62" xfId="0" applyFont="1" applyFill="1" applyBorder="1" applyAlignment="1">
      <alignment horizontal="center" vertical="center" wrapText="1"/>
    </xf>
    <xf numFmtId="9" fontId="0" fillId="0" borderId="0" xfId="15" applyFont="1" applyBorder="1" applyAlignment="1">
      <alignment horizontal="center" vertical="center"/>
    </xf>
    <xf numFmtId="0" fontId="26" fillId="5" borderId="187" xfId="25" applyFont="1" applyFill="1" applyBorder="1" applyAlignment="1">
      <alignment horizontal="center" vertical="center"/>
    </xf>
    <xf numFmtId="4" fontId="24" fillId="28" borderId="188" xfId="7" applyFont="1" applyFill="1" applyBorder="1">
      <alignment horizontal="right"/>
    </xf>
    <xf numFmtId="4" fontId="8" fillId="12" borderId="188" xfId="7" applyFont="1" applyFill="1" applyBorder="1">
      <alignment horizontal="right"/>
    </xf>
    <xf numFmtId="4" fontId="31" fillId="9" borderId="189" xfId="7" applyFont="1" applyFill="1" applyBorder="1">
      <alignment horizontal="right"/>
    </xf>
    <xf numFmtId="0" fontId="57" fillId="36" borderId="0" xfId="23" applyFont="1" applyFill="1"/>
    <xf numFmtId="0" fontId="74" fillId="36" borderId="0" xfId="23" applyFont="1" applyFill="1" applyAlignment="1">
      <alignment horizontal="left" vertical="center"/>
    </xf>
    <xf numFmtId="0" fontId="74" fillId="36" borderId="0" xfId="23" applyFont="1" applyFill="1" applyAlignment="1">
      <alignment horizontal="center" vertical="center"/>
    </xf>
    <xf numFmtId="0" fontId="8" fillId="31" borderId="0" xfId="23" applyFill="1"/>
    <xf numFmtId="0" fontId="8" fillId="0" borderId="0" xfId="23"/>
    <xf numFmtId="10" fontId="0" fillId="0" borderId="0" xfId="15" applyNumberFormat="1" applyFont="1" applyAlignment="1">
      <alignment horizontal="left"/>
    </xf>
    <xf numFmtId="0" fontId="12" fillId="0" borderId="0" xfId="23" applyFont="1"/>
    <xf numFmtId="0" fontId="8" fillId="8" borderId="0" xfId="23" applyFill="1"/>
    <xf numFmtId="0" fontId="37" fillId="0" borderId="0" xfId="23" applyFont="1"/>
    <xf numFmtId="10" fontId="8" fillId="8" borderId="0" xfId="23" applyNumberFormat="1" applyFill="1"/>
    <xf numFmtId="10" fontId="75" fillId="0" borderId="0" xfId="23" applyNumberFormat="1" applyFont="1" applyAlignment="1">
      <alignment horizontal="center"/>
    </xf>
    <xf numFmtId="10" fontId="8" fillId="0" borderId="0" xfId="23" applyNumberFormat="1"/>
    <xf numFmtId="168" fontId="0" fillId="0" borderId="0" xfId="15" applyNumberFormat="1" applyFont="1"/>
    <xf numFmtId="0" fontId="49" fillId="31" borderId="0" xfId="23" applyFont="1" applyFill="1"/>
    <xf numFmtId="0" fontId="26" fillId="32" borderId="198" xfId="0" applyFont="1" applyFill="1" applyBorder="1" applyAlignment="1">
      <alignment horizontal="center"/>
    </xf>
    <xf numFmtId="0" fontId="12" fillId="0" borderId="198" xfId="0" applyFont="1" applyBorder="1" applyAlignment="1">
      <alignment horizontal="center"/>
    </xf>
    <xf numFmtId="0" fontId="0" fillId="0" borderId="198" xfId="0" applyBorder="1" applyAlignment="1">
      <alignment horizontal="center"/>
    </xf>
    <xf numFmtId="0" fontId="26" fillId="10" borderId="53" xfId="0" applyFont="1" applyFill="1" applyBorder="1" applyAlignment="1">
      <alignment horizontal="center" vertical="center" wrapText="1"/>
    </xf>
    <xf numFmtId="0" fontId="26" fillId="11" borderId="53" xfId="0" applyFont="1" applyFill="1" applyBorder="1" applyAlignment="1">
      <alignment horizontal="center" vertical="center" wrapText="1"/>
    </xf>
    <xf numFmtId="0" fontId="47" fillId="15" borderId="53" xfId="0" applyFont="1" applyFill="1" applyBorder="1" applyAlignment="1">
      <alignment horizontal="center" vertical="center" wrapText="1"/>
    </xf>
    <xf numFmtId="0" fontId="26" fillId="23" borderId="53" xfId="0" applyFont="1" applyFill="1" applyBorder="1" applyAlignment="1">
      <alignment horizontal="center" vertical="center" wrapText="1"/>
    </xf>
    <xf numFmtId="0" fontId="26" fillId="16" borderId="53" xfId="0" applyFont="1" applyFill="1" applyBorder="1" applyAlignment="1">
      <alignment horizontal="center" vertical="center" wrapText="1"/>
    </xf>
    <xf numFmtId="0" fontId="56" fillId="0" borderId="0" xfId="23" applyFont="1" applyAlignment="1">
      <alignment horizontal="center"/>
    </xf>
    <xf numFmtId="0" fontId="8" fillId="24" borderId="0" xfId="0" applyFont="1" applyFill="1" applyAlignment="1">
      <alignment horizontal="center" vertical="center"/>
    </xf>
    <xf numFmtId="176" fontId="76" fillId="46" borderId="0" xfId="15" applyNumberFormat="1" applyFont="1" applyFill="1" applyBorder="1" applyAlignment="1">
      <alignment horizontal="center"/>
    </xf>
    <xf numFmtId="0" fontId="57" fillId="0" borderId="0" xfId="23" applyFont="1"/>
    <xf numFmtId="0" fontId="74" fillId="0" borderId="0" xfId="23" applyFont="1" applyAlignment="1">
      <alignment horizontal="center" vertical="center"/>
    </xf>
    <xf numFmtId="0" fontId="75" fillId="0" borderId="0" xfId="0" applyFont="1" applyAlignment="1">
      <alignment horizontal="center"/>
    </xf>
    <xf numFmtId="0" fontId="12" fillId="8" borderId="0" xfId="23" applyFont="1" applyFill="1" applyAlignment="1">
      <alignment horizontal="center" vertical="center"/>
    </xf>
    <xf numFmtId="0" fontId="78" fillId="5" borderId="104" xfId="4" applyFont="1" applyFill="1" applyBorder="1" applyAlignment="1">
      <alignment horizontal="center" vertical="center"/>
    </xf>
    <xf numFmtId="0" fontId="46" fillId="23" borderId="61" xfId="0" applyFont="1" applyFill="1" applyBorder="1" applyAlignment="1">
      <alignment horizontal="center" vertical="center" wrapText="1"/>
    </xf>
    <xf numFmtId="0" fontId="46" fillId="16" borderId="62" xfId="0" applyFont="1" applyFill="1" applyBorder="1" applyAlignment="1">
      <alignment horizontal="center" vertical="center" wrapText="1"/>
    </xf>
    <xf numFmtId="3" fontId="61" fillId="38" borderId="161" xfId="0" applyNumberFormat="1" applyFont="1" applyFill="1" applyBorder="1" applyAlignment="1">
      <alignment horizontal="center" vertical="center"/>
    </xf>
    <xf numFmtId="176" fontId="76" fillId="46" borderId="0" xfId="15" applyNumberFormat="1" applyFont="1" applyFill="1" applyAlignment="1">
      <alignment horizontal="center"/>
    </xf>
    <xf numFmtId="3" fontId="1" fillId="43" borderId="37" xfId="29" applyNumberFormat="1" applyFont="1" applyFill="1" applyBorder="1" applyAlignment="1">
      <alignment horizontal="center" vertical="center"/>
    </xf>
    <xf numFmtId="9" fontId="8" fillId="0" borderId="99" xfId="15" applyFont="1" applyBorder="1" applyAlignment="1">
      <alignment horizontal="center" vertical="center"/>
    </xf>
    <xf numFmtId="9" fontId="8" fillId="17" borderId="89" xfId="15" applyFont="1" applyFill="1" applyBorder="1" applyAlignment="1">
      <alignment horizontal="center" vertical="center"/>
    </xf>
    <xf numFmtId="0" fontId="1" fillId="0" borderId="39" xfId="0" applyFont="1" applyBorder="1"/>
    <xf numFmtId="166" fontId="1" fillId="0" borderId="39" xfId="0" applyNumberFormat="1" applyFont="1" applyBorder="1" applyAlignment="1">
      <alignment horizontal="center"/>
    </xf>
    <xf numFmtId="166" fontId="1" fillId="0" borderId="0" xfId="0" applyNumberFormat="1" applyFont="1" applyAlignment="1">
      <alignment horizontal="center"/>
    </xf>
    <xf numFmtId="172" fontId="8" fillId="24" borderId="17" xfId="0" applyNumberFormat="1" applyFont="1" applyFill="1" applyBorder="1" applyAlignment="1">
      <alignment horizontal="center" vertical="center"/>
    </xf>
    <xf numFmtId="0" fontId="53" fillId="0" borderId="0" xfId="0" applyFont="1" applyAlignment="1">
      <alignment horizontal="center" vertical="center"/>
    </xf>
    <xf numFmtId="0" fontId="8" fillId="0" borderId="0" xfId="23" applyAlignment="1">
      <alignment horizontal="center"/>
    </xf>
    <xf numFmtId="0" fontId="53" fillId="0" borderId="205" xfId="0" applyFont="1" applyBorder="1" applyAlignment="1">
      <alignment horizontal="center" vertical="center"/>
    </xf>
    <xf numFmtId="10" fontId="8" fillId="0" borderId="39" xfId="0" applyNumberFormat="1" applyFont="1" applyBorder="1" applyAlignment="1">
      <alignment horizontal="center" vertical="center"/>
    </xf>
    <xf numFmtId="0" fontId="64" fillId="0" borderId="39" xfId="28" applyFont="1" applyBorder="1"/>
    <xf numFmtId="167" fontId="12" fillId="0" borderId="210" xfId="0" applyNumberFormat="1" applyFont="1" applyBorder="1" applyAlignment="1">
      <alignment horizontal="center"/>
    </xf>
    <xf numFmtId="167" fontId="12" fillId="0" borderId="34" xfId="0" applyNumberFormat="1" applyFont="1" applyBorder="1" applyAlignment="1">
      <alignment horizontal="center"/>
    </xf>
    <xf numFmtId="167" fontId="12" fillId="0" borderId="211" xfId="0" applyNumberFormat="1" applyFont="1" applyBorder="1" applyAlignment="1">
      <alignment horizontal="center"/>
    </xf>
    <xf numFmtId="0" fontId="12" fillId="0" borderId="210" xfId="0" applyFont="1" applyBorder="1" applyAlignment="1">
      <alignment horizontal="center"/>
    </xf>
    <xf numFmtId="10" fontId="0" fillId="33" borderId="64" xfId="0" applyNumberFormat="1" applyFill="1" applyBorder="1"/>
    <xf numFmtId="167" fontId="0" fillId="0" borderId="213" xfId="0" applyNumberFormat="1" applyBorder="1" applyAlignment="1">
      <alignment horizontal="center"/>
    </xf>
    <xf numFmtId="166" fontId="8" fillId="0" borderId="89" xfId="0" applyNumberFormat="1" applyFont="1" applyBorder="1" applyAlignment="1">
      <alignment horizontal="center"/>
    </xf>
    <xf numFmtId="1" fontId="8" fillId="0" borderId="214" xfId="0" applyNumberFormat="1" applyFont="1" applyBorder="1" applyAlignment="1">
      <alignment horizontal="center" vertical="center"/>
    </xf>
    <xf numFmtId="1" fontId="8" fillId="0" borderId="215" xfId="0" applyNumberFormat="1" applyFont="1" applyBorder="1" applyAlignment="1">
      <alignment horizontal="center" vertical="center"/>
    </xf>
    <xf numFmtId="1" fontId="8" fillId="0" borderId="216" xfId="0" applyNumberFormat="1" applyFont="1" applyBorder="1" applyAlignment="1">
      <alignment horizontal="center" vertical="center"/>
    </xf>
    <xf numFmtId="1" fontId="8" fillId="0" borderId="217" xfId="0" applyNumberFormat="1" applyFont="1" applyBorder="1" applyAlignment="1">
      <alignment horizontal="center" vertical="center"/>
    </xf>
    <xf numFmtId="1" fontId="8" fillId="0" borderId="218" xfId="0" applyNumberFormat="1" applyFont="1" applyBorder="1" applyAlignment="1">
      <alignment horizontal="center" vertical="center"/>
    </xf>
    <xf numFmtId="1" fontId="8" fillId="0" borderId="219" xfId="0" applyNumberFormat="1" applyFont="1" applyBorder="1" applyAlignment="1">
      <alignment horizontal="center" vertical="center"/>
    </xf>
    <xf numFmtId="1" fontId="8" fillId="0" borderId="220" xfId="0" applyNumberFormat="1" applyFont="1" applyBorder="1" applyAlignment="1">
      <alignment horizontal="center" vertical="center"/>
    </xf>
    <xf numFmtId="3" fontId="8" fillId="0" borderId="221" xfId="0" applyNumberFormat="1" applyFont="1" applyBorder="1" applyAlignment="1">
      <alignment horizontal="center" vertical="center"/>
    </xf>
    <xf numFmtId="1" fontId="58" fillId="0" borderId="222" xfId="0" applyNumberFormat="1" applyFont="1" applyBorder="1" applyAlignment="1">
      <alignment horizontal="center" vertical="center"/>
    </xf>
    <xf numFmtId="1" fontId="58" fillId="41" borderId="223" xfId="0" applyNumberFormat="1" applyFont="1" applyFill="1" applyBorder="1" applyAlignment="1">
      <alignment horizontal="center" vertical="center"/>
    </xf>
    <xf numFmtId="1" fontId="58" fillId="41" borderId="224" xfId="0" applyNumberFormat="1" applyFont="1" applyFill="1" applyBorder="1" applyAlignment="1">
      <alignment horizontal="center" vertical="center"/>
    </xf>
    <xf numFmtId="1" fontId="58" fillId="0" borderId="221" xfId="0" applyNumberFormat="1" applyFont="1" applyBorder="1" applyAlignment="1">
      <alignment horizontal="center" vertical="center"/>
    </xf>
    <xf numFmtId="1" fontId="58" fillId="41" borderId="221" xfId="0" applyNumberFormat="1" applyFont="1" applyFill="1" applyBorder="1" applyAlignment="1">
      <alignment horizontal="center" vertical="center"/>
    </xf>
    <xf numFmtId="1" fontId="58" fillId="41" borderId="222" xfId="0" applyNumberFormat="1" applyFont="1" applyFill="1" applyBorder="1" applyAlignment="1">
      <alignment horizontal="center" vertical="center"/>
    </xf>
    <xf numFmtId="1" fontId="58" fillId="0" borderId="224" xfId="0" applyNumberFormat="1" applyFont="1" applyBorder="1" applyAlignment="1">
      <alignment horizontal="center" vertical="center"/>
    </xf>
    <xf numFmtId="3" fontId="58" fillId="41" borderId="226" xfId="0" applyNumberFormat="1" applyFont="1" applyFill="1" applyBorder="1" applyAlignment="1">
      <alignment horizontal="center" vertical="center"/>
    </xf>
    <xf numFmtId="3" fontId="58" fillId="41" borderId="227" xfId="0" applyNumberFormat="1" applyFont="1" applyFill="1" applyBorder="1" applyAlignment="1">
      <alignment horizontal="center" vertical="center"/>
    </xf>
    <xf numFmtId="3" fontId="58" fillId="41" borderId="228" xfId="0" applyNumberFormat="1" applyFont="1" applyFill="1" applyBorder="1" applyAlignment="1">
      <alignment horizontal="center" vertical="center"/>
    </xf>
    <xf numFmtId="3" fontId="58" fillId="41" borderId="229" xfId="0" applyNumberFormat="1" applyFont="1" applyFill="1" applyBorder="1" applyAlignment="1">
      <alignment horizontal="center" vertical="center"/>
    </xf>
    <xf numFmtId="3" fontId="58" fillId="41" borderId="230" xfId="0" applyNumberFormat="1" applyFont="1" applyFill="1" applyBorder="1" applyAlignment="1">
      <alignment horizontal="center" vertical="center"/>
    </xf>
    <xf numFmtId="0" fontId="58" fillId="0" borderId="160" xfId="0" applyFont="1" applyBorder="1" applyAlignment="1">
      <alignment horizontal="center" vertical="center"/>
    </xf>
    <xf numFmtId="0" fontId="58" fillId="0" borderId="37" xfId="0" applyFont="1" applyBorder="1" applyAlignment="1">
      <alignment horizontal="center" vertical="center"/>
    </xf>
    <xf numFmtId="3" fontId="58" fillId="40" borderId="37" xfId="0" applyNumberFormat="1" applyFont="1" applyFill="1" applyBorder="1" applyAlignment="1">
      <alignment horizontal="center" vertical="center"/>
    </xf>
    <xf numFmtId="0" fontId="58" fillId="41" borderId="37" xfId="0" applyFont="1" applyFill="1" applyBorder="1" applyAlignment="1">
      <alignment horizontal="center" vertical="center"/>
    </xf>
    <xf numFmtId="3" fontId="58" fillId="40" borderId="37" xfId="0" quotePrefix="1" applyNumberFormat="1" applyFont="1" applyFill="1" applyBorder="1" applyAlignment="1">
      <alignment horizontal="center" vertical="center"/>
    </xf>
    <xf numFmtId="3" fontId="58" fillId="0" borderId="37" xfId="0" applyNumberFormat="1" applyFont="1" applyBorder="1" applyAlignment="1">
      <alignment horizontal="center" vertical="center"/>
    </xf>
    <xf numFmtId="0" fontId="55" fillId="0" borderId="109" xfId="0" applyFont="1" applyBorder="1" applyAlignment="1">
      <alignment horizontal="center"/>
    </xf>
    <xf numFmtId="0" fontId="12" fillId="0" borderId="223" xfId="0" applyFont="1" applyBorder="1" applyAlignment="1">
      <alignment horizontal="center"/>
    </xf>
    <xf numFmtId="0" fontId="8" fillId="37" borderId="231" xfId="0" applyFont="1" applyFill="1" applyBorder="1"/>
    <xf numFmtId="0" fontId="12" fillId="0" borderId="231" xfId="0" applyFont="1" applyBorder="1"/>
    <xf numFmtId="0" fontId="8" fillId="0" borderId="231" xfId="0" applyFont="1" applyBorder="1"/>
    <xf numFmtId="0" fontId="12" fillId="0" borderId="232" xfId="0" applyFont="1" applyBorder="1" applyAlignment="1">
      <alignment horizontal="center"/>
    </xf>
    <xf numFmtId="0" fontId="8" fillId="0" borderId="140" xfId="0" applyFont="1" applyBorder="1"/>
    <xf numFmtId="9" fontId="32" fillId="38" borderId="172" xfId="15" applyFont="1" applyFill="1" applyBorder="1" applyAlignment="1">
      <alignment horizontal="center" vertical="center"/>
    </xf>
    <xf numFmtId="3" fontId="1" fillId="43" borderId="1" xfId="29" applyNumberFormat="1" applyFont="1" applyFill="1" applyBorder="1" applyAlignment="1">
      <alignment horizontal="center" vertical="center"/>
    </xf>
    <xf numFmtId="168" fontId="32" fillId="38" borderId="38" xfId="15" applyNumberFormat="1" applyFont="1" applyFill="1" applyBorder="1" applyAlignment="1">
      <alignment horizontal="center" vertical="center"/>
    </xf>
    <xf numFmtId="3" fontId="61" fillId="0" borderId="38" xfId="0" applyNumberFormat="1" applyFont="1" applyBorder="1" applyAlignment="1">
      <alignment horizontal="center" vertical="center"/>
    </xf>
    <xf numFmtId="0" fontId="68" fillId="38" borderId="38" xfId="0" applyFont="1" applyFill="1" applyBorder="1" applyAlignment="1">
      <alignment horizontal="center" vertical="center"/>
    </xf>
    <xf numFmtId="3" fontId="24" fillId="38" borderId="38" xfId="0" applyNumberFormat="1" applyFont="1" applyFill="1" applyBorder="1" applyAlignment="1">
      <alignment horizontal="center" vertical="center"/>
    </xf>
    <xf numFmtId="3" fontId="61" fillId="38" borderId="38" xfId="0" applyNumberFormat="1" applyFont="1" applyFill="1" applyBorder="1" applyAlignment="1">
      <alignment horizontal="center" vertical="center"/>
    </xf>
    <xf numFmtId="0" fontId="61" fillId="0" borderId="38" xfId="0" applyFont="1" applyBorder="1" applyAlignment="1">
      <alignment horizontal="center" vertical="center"/>
    </xf>
    <xf numFmtId="3" fontId="68" fillId="38" borderId="38" xfId="0" quotePrefix="1" applyNumberFormat="1" applyFont="1" applyFill="1" applyBorder="1" applyAlignment="1">
      <alignment horizontal="center" vertical="center"/>
    </xf>
    <xf numFmtId="0" fontId="61" fillId="38" borderId="233" xfId="0" applyFont="1" applyFill="1" applyBorder="1" applyAlignment="1">
      <alignment horizontal="center" vertical="center"/>
    </xf>
    <xf numFmtId="0" fontId="55" fillId="0" borderId="234" xfId="0" applyFont="1" applyBorder="1" applyAlignment="1">
      <alignment horizontal="center"/>
    </xf>
    <xf numFmtId="0" fontId="56" fillId="0" borderId="178" xfId="0" applyFont="1" applyBorder="1" applyAlignment="1">
      <alignment horizontal="center"/>
    </xf>
    <xf numFmtId="0" fontId="12" fillId="37" borderId="231" xfId="0" applyFont="1" applyFill="1" applyBorder="1"/>
    <xf numFmtId="0" fontId="26" fillId="32" borderId="21" xfId="0" applyFont="1" applyFill="1" applyBorder="1" applyAlignment="1">
      <alignment horizontal="center"/>
    </xf>
    <xf numFmtId="14" fontId="12" fillId="0" borderId="235" xfId="0" applyNumberFormat="1" applyFont="1" applyBorder="1" applyAlignment="1">
      <alignment horizontal="center" vertical="center"/>
    </xf>
    <xf numFmtId="14" fontId="12" fillId="0" borderId="236" xfId="0" applyNumberFormat="1" applyFont="1" applyBorder="1" applyAlignment="1">
      <alignment horizontal="center" vertical="center"/>
    </xf>
    <xf numFmtId="0" fontId="8" fillId="0" borderId="240" xfId="0" applyFont="1" applyBorder="1" applyAlignment="1">
      <alignment horizontal="center" vertical="center"/>
    </xf>
    <xf numFmtId="0" fontId="0" fillId="0" borderId="241" xfId="0" applyBorder="1" applyAlignment="1">
      <alignment horizontal="center" vertical="center"/>
    </xf>
    <xf numFmtId="0" fontId="0" fillId="0" borderId="242" xfId="0" applyBorder="1"/>
    <xf numFmtId="0" fontId="0" fillId="0" borderId="242" xfId="0" quotePrefix="1" applyBorder="1"/>
    <xf numFmtId="2" fontId="0" fillId="24" borderId="243" xfId="15" applyNumberFormat="1" applyFont="1" applyFill="1" applyBorder="1" applyAlignment="1">
      <alignment horizontal="center"/>
    </xf>
    <xf numFmtId="168" fontId="0" fillId="24" borderId="243" xfId="15" applyNumberFormat="1" applyFont="1" applyFill="1" applyBorder="1" applyAlignment="1">
      <alignment horizontal="center"/>
    </xf>
    <xf numFmtId="169" fontId="0" fillId="24" borderId="243" xfId="15" applyNumberFormat="1" applyFont="1" applyFill="1" applyBorder="1" applyAlignment="1">
      <alignment horizontal="center"/>
    </xf>
    <xf numFmtId="169" fontId="0" fillId="24" borderId="243" xfId="0" applyNumberFormat="1" applyFill="1" applyBorder="1" applyAlignment="1">
      <alignment horizontal="center"/>
    </xf>
    <xf numFmtId="0" fontId="12" fillId="0" borderId="242" xfId="0" applyFont="1" applyBorder="1" applyAlignment="1">
      <alignment horizontal="center"/>
    </xf>
    <xf numFmtId="0" fontId="0" fillId="7" borderId="0" xfId="0" applyFill="1"/>
    <xf numFmtId="14" fontId="39" fillId="0" borderId="237" xfId="0" applyNumberFormat="1" applyFont="1" applyBorder="1" applyAlignment="1">
      <alignment horizontal="center" vertical="center"/>
    </xf>
    <xf numFmtId="178" fontId="8" fillId="24" borderId="17" xfId="0" applyNumberFormat="1" applyFont="1" applyFill="1" applyBorder="1" applyAlignment="1">
      <alignment horizontal="center"/>
    </xf>
    <xf numFmtId="179" fontId="8" fillId="24" borderId="17" xfId="33" applyNumberFormat="1" applyFont="1" applyFill="1" applyBorder="1" applyAlignment="1">
      <alignment horizontal="center" vertical="center"/>
    </xf>
    <xf numFmtId="10" fontId="0" fillId="24" borderId="243" xfId="15" applyNumberFormat="1" applyFont="1" applyFill="1" applyBorder="1" applyAlignment="1">
      <alignment horizontal="center"/>
    </xf>
    <xf numFmtId="0" fontId="34" fillId="0" borderId="0" xfId="0" applyFont="1" applyAlignment="1">
      <alignment horizontal="center"/>
    </xf>
    <xf numFmtId="180" fontId="63" fillId="8" borderId="49" xfId="0" applyNumberFormat="1" applyFont="1" applyFill="1" applyBorder="1" applyAlignment="1">
      <alignment horizontal="center"/>
    </xf>
    <xf numFmtId="3" fontId="34" fillId="19" borderId="0" xfId="0" applyNumberFormat="1" applyFont="1" applyFill="1"/>
    <xf numFmtId="10" fontId="34" fillId="19" borderId="0" xfId="0" applyNumberFormat="1" applyFont="1" applyFill="1"/>
    <xf numFmtId="0" fontId="86" fillId="0" borderId="0" xfId="34"/>
    <xf numFmtId="0" fontId="0" fillId="0" borderId="0" xfId="0" applyAlignment="1">
      <alignment horizontal="left" vertical="center" indent="1"/>
    </xf>
    <xf numFmtId="181" fontId="0" fillId="8" borderId="0" xfId="33" applyNumberFormat="1" applyFont="1" applyFill="1"/>
    <xf numFmtId="10" fontId="0" fillId="8" borderId="0" xfId="15" applyNumberFormat="1" applyFont="1" applyFill="1"/>
    <xf numFmtId="2" fontId="75" fillId="0" borderId="0" xfId="23" applyNumberFormat="1" applyFont="1" applyAlignment="1">
      <alignment horizontal="center"/>
    </xf>
    <xf numFmtId="2" fontId="8" fillId="0" borderId="0" xfId="23" applyNumberFormat="1"/>
    <xf numFmtId="181" fontId="0" fillId="0" borderId="0" xfId="0" applyNumberFormat="1"/>
    <xf numFmtId="0" fontId="8" fillId="8" borderId="0" xfId="0" applyFont="1" applyFill="1"/>
    <xf numFmtId="0" fontId="8" fillId="35" borderId="0" xfId="23" applyFill="1"/>
    <xf numFmtId="0" fontId="25" fillId="31" borderId="0" xfId="23" applyFont="1" applyFill="1"/>
    <xf numFmtId="182" fontId="25" fillId="31" borderId="0" xfId="23" applyNumberFormat="1" applyFont="1" applyFill="1"/>
    <xf numFmtId="183" fontId="25" fillId="31" borderId="0" xfId="23" applyNumberFormat="1" applyFont="1" applyFill="1"/>
    <xf numFmtId="0" fontId="87" fillId="31" borderId="0" xfId="23" applyFont="1" applyFill="1"/>
    <xf numFmtId="0" fontId="45" fillId="31" borderId="0" xfId="23" applyFont="1" applyFill="1"/>
    <xf numFmtId="0" fontId="8" fillId="47" borderId="0" xfId="23" applyFill="1"/>
    <xf numFmtId="10" fontId="8" fillId="0" borderId="0" xfId="15" applyNumberFormat="1"/>
    <xf numFmtId="10" fontId="8" fillId="0" borderId="0" xfId="15" applyNumberFormat="1" applyFont="1"/>
    <xf numFmtId="2" fontId="8" fillId="0" borderId="0" xfId="33" applyNumberFormat="1" applyFont="1"/>
    <xf numFmtId="0" fontId="75" fillId="0" borderId="0" xfId="0" applyFont="1" applyAlignment="1">
      <alignment horizontal="right"/>
    </xf>
    <xf numFmtId="10" fontId="8" fillId="35" borderId="0" xfId="15" applyNumberFormat="1" applyFill="1"/>
    <xf numFmtId="164" fontId="0" fillId="8" borderId="0" xfId="33" applyFont="1" applyFill="1" applyAlignment="1">
      <alignment horizontal="right"/>
    </xf>
    <xf numFmtId="164" fontId="0" fillId="0" borderId="0" xfId="33" applyFont="1" applyAlignment="1">
      <alignment horizontal="right"/>
    </xf>
    <xf numFmtId="164" fontId="0" fillId="0" borderId="0" xfId="33" applyFont="1" applyAlignment="1">
      <alignment horizontal="right" vertical="center" indent="1"/>
    </xf>
    <xf numFmtId="2" fontId="0" fillId="0" borderId="0" xfId="0" applyNumberFormat="1" applyAlignment="1">
      <alignment horizontal="right"/>
    </xf>
    <xf numFmtId="0" fontId="25" fillId="0" borderId="0" xfId="23" applyFont="1"/>
    <xf numFmtId="0" fontId="26" fillId="31" borderId="0" xfId="23" applyFont="1" applyFill="1"/>
    <xf numFmtId="2" fontId="8" fillId="47" borderId="0" xfId="23" applyNumberFormat="1" applyFill="1"/>
    <xf numFmtId="10" fontId="8" fillId="47" borderId="0" xfId="15" applyNumberFormat="1" applyFont="1" applyFill="1"/>
    <xf numFmtId="2" fontId="53" fillId="0" borderId="144" xfId="0" applyNumberFormat="1" applyFont="1" applyBorder="1" applyAlignment="1">
      <alignment horizontal="center" vertical="center"/>
    </xf>
    <xf numFmtId="2" fontId="53" fillId="0" borderId="39" xfId="0" applyNumberFormat="1" applyFont="1" applyBorder="1" applyAlignment="1">
      <alignment horizontal="center" vertical="center"/>
    </xf>
    <xf numFmtId="2" fontId="53" fillId="0" borderId="135" xfId="0" applyNumberFormat="1" applyFont="1" applyBorder="1" applyAlignment="1">
      <alignment horizontal="center" vertical="center"/>
    </xf>
    <xf numFmtId="37" fontId="53" fillId="0" borderId="144" xfId="33" applyNumberFormat="1" applyFont="1" applyBorder="1" applyAlignment="1">
      <alignment horizontal="center" vertical="center"/>
    </xf>
    <xf numFmtId="37" fontId="53" fillId="0" borderId="39" xfId="33" applyNumberFormat="1" applyFont="1" applyBorder="1" applyAlignment="1">
      <alignment horizontal="center" vertical="center"/>
    </xf>
    <xf numFmtId="37" fontId="53" fillId="0" borderId="135" xfId="33" applyNumberFormat="1" applyFont="1" applyBorder="1" applyAlignment="1">
      <alignment horizontal="center" vertical="center"/>
    </xf>
    <xf numFmtId="184" fontId="8" fillId="0" borderId="0" xfId="23" applyNumberFormat="1"/>
    <xf numFmtId="0" fontId="12" fillId="8" borderId="0" xfId="0" applyFont="1" applyFill="1"/>
    <xf numFmtId="0" fontId="26" fillId="31" borderId="0" xfId="34" applyFont="1" applyFill="1"/>
    <xf numFmtId="0" fontId="89" fillId="0" borderId="0" xfId="23" applyFont="1"/>
    <xf numFmtId="168" fontId="90" fillId="0" borderId="0" xfId="23" applyNumberFormat="1" applyFont="1"/>
    <xf numFmtId="9" fontId="8" fillId="0" borderId="0" xfId="23" applyNumberFormat="1"/>
    <xf numFmtId="4" fontId="8" fillId="0" borderId="0" xfId="23" applyNumberFormat="1"/>
    <xf numFmtId="10" fontId="76" fillId="46" borderId="0" xfId="15" applyNumberFormat="1" applyFont="1" applyFill="1" applyBorder="1" applyAlignment="1">
      <alignment horizontal="center"/>
    </xf>
    <xf numFmtId="164" fontId="8" fillId="0" borderId="0" xfId="33" applyFont="1"/>
    <xf numFmtId="43" fontId="8" fillId="0" borderId="0" xfId="23" applyNumberFormat="1"/>
    <xf numFmtId="176" fontId="75" fillId="0" borderId="0" xfId="23" applyNumberFormat="1" applyFont="1"/>
    <xf numFmtId="10" fontId="75" fillId="0" borderId="0" xfId="23" applyNumberFormat="1" applyFont="1"/>
    <xf numFmtId="10" fontId="75" fillId="0" borderId="0" xfId="15" applyNumberFormat="1" applyFont="1" applyAlignment="1"/>
    <xf numFmtId="0" fontId="75" fillId="0" borderId="0" xfId="23" applyFont="1"/>
    <xf numFmtId="10" fontId="92" fillId="0" borderId="0" xfId="15" applyNumberFormat="1" applyFont="1" applyAlignment="1"/>
    <xf numFmtId="0" fontId="92" fillId="0" borderId="0" xfId="0" applyFont="1"/>
    <xf numFmtId="2" fontId="8" fillId="0" borderId="0" xfId="23" applyNumberFormat="1" applyAlignment="1">
      <alignment vertical="center"/>
    </xf>
    <xf numFmtId="10" fontId="8" fillId="0" borderId="0" xfId="15" applyNumberFormat="1" applyBorder="1"/>
    <xf numFmtId="10" fontId="8" fillId="35" borderId="0" xfId="15" applyNumberFormat="1" applyFill="1" applyBorder="1"/>
    <xf numFmtId="164" fontId="8" fillId="0" borderId="0" xfId="33" applyFont="1" applyBorder="1"/>
    <xf numFmtId="0" fontId="8" fillId="17" borderId="0" xfId="34" applyFont="1" applyFill="1"/>
    <xf numFmtId="2" fontId="8" fillId="17" borderId="0" xfId="23" applyNumberFormat="1" applyFill="1"/>
    <xf numFmtId="10" fontId="8" fillId="17" borderId="0" xfId="23" applyNumberFormat="1" applyFill="1"/>
    <xf numFmtId="0" fontId="8" fillId="17" borderId="0" xfId="23" applyFill="1"/>
    <xf numFmtId="10" fontId="8" fillId="17" borderId="0" xfId="15" applyNumberFormat="1" applyFill="1"/>
    <xf numFmtId="0" fontId="91" fillId="17" borderId="0" xfId="23" applyFont="1" applyFill="1"/>
    <xf numFmtId="0" fontId="88" fillId="17" borderId="0" xfId="34" applyFont="1" applyFill="1"/>
    <xf numFmtId="4" fontId="8" fillId="17" borderId="0" xfId="23" applyNumberFormat="1" applyFill="1"/>
    <xf numFmtId="184" fontId="8" fillId="17" borderId="0" xfId="23" applyNumberFormat="1" applyFill="1"/>
    <xf numFmtId="164" fontId="8" fillId="17" borderId="0" xfId="33" applyFont="1" applyFill="1"/>
    <xf numFmtId="0" fontId="33" fillId="0" borderId="0" xfId="23" applyFont="1"/>
    <xf numFmtId="0" fontId="33" fillId="8" borderId="0" xfId="23" applyFont="1" applyFill="1"/>
    <xf numFmtId="0" fontId="33" fillId="4" borderId="0" xfId="23" applyFont="1" applyFill="1"/>
    <xf numFmtId="0" fontId="25" fillId="31" borderId="0" xfId="23" applyFont="1" applyFill="1" applyAlignment="1">
      <alignment horizontal="center" vertical="center"/>
    </xf>
    <xf numFmtId="0" fontId="33" fillId="4" borderId="0" xfId="23" applyFont="1" applyFill="1" applyAlignment="1">
      <alignment horizontal="center" vertical="center"/>
    </xf>
    <xf numFmtId="3" fontId="33" fillId="4" borderId="0" xfId="23" applyNumberFormat="1" applyFont="1" applyFill="1" applyAlignment="1">
      <alignment horizontal="center" vertical="center"/>
    </xf>
    <xf numFmtId="10" fontId="33" fillId="4" borderId="0" xfId="23" applyNumberFormat="1" applyFont="1" applyFill="1" applyAlignment="1">
      <alignment horizontal="center" vertical="center"/>
    </xf>
    <xf numFmtId="0" fontId="33" fillId="8" borderId="0" xfId="23" applyFont="1" applyFill="1" applyAlignment="1">
      <alignment horizontal="center" vertical="center"/>
    </xf>
    <xf numFmtId="0" fontId="63" fillId="4" borderId="0" xfId="23" applyFont="1" applyFill="1"/>
    <xf numFmtId="10" fontId="63" fillId="4" borderId="0" xfId="23" applyNumberFormat="1" applyFont="1" applyFill="1" applyAlignment="1">
      <alignment horizontal="center" vertical="center"/>
    </xf>
    <xf numFmtId="0" fontId="75" fillId="8" borderId="0" xfId="0" applyFont="1" applyFill="1" applyAlignment="1">
      <alignment horizontal="center"/>
    </xf>
    <xf numFmtId="0" fontId="8" fillId="4" borderId="0" xfId="23" applyFill="1" applyAlignment="1">
      <alignment horizontal="left" vertical="center"/>
    </xf>
    <xf numFmtId="0" fontId="8" fillId="4" borderId="0" xfId="23" applyFill="1" applyAlignment="1">
      <alignment horizontal="center" vertical="center"/>
    </xf>
    <xf numFmtId="0" fontId="86" fillId="4" borderId="0" xfId="34" applyFill="1" applyAlignment="1">
      <alignment horizontal="left" vertical="center"/>
    </xf>
    <xf numFmtId="10" fontId="8" fillId="4" borderId="0" xfId="23" applyNumberFormat="1" applyFill="1" applyAlignment="1">
      <alignment horizontal="center" vertical="center"/>
    </xf>
    <xf numFmtId="0" fontId="12" fillId="4" borderId="0" xfId="23" applyFont="1" applyFill="1" applyAlignment="1">
      <alignment horizontal="left" vertical="center"/>
    </xf>
    <xf numFmtId="10" fontId="12" fillId="4" borderId="0" xfId="23" applyNumberFormat="1" applyFont="1" applyFill="1" applyAlignment="1">
      <alignment horizontal="center" vertical="center"/>
    </xf>
    <xf numFmtId="0" fontId="86" fillId="4" borderId="0" xfId="34" applyFill="1"/>
    <xf numFmtId="10" fontId="8" fillId="4" borderId="0" xfId="23" applyNumberFormat="1" applyFill="1"/>
    <xf numFmtId="0" fontId="12" fillId="4" borderId="0" xfId="23" applyFont="1" applyFill="1"/>
    <xf numFmtId="10" fontId="12" fillId="4" borderId="0" xfId="23" applyNumberFormat="1" applyFont="1" applyFill="1"/>
    <xf numFmtId="0" fontId="75" fillId="0" borderId="0" xfId="23" applyFont="1" applyAlignment="1">
      <alignment horizontal="right" vertical="center"/>
    </xf>
    <xf numFmtId="10" fontId="75" fillId="0" borderId="0" xfId="23" applyNumberFormat="1" applyFont="1" applyAlignment="1">
      <alignment horizontal="right" vertical="center"/>
    </xf>
    <xf numFmtId="10" fontId="8" fillId="0" borderId="0" xfId="23" applyNumberFormat="1" applyAlignment="1">
      <alignment horizontal="right" vertical="center"/>
    </xf>
    <xf numFmtId="0" fontId="33" fillId="4" borderId="0" xfId="34" applyFont="1" applyFill="1"/>
    <xf numFmtId="0" fontId="89" fillId="8" borderId="0" xfId="23" applyFont="1" applyFill="1"/>
    <xf numFmtId="0" fontId="63" fillId="8" borderId="0" xfId="23" applyFont="1" applyFill="1"/>
    <xf numFmtId="3" fontId="33" fillId="4" borderId="0" xfId="23" applyNumberFormat="1" applyFont="1" applyFill="1"/>
    <xf numFmtId="3" fontId="8" fillId="4" borderId="0" xfId="23" applyNumberFormat="1" applyFill="1"/>
    <xf numFmtId="10" fontId="33" fillId="4" borderId="0" xfId="23" applyNumberFormat="1" applyFont="1" applyFill="1"/>
    <xf numFmtId="10" fontId="63" fillId="4" borderId="0" xfId="23" applyNumberFormat="1" applyFont="1" applyFill="1"/>
    <xf numFmtId="3" fontId="33" fillId="4" borderId="0" xfId="23" applyNumberFormat="1" applyFont="1" applyFill="1" applyAlignment="1">
      <alignment horizontal="right"/>
    </xf>
    <xf numFmtId="0" fontId="33" fillId="4" borderId="0" xfId="23" applyFont="1" applyFill="1" applyAlignment="1">
      <alignment horizontal="right"/>
    </xf>
    <xf numFmtId="10" fontId="33" fillId="4" borderId="0" xfId="23" applyNumberFormat="1" applyFont="1" applyFill="1" applyAlignment="1">
      <alignment horizontal="right"/>
    </xf>
    <xf numFmtId="10" fontId="8" fillId="4" borderId="0" xfId="23" applyNumberFormat="1" applyFill="1" applyAlignment="1">
      <alignment horizontal="right"/>
    </xf>
    <xf numFmtId="0" fontId="8" fillId="4" borderId="0" xfId="23" applyFill="1"/>
    <xf numFmtId="3" fontId="8" fillId="4" borderId="0" xfId="23" applyNumberFormat="1" applyFill="1" applyAlignment="1">
      <alignment horizontal="right"/>
    </xf>
    <xf numFmtId="3" fontId="0" fillId="4" borderId="0" xfId="23" applyNumberFormat="1" applyFont="1" applyFill="1"/>
    <xf numFmtId="0" fontId="8" fillId="4" borderId="0" xfId="23" applyFill="1" applyAlignment="1">
      <alignment horizontal="right"/>
    </xf>
    <xf numFmtId="3" fontId="0" fillId="4" borderId="0" xfId="23" applyNumberFormat="1" applyFont="1" applyFill="1" applyAlignment="1">
      <alignment horizontal="right"/>
    </xf>
    <xf numFmtId="1" fontId="8" fillId="4" borderId="0" xfId="23" applyNumberFormat="1" applyFill="1"/>
    <xf numFmtId="3" fontId="68" fillId="38" borderId="38" xfId="0" applyNumberFormat="1" applyFont="1" applyFill="1" applyBorder="1" applyAlignment="1">
      <alignment horizontal="center" vertical="center"/>
    </xf>
    <xf numFmtId="1" fontId="0" fillId="0" borderId="0" xfId="0" applyNumberFormat="1" applyAlignment="1">
      <alignment horizontal="center"/>
    </xf>
    <xf numFmtId="1" fontId="8" fillId="0" borderId="225" xfId="0" quotePrefix="1" applyNumberFormat="1" applyFont="1" applyBorder="1" applyAlignment="1">
      <alignment horizontal="center" vertical="center"/>
    </xf>
    <xf numFmtId="1" fontId="8" fillId="0" borderId="39" xfId="0" quotePrefix="1" applyNumberFormat="1" applyFont="1" applyBorder="1" applyAlignment="1">
      <alignment horizontal="center" vertical="center"/>
    </xf>
    <xf numFmtId="1" fontId="8" fillId="0" borderId="38" xfId="0" quotePrefix="1" applyNumberFormat="1" applyFont="1" applyBorder="1" applyAlignment="1">
      <alignment horizontal="center" vertical="center"/>
    </xf>
    <xf numFmtId="1" fontId="8" fillId="0" borderId="209" xfId="0" quotePrefix="1" applyNumberFormat="1" applyFont="1" applyBorder="1" applyAlignment="1">
      <alignment horizontal="center" vertical="center"/>
    </xf>
    <xf numFmtId="1" fontId="8" fillId="0" borderId="222" xfId="0" quotePrefix="1" applyNumberFormat="1" applyFont="1" applyBorder="1" applyAlignment="1">
      <alignment horizontal="center" vertical="center"/>
    </xf>
    <xf numFmtId="166" fontId="0" fillId="0" borderId="89" xfId="0" applyNumberFormat="1" applyBorder="1" applyAlignment="1">
      <alignment horizontal="center"/>
    </xf>
    <xf numFmtId="9" fontId="8" fillId="9" borderId="88" xfId="15" applyFont="1" applyFill="1" applyBorder="1" applyAlignment="1">
      <alignment horizontal="center"/>
    </xf>
    <xf numFmtId="0" fontId="0" fillId="0" borderId="52" xfId="0" applyBorder="1" applyAlignment="1">
      <alignment horizontal="center" vertical="center"/>
    </xf>
    <xf numFmtId="0" fontId="0" fillId="0" borderId="52" xfId="0" applyBorder="1" applyAlignment="1">
      <alignment horizontal="center"/>
    </xf>
    <xf numFmtId="1" fontId="8" fillId="0" borderId="0" xfId="23" applyNumberFormat="1"/>
    <xf numFmtId="0" fontId="25" fillId="31" borderId="30" xfId="23" applyFont="1" applyFill="1" applyBorder="1"/>
    <xf numFmtId="182" fontId="25" fillId="31" borderId="30" xfId="23" applyNumberFormat="1" applyFont="1" applyFill="1" applyBorder="1"/>
    <xf numFmtId="0" fontId="8" fillId="17" borderId="30" xfId="23" applyFill="1" applyBorder="1"/>
    <xf numFmtId="0" fontId="8" fillId="31" borderId="30" xfId="23" applyFill="1" applyBorder="1"/>
    <xf numFmtId="2" fontId="8" fillId="17" borderId="30" xfId="23" applyNumberFormat="1" applyFill="1" applyBorder="1"/>
    <xf numFmtId="10" fontId="8" fillId="17" borderId="30" xfId="23" applyNumberFormat="1" applyFill="1" applyBorder="1"/>
    <xf numFmtId="10" fontId="8" fillId="17" borderId="30" xfId="15" applyNumberFormat="1" applyFill="1" applyBorder="1"/>
    <xf numFmtId="10" fontId="8" fillId="35" borderId="30" xfId="15" applyNumberFormat="1" applyFill="1" applyBorder="1"/>
    <xf numFmtId="184" fontId="8" fillId="17" borderId="30" xfId="23" applyNumberFormat="1" applyFill="1" applyBorder="1"/>
    <xf numFmtId="164" fontId="8" fillId="17" borderId="30" xfId="33" applyFont="1" applyFill="1" applyBorder="1"/>
    <xf numFmtId="4" fontId="8" fillId="17" borderId="30" xfId="23" applyNumberFormat="1" applyFill="1" applyBorder="1"/>
    <xf numFmtId="1" fontId="68" fillId="38" borderId="38" xfId="0" applyNumberFormat="1" applyFont="1" applyFill="1" applyBorder="1" applyAlignment="1">
      <alignment horizontal="center" vertical="center"/>
    </xf>
    <xf numFmtId="1" fontId="68" fillId="38" borderId="39" xfId="0" applyNumberFormat="1" applyFont="1" applyFill="1" applyBorder="1" applyAlignment="1">
      <alignment horizontal="center" vertical="center"/>
    </xf>
    <xf numFmtId="1" fontId="68" fillId="38" borderId="37" xfId="0" applyNumberFormat="1" applyFont="1" applyFill="1" applyBorder="1" applyAlignment="1">
      <alignment horizontal="center" vertical="center"/>
    </xf>
    <xf numFmtId="170" fontId="75" fillId="0" borderId="0" xfId="23" applyNumberFormat="1" applyFont="1"/>
    <xf numFmtId="177" fontId="8" fillId="24" borderId="17" xfId="0" applyNumberFormat="1" applyFont="1" applyFill="1" applyBorder="1" applyAlignment="1">
      <alignment horizontal="center"/>
    </xf>
    <xf numFmtId="0" fontId="93" fillId="8" borderId="0" xfId="0" applyFont="1" applyFill="1" applyAlignment="1">
      <alignment horizontal="center"/>
    </xf>
    <xf numFmtId="0" fontId="0" fillId="17" borderId="0" xfId="23" applyFont="1" applyFill="1"/>
    <xf numFmtId="3" fontId="58" fillId="41" borderId="144" xfId="0" applyNumberFormat="1" applyFont="1" applyFill="1" applyBorder="1" applyAlignment="1">
      <alignment horizontal="center" vertical="center"/>
    </xf>
    <xf numFmtId="3" fontId="58" fillId="41" borderId="37" xfId="0" applyNumberFormat="1" applyFont="1" applyFill="1" applyBorder="1" applyAlignment="1">
      <alignment horizontal="center" vertical="center"/>
    </xf>
    <xf numFmtId="3" fontId="58" fillId="41" borderId="39" xfId="0" applyNumberFormat="1" applyFont="1" applyFill="1" applyBorder="1" applyAlignment="1">
      <alignment horizontal="center" vertical="center"/>
    </xf>
    <xf numFmtId="1" fontId="53" fillId="0" borderId="32" xfId="0" applyNumberFormat="1" applyFont="1" applyBorder="1" applyAlignment="1">
      <alignment horizontal="center" vertical="center"/>
    </xf>
    <xf numFmtId="3" fontId="53" fillId="40" borderId="2" xfId="0" applyNumberFormat="1" applyFont="1" applyFill="1" applyBorder="1" applyAlignment="1">
      <alignment horizontal="center" vertical="center"/>
    </xf>
    <xf numFmtId="1" fontId="68" fillId="0" borderId="209" xfId="0" applyNumberFormat="1" applyFont="1" applyBorder="1" applyAlignment="1">
      <alignment horizontal="center" vertical="center"/>
    </xf>
    <xf numFmtId="1" fontId="68" fillId="0" borderId="38" xfId="0" applyNumberFormat="1" applyFont="1" applyBorder="1" applyAlignment="1">
      <alignment horizontal="center" vertical="center"/>
    </xf>
    <xf numFmtId="1" fontId="68" fillId="0" borderId="3" xfId="0" applyNumberFormat="1" applyFont="1" applyBorder="1" applyAlignment="1">
      <alignment horizontal="center" vertical="center"/>
    </xf>
    <xf numFmtId="1" fontId="61" fillId="0" borderId="2" xfId="0" applyNumberFormat="1" applyFont="1" applyBorder="1" applyAlignment="1">
      <alignment horizontal="center" vertical="center"/>
    </xf>
    <xf numFmtId="1" fontId="68" fillId="0" borderId="109" xfId="0" applyNumberFormat="1" applyFont="1" applyBorder="1" applyAlignment="1">
      <alignment horizontal="center" vertical="center"/>
    </xf>
    <xf numFmtId="1" fontId="24" fillId="0" borderId="3" xfId="0" applyNumberFormat="1" applyFont="1" applyBorder="1" applyAlignment="1">
      <alignment horizontal="center" vertical="center"/>
    </xf>
    <xf numFmtId="3" fontId="68" fillId="38" borderId="1" xfId="0" applyNumberFormat="1" applyFont="1" applyFill="1" applyBorder="1" applyAlignment="1">
      <alignment horizontal="center" vertical="center"/>
    </xf>
    <xf numFmtId="3" fontId="68" fillId="38" borderId="268" xfId="0" applyNumberFormat="1" applyFont="1" applyFill="1" applyBorder="1" applyAlignment="1">
      <alignment horizontal="center" vertical="center"/>
    </xf>
    <xf numFmtId="1" fontId="24" fillId="0" borderId="222" xfId="0" applyNumberFormat="1" applyFont="1" applyBorder="1" applyAlignment="1">
      <alignment horizontal="center" vertical="center"/>
    </xf>
    <xf numFmtId="1" fontId="68" fillId="0" borderId="268" xfId="0" applyNumberFormat="1" applyFont="1" applyBorder="1" applyAlignment="1">
      <alignment horizontal="center" vertical="center"/>
    </xf>
    <xf numFmtId="1" fontId="61" fillId="0" borderId="222" xfId="0" applyNumberFormat="1" applyFont="1" applyBorder="1" applyAlignment="1">
      <alignment horizontal="center" vertical="center"/>
    </xf>
    <xf numFmtId="3" fontId="68" fillId="38" borderId="221" xfId="0" applyNumberFormat="1" applyFont="1" applyFill="1" applyBorder="1" applyAlignment="1">
      <alignment horizontal="center" vertical="center"/>
    </xf>
    <xf numFmtId="3" fontId="53" fillId="40" borderId="31" xfId="0" applyNumberFormat="1" applyFont="1" applyFill="1" applyBorder="1" applyAlignment="1">
      <alignment horizontal="center" vertical="center"/>
    </xf>
    <xf numFmtId="3" fontId="53" fillId="0" borderId="0" xfId="0" applyNumberFormat="1" applyFont="1"/>
    <xf numFmtId="2" fontId="58" fillId="40" borderId="158" xfId="0" applyNumberFormat="1" applyFont="1" applyFill="1" applyBorder="1" applyAlignment="1">
      <alignment horizontal="center" vertical="center"/>
    </xf>
    <xf numFmtId="2" fontId="53" fillId="40" borderId="161" xfId="0" applyNumberFormat="1" applyFont="1" applyFill="1" applyBorder="1" applyAlignment="1">
      <alignment horizontal="center" vertical="center"/>
    </xf>
    <xf numFmtId="2" fontId="0" fillId="0" borderId="0" xfId="23" applyNumberFormat="1" applyFont="1"/>
    <xf numFmtId="4" fontId="0" fillId="17" borderId="30" xfId="23" applyNumberFormat="1" applyFont="1" applyFill="1" applyBorder="1"/>
    <xf numFmtId="4" fontId="0" fillId="17" borderId="0" xfId="23" applyNumberFormat="1" applyFont="1" applyFill="1"/>
    <xf numFmtId="3" fontId="8" fillId="0" borderId="104" xfId="25" applyNumberFormat="1" applyBorder="1" applyAlignment="1">
      <alignment vertical="center"/>
    </xf>
    <xf numFmtId="170" fontId="8" fillId="8" borderId="104" xfId="6" applyFont="1" applyFill="1" applyBorder="1" applyAlignment="1">
      <alignment horizontal="center" vertical="center" wrapText="1"/>
    </xf>
    <xf numFmtId="0" fontId="8" fillId="0" borderId="104" xfId="10" applyFont="1" applyFill="1" applyBorder="1" applyAlignment="1">
      <alignment horizontal="center" vertical="center" wrapText="1"/>
    </xf>
    <xf numFmtId="10" fontId="33" fillId="0" borderId="0" xfId="0" applyNumberFormat="1" applyFont="1" applyAlignment="1">
      <alignment horizontal="center"/>
    </xf>
    <xf numFmtId="10" fontId="33" fillId="0" borderId="0" xfId="0" applyNumberFormat="1" applyFont="1" applyAlignment="1">
      <alignment horizontal="center" vertical="center"/>
    </xf>
    <xf numFmtId="10" fontId="33" fillId="0" borderId="0" xfId="0" applyNumberFormat="1" applyFont="1"/>
    <xf numFmtId="2" fontId="0" fillId="28" borderId="87" xfId="0" applyNumberFormat="1" applyFill="1" applyBorder="1" applyAlignment="1">
      <alignment horizontal="center"/>
    </xf>
    <xf numFmtId="2" fontId="8" fillId="28" borderId="87" xfId="0" applyNumberFormat="1" applyFont="1" applyFill="1" applyBorder="1" applyAlignment="1">
      <alignment horizontal="center"/>
    </xf>
    <xf numFmtId="2" fontId="8" fillId="28" borderId="89" xfId="0" applyNumberFormat="1" applyFont="1" applyFill="1" applyBorder="1" applyAlignment="1">
      <alignment horizontal="center"/>
    </xf>
    <xf numFmtId="169" fontId="0" fillId="12" borderId="89" xfId="0" applyNumberFormat="1" applyFill="1" applyBorder="1" applyAlignment="1">
      <alignment horizontal="center"/>
    </xf>
    <xf numFmtId="2" fontId="0" fillId="12" borderId="88" xfId="0" applyNumberFormat="1" applyFill="1" applyBorder="1" applyAlignment="1">
      <alignment horizontal="center"/>
    </xf>
    <xf numFmtId="9" fontId="0" fillId="12" borderId="89" xfId="15" applyFont="1" applyFill="1" applyBorder="1" applyAlignment="1">
      <alignment horizontal="center"/>
    </xf>
    <xf numFmtId="4" fontId="8" fillId="0" borderId="104" xfId="25" applyNumberFormat="1" applyBorder="1" applyAlignment="1">
      <alignment vertical="center"/>
    </xf>
    <xf numFmtId="0" fontId="0" fillId="0" borderId="0" xfId="0" applyAlignment="1">
      <alignment horizontal="right" wrapText="1"/>
    </xf>
    <xf numFmtId="2" fontId="53" fillId="0" borderId="2" xfId="0" applyNumberFormat="1" applyFont="1" applyBorder="1" applyAlignment="1">
      <alignment horizontal="center" vertical="center"/>
    </xf>
    <xf numFmtId="1" fontId="53" fillId="0" borderId="109" xfId="0" applyNumberFormat="1" applyFont="1" applyBorder="1" applyAlignment="1">
      <alignment horizontal="center" vertical="center"/>
    </xf>
    <xf numFmtId="1" fontId="53" fillId="0" borderId="272" xfId="0" applyNumberFormat="1" applyFont="1" applyBorder="1" applyAlignment="1">
      <alignment horizontal="center" vertical="center"/>
    </xf>
    <xf numFmtId="2" fontId="53" fillId="0" borderId="32" xfId="0" applyNumberFormat="1" applyFont="1" applyBorder="1" applyAlignment="1">
      <alignment horizontal="center" vertical="center"/>
    </xf>
    <xf numFmtId="1" fontId="53" fillId="0" borderId="274" xfId="0" applyNumberFormat="1" applyFont="1" applyBorder="1" applyAlignment="1">
      <alignment horizontal="center" vertical="center"/>
    </xf>
    <xf numFmtId="1" fontId="53" fillId="0" borderId="275" xfId="0" applyNumberFormat="1" applyFont="1" applyBorder="1" applyAlignment="1">
      <alignment horizontal="center" vertical="center"/>
    </xf>
    <xf numFmtId="1" fontId="53" fillId="0" borderId="276" xfId="0" applyNumberFormat="1" applyFont="1" applyBorder="1" applyAlignment="1">
      <alignment horizontal="center" vertical="center"/>
    </xf>
    <xf numFmtId="1" fontId="53" fillId="0" borderId="277" xfId="0" applyNumberFormat="1" applyFont="1" applyBorder="1" applyAlignment="1">
      <alignment horizontal="center" vertical="center"/>
    </xf>
    <xf numFmtId="1" fontId="53" fillId="0" borderId="278" xfId="0" applyNumberFormat="1" applyFont="1" applyBorder="1" applyAlignment="1">
      <alignment horizontal="center" vertical="center"/>
    </xf>
    <xf numFmtId="1" fontId="53" fillId="0" borderId="279" xfId="0" applyNumberFormat="1" applyFont="1" applyBorder="1" applyAlignment="1">
      <alignment horizontal="center" vertical="center"/>
    </xf>
    <xf numFmtId="1" fontId="53" fillId="0" borderId="280" xfId="0" applyNumberFormat="1" applyFont="1" applyBorder="1" applyAlignment="1">
      <alignment horizontal="center" vertical="center"/>
    </xf>
    <xf numFmtId="1" fontId="53" fillId="0" borderId="281" xfId="0" applyNumberFormat="1" applyFont="1" applyBorder="1" applyAlignment="1">
      <alignment horizontal="center" vertical="center"/>
    </xf>
    <xf numFmtId="0" fontId="20" fillId="0" borderId="259" xfId="0" applyFont="1" applyBorder="1" applyAlignment="1">
      <alignment horizontal="center" wrapText="1"/>
    </xf>
    <xf numFmtId="0" fontId="20" fillId="0" borderId="20" xfId="0" applyFont="1" applyBorder="1" applyAlignment="1">
      <alignment horizontal="center" wrapText="1"/>
    </xf>
    <xf numFmtId="0" fontId="20" fillId="0" borderId="256" xfId="0" applyFont="1" applyBorder="1" applyAlignment="1">
      <alignment horizontal="center" vertical="center" wrapText="1"/>
    </xf>
    <xf numFmtId="0" fontId="20" fillId="0" borderId="260" xfId="0" applyFont="1" applyBorder="1" applyAlignment="1">
      <alignment horizontal="center" vertical="center" wrapText="1"/>
    </xf>
    <xf numFmtId="0" fontId="20" fillId="0" borderId="43" xfId="0" applyFont="1" applyBorder="1" applyAlignment="1">
      <alignment horizontal="center" vertical="center" wrapText="1"/>
    </xf>
    <xf numFmtId="0" fontId="20" fillId="0" borderId="261" xfId="0" applyFont="1" applyBorder="1" applyAlignment="1">
      <alignment horizontal="center" vertical="center" wrapText="1"/>
    </xf>
    <xf numFmtId="0" fontId="20" fillId="0" borderId="262" xfId="0" applyFont="1" applyBorder="1" applyAlignment="1">
      <alignment horizontal="center" vertical="center" wrapText="1"/>
    </xf>
    <xf numFmtId="0" fontId="20" fillId="0" borderId="23" xfId="0" applyFont="1" applyBorder="1" applyAlignment="1">
      <alignment horizontal="center" vertical="center" wrapText="1"/>
    </xf>
    <xf numFmtId="0" fontId="46" fillId="5" borderId="27" xfId="0" applyFont="1" applyFill="1" applyBorder="1" applyAlignment="1">
      <alignment horizontal="center"/>
    </xf>
    <xf numFmtId="0" fontId="46" fillId="5" borderId="245" xfId="0" applyFont="1" applyFill="1" applyBorder="1" applyAlignment="1">
      <alignment horizontal="center"/>
    </xf>
    <xf numFmtId="0" fontId="46" fillId="5" borderId="259" xfId="0" applyFont="1" applyFill="1" applyBorder="1" applyAlignment="1">
      <alignment horizontal="center"/>
    </xf>
    <xf numFmtId="0" fontId="46" fillId="5" borderId="20" xfId="0" applyFont="1" applyFill="1" applyBorder="1" applyAlignment="1">
      <alignment horizontal="center"/>
    </xf>
    <xf numFmtId="0" fontId="46" fillId="5" borderId="23" xfId="0" applyFont="1" applyFill="1" applyBorder="1" applyAlignment="1">
      <alignment horizontal="center"/>
    </xf>
    <xf numFmtId="0" fontId="45" fillId="18" borderId="256" xfId="0" applyFont="1" applyFill="1" applyBorder="1" applyAlignment="1">
      <alignment horizontal="center"/>
    </xf>
    <xf numFmtId="0" fontId="45" fillId="18" borderId="257" xfId="0" applyFont="1" applyFill="1" applyBorder="1" applyAlignment="1">
      <alignment horizontal="center"/>
    </xf>
    <xf numFmtId="0" fontId="45" fillId="18" borderId="258" xfId="0" applyFont="1" applyFill="1" applyBorder="1" applyAlignment="1">
      <alignment horizontal="center"/>
    </xf>
    <xf numFmtId="0" fontId="45" fillId="18" borderId="253" xfId="0" applyFont="1" applyFill="1" applyBorder="1" applyAlignment="1">
      <alignment horizontal="center"/>
    </xf>
    <xf numFmtId="0" fontId="45" fillId="18" borderId="254" xfId="0" applyFont="1" applyFill="1" applyBorder="1" applyAlignment="1">
      <alignment horizontal="center"/>
    </xf>
    <xf numFmtId="0" fontId="45" fillId="18" borderId="255" xfId="0" applyFont="1" applyFill="1" applyBorder="1" applyAlignment="1">
      <alignment horizontal="center"/>
    </xf>
    <xf numFmtId="167" fontId="9" fillId="12" borderId="120" xfId="0" applyNumberFormat="1" applyFont="1" applyFill="1" applyBorder="1" applyAlignment="1">
      <alignment horizontal="center" vertical="center"/>
    </xf>
    <xf numFmtId="167" fontId="9" fillId="12" borderId="117" xfId="0" applyNumberFormat="1" applyFont="1" applyFill="1" applyBorder="1" applyAlignment="1">
      <alignment horizontal="center" vertical="center"/>
    </xf>
    <xf numFmtId="167" fontId="9" fillId="12" borderId="247" xfId="0" applyNumberFormat="1" applyFont="1" applyFill="1" applyBorder="1" applyAlignment="1">
      <alignment horizontal="center" vertical="center"/>
    </xf>
    <xf numFmtId="0" fontId="12" fillId="0" borderId="19" xfId="0" applyFont="1" applyBorder="1" applyAlignment="1">
      <alignment horizontal="center"/>
    </xf>
    <xf numFmtId="0" fontId="12" fillId="0" borderId="20" xfId="0" applyFont="1" applyBorder="1" applyAlignment="1">
      <alignment horizontal="center"/>
    </xf>
    <xf numFmtId="0" fontId="8" fillId="8" borderId="21" xfId="0" applyFont="1" applyFill="1" applyBorder="1" applyAlignment="1">
      <alignment horizontal="left" vertical="center"/>
    </xf>
    <xf numFmtId="0" fontId="8" fillId="8" borderId="20" xfId="0" applyFont="1" applyFill="1" applyBorder="1" applyAlignment="1">
      <alignment horizontal="left" vertical="center"/>
    </xf>
    <xf numFmtId="0" fontId="12" fillId="8" borderId="21" xfId="15" applyNumberFormat="1" applyFont="1" applyFill="1" applyBorder="1" applyAlignment="1">
      <alignment horizontal="left"/>
    </xf>
    <xf numFmtId="0" fontId="12" fillId="8" borderId="20" xfId="15" applyNumberFormat="1" applyFont="1" applyFill="1" applyBorder="1" applyAlignment="1">
      <alignment horizontal="left"/>
    </xf>
    <xf numFmtId="0" fontId="0" fillId="8" borderId="21" xfId="0" applyFill="1" applyBorder="1" applyAlignment="1">
      <alignment horizontal="center" vertical="center" wrapText="1"/>
    </xf>
    <xf numFmtId="0" fontId="0" fillId="8" borderId="20" xfId="0" applyFill="1" applyBorder="1" applyAlignment="1">
      <alignment horizontal="center" vertical="center" wrapText="1"/>
    </xf>
    <xf numFmtId="0" fontId="26" fillId="32" borderId="21" xfId="0" applyFont="1" applyFill="1" applyBorder="1" applyAlignment="1">
      <alignment horizontal="center" vertical="center" wrapText="1"/>
    </xf>
    <xf numFmtId="0" fontId="26" fillId="32" borderId="244" xfId="0" applyFont="1" applyFill="1" applyBorder="1" applyAlignment="1">
      <alignment horizontal="center" vertical="center" wrapText="1"/>
    </xf>
    <xf numFmtId="0" fontId="0" fillId="8" borderId="244" xfId="0" applyFill="1" applyBorder="1" applyAlignment="1">
      <alignment horizontal="center" vertical="center" wrapText="1"/>
    </xf>
    <xf numFmtId="0" fontId="62" fillId="8" borderId="45" xfId="0" applyFont="1" applyFill="1" applyBorder="1" applyAlignment="1">
      <alignment horizontal="center"/>
    </xf>
    <xf numFmtId="0" fontId="26" fillId="8" borderId="45" xfId="0" applyFont="1" applyFill="1" applyBorder="1" applyAlignment="1">
      <alignment horizontal="center"/>
    </xf>
    <xf numFmtId="0" fontId="62" fillId="8" borderId="50" xfId="0" applyFont="1" applyFill="1" applyBorder="1" applyAlignment="1">
      <alignment horizontal="center"/>
    </xf>
    <xf numFmtId="0" fontId="62" fillId="8" borderId="72" xfId="0" applyFont="1" applyFill="1" applyBorder="1" applyAlignment="1">
      <alignment horizontal="center"/>
    </xf>
    <xf numFmtId="0" fontId="62" fillId="8" borderId="51" xfId="0" applyFont="1" applyFill="1" applyBorder="1" applyAlignment="1">
      <alignment horizontal="center"/>
    </xf>
    <xf numFmtId="0" fontId="84" fillId="8" borderId="45" xfId="0" applyFont="1" applyFill="1" applyBorder="1" applyAlignment="1">
      <alignment horizontal="center"/>
    </xf>
    <xf numFmtId="0" fontId="26" fillId="32" borderId="250" xfId="0" applyFont="1" applyFill="1" applyBorder="1" applyAlignment="1">
      <alignment horizontal="center"/>
    </xf>
    <xf numFmtId="0" fontId="26" fillId="32" borderId="72" xfId="0" applyFont="1" applyFill="1" applyBorder="1" applyAlignment="1">
      <alignment horizontal="center"/>
    </xf>
    <xf numFmtId="0" fontId="26" fillId="32" borderId="51" xfId="0" applyFont="1" applyFill="1" applyBorder="1" applyAlignment="1">
      <alignment horizontal="center"/>
    </xf>
    <xf numFmtId="0" fontId="0" fillId="0" borderId="149" xfId="0" applyBorder="1" applyAlignment="1">
      <alignment horizontal="left" vertical="center" wrapText="1"/>
    </xf>
    <xf numFmtId="0" fontId="0" fillId="0" borderId="150" xfId="0" applyBorder="1" applyAlignment="1">
      <alignment horizontal="left" vertical="center" wrapText="1"/>
    </xf>
    <xf numFmtId="0" fontId="0" fillId="0" borderId="0" xfId="0" applyAlignment="1">
      <alignment horizontal="left" vertical="center" wrapText="1"/>
    </xf>
    <xf numFmtId="0" fontId="0" fillId="0" borderId="151" xfId="0" applyBorder="1" applyAlignment="1">
      <alignment horizontal="left" vertical="center" wrapText="1"/>
    </xf>
    <xf numFmtId="0" fontId="0" fillId="0" borderId="152" xfId="0" applyBorder="1" applyAlignment="1">
      <alignment horizontal="left" vertical="center" wrapText="1"/>
    </xf>
    <xf numFmtId="0" fontId="0" fillId="0" borderId="153" xfId="0" applyBorder="1" applyAlignment="1">
      <alignment horizontal="left" vertical="center" wrapText="1"/>
    </xf>
    <xf numFmtId="0" fontId="46" fillId="5" borderId="50" xfId="0" applyFont="1" applyFill="1" applyBorder="1" applyAlignment="1">
      <alignment horizontal="center"/>
    </xf>
    <xf numFmtId="0" fontId="46" fillId="5" borderId="72" xfId="0" applyFont="1" applyFill="1" applyBorder="1" applyAlignment="1">
      <alignment horizontal="center"/>
    </xf>
    <xf numFmtId="0" fontId="46" fillId="5" borderId="251" xfId="0" applyFont="1" applyFill="1" applyBorder="1" applyAlignment="1">
      <alignment horizontal="center"/>
    </xf>
    <xf numFmtId="0" fontId="46" fillId="5" borderId="250" xfId="0" applyFont="1" applyFill="1" applyBorder="1" applyAlignment="1">
      <alignment horizontal="center"/>
    </xf>
    <xf numFmtId="0" fontId="46" fillId="5" borderId="51" xfId="0" applyFont="1" applyFill="1" applyBorder="1" applyAlignment="1">
      <alignment horizontal="center"/>
    </xf>
    <xf numFmtId="0" fontId="33" fillId="0" borderId="154" xfId="0" applyFont="1" applyBorder="1" applyAlignment="1">
      <alignment horizontal="left" vertical="center" wrapText="1"/>
    </xf>
    <xf numFmtId="0" fontId="33" fillId="0" borderId="149" xfId="0" applyFont="1" applyBorder="1" applyAlignment="1">
      <alignment horizontal="left" vertical="center" wrapText="1"/>
    </xf>
    <xf numFmtId="0" fontId="33" fillId="0" borderId="150" xfId="0" applyFont="1" applyBorder="1" applyAlignment="1">
      <alignment horizontal="left" vertical="center" wrapText="1"/>
    </xf>
    <xf numFmtId="0" fontId="33" fillId="0" borderId="155" xfId="0" applyFont="1" applyBorder="1" applyAlignment="1">
      <alignment horizontal="left" vertical="center" wrapText="1"/>
    </xf>
    <xf numFmtId="0" fontId="33" fillId="0" borderId="0" xfId="0" applyFont="1" applyAlignment="1">
      <alignment horizontal="left" vertical="center" wrapText="1"/>
    </xf>
    <xf numFmtId="0" fontId="33" fillId="0" borderId="151" xfId="0" applyFont="1" applyBorder="1" applyAlignment="1">
      <alignment horizontal="left" vertical="center" wrapText="1"/>
    </xf>
    <xf numFmtId="0" fontId="33" fillId="0" borderId="156" xfId="0" applyFont="1" applyBorder="1" applyAlignment="1">
      <alignment horizontal="left" vertical="center" wrapText="1"/>
    </xf>
    <xf numFmtId="0" fontId="33" fillId="0" borderId="152" xfId="0" applyFont="1" applyBorder="1" applyAlignment="1">
      <alignment horizontal="left" vertical="center" wrapText="1"/>
    </xf>
    <xf numFmtId="0" fontId="33" fillId="0" borderId="153" xfId="0" applyFont="1" applyBorder="1" applyAlignment="1">
      <alignment horizontal="left" vertical="center" wrapText="1"/>
    </xf>
    <xf numFmtId="0" fontId="26" fillId="32" borderId="21" xfId="0" applyFont="1" applyFill="1" applyBorder="1" applyAlignment="1">
      <alignment horizontal="center"/>
    </xf>
    <xf numFmtId="0" fontId="26" fillId="32" borderId="19" xfId="0" applyFont="1" applyFill="1" applyBorder="1" applyAlignment="1">
      <alignment horizontal="center"/>
    </xf>
    <xf numFmtId="14" fontId="12" fillId="0" borderId="21" xfId="0" applyNumberFormat="1" applyFont="1" applyBorder="1" applyAlignment="1">
      <alignment horizontal="center"/>
    </xf>
    <xf numFmtId="14" fontId="12" fillId="0" borderId="20" xfId="0" applyNumberFormat="1" applyFont="1" applyBorder="1" applyAlignment="1">
      <alignment horizontal="center"/>
    </xf>
    <xf numFmtId="0" fontId="8" fillId="0" borderId="21" xfId="0" applyFont="1" applyBorder="1" applyAlignment="1">
      <alignment horizontal="left"/>
    </xf>
    <xf numFmtId="0" fontId="8" fillId="0" borderId="20" xfId="0" applyFont="1" applyBorder="1" applyAlignment="1">
      <alignment horizontal="left"/>
    </xf>
    <xf numFmtId="0" fontId="8" fillId="0" borderId="21" xfId="0" quotePrefix="1" applyFont="1" applyBorder="1" applyAlignment="1">
      <alignment horizontal="left"/>
    </xf>
    <xf numFmtId="0" fontId="8" fillId="0" borderId="20" xfId="0" quotePrefix="1" applyFont="1" applyBorder="1" applyAlignment="1">
      <alignment horizontal="left"/>
    </xf>
    <xf numFmtId="0" fontId="46" fillId="5" borderId="22" xfId="0" applyFont="1" applyFill="1" applyBorder="1" applyAlignment="1">
      <alignment horizontal="center"/>
    </xf>
    <xf numFmtId="0" fontId="9" fillId="0" borderId="238" xfId="0" applyFont="1" applyBorder="1" applyAlignment="1">
      <alignment horizontal="center" vertical="center"/>
    </xf>
    <xf numFmtId="0" fontId="9" fillId="0" borderId="56" xfId="0" applyFont="1" applyBorder="1" applyAlignment="1">
      <alignment horizontal="center" vertical="center"/>
    </xf>
    <xf numFmtId="0" fontId="9" fillId="0" borderId="239" xfId="0" applyFont="1" applyBorder="1" applyAlignment="1">
      <alignment horizontal="center" vertical="center"/>
    </xf>
    <xf numFmtId="0" fontId="66" fillId="8" borderId="263" xfId="0" applyFont="1" applyFill="1" applyBorder="1" applyAlignment="1">
      <alignment horizontal="center" vertical="center" wrapText="1"/>
    </xf>
    <xf numFmtId="0" fontId="66" fillId="8" borderId="257" xfId="0" applyFont="1" applyFill="1" applyBorder="1" applyAlignment="1">
      <alignment horizontal="center" vertical="center" wrapText="1"/>
    </xf>
    <xf numFmtId="0" fontId="66" fillId="8" borderId="260" xfId="0" applyFont="1" applyFill="1" applyBorder="1" applyAlignment="1">
      <alignment horizontal="center" vertical="center" wrapText="1"/>
    </xf>
    <xf numFmtId="0" fontId="66" fillId="8" borderId="264" xfId="0" applyFont="1" applyFill="1" applyBorder="1" applyAlignment="1">
      <alignment horizontal="center" vertical="center" wrapText="1"/>
    </xf>
    <xf numFmtId="0" fontId="66" fillId="8" borderId="0" xfId="0" applyFont="1" applyFill="1" applyAlignment="1">
      <alignment horizontal="center" vertical="center" wrapText="1"/>
    </xf>
    <xf numFmtId="0" fontId="66" fillId="8" borderId="261" xfId="0" applyFont="1" applyFill="1" applyBorder="1" applyAlignment="1">
      <alignment horizontal="center" vertical="center" wrapText="1"/>
    </xf>
    <xf numFmtId="0" fontId="66" fillId="8" borderId="27" xfId="0" applyFont="1" applyFill="1" applyBorder="1" applyAlignment="1">
      <alignment horizontal="center" vertical="center" wrapText="1"/>
    </xf>
    <xf numFmtId="0" fontId="66" fillId="8" borderId="22" xfId="0" applyFont="1" applyFill="1" applyBorder="1" applyAlignment="1">
      <alignment horizontal="center" vertical="center" wrapText="1"/>
    </xf>
    <xf numFmtId="0" fontId="66" fillId="8" borderId="23" xfId="0" applyFont="1" applyFill="1" applyBorder="1" applyAlignment="1">
      <alignment horizontal="center" vertical="center" wrapText="1"/>
    </xf>
    <xf numFmtId="0" fontId="46" fillId="31" borderId="27" xfId="0" applyFont="1" applyFill="1" applyBorder="1" applyAlignment="1">
      <alignment horizontal="center" vertical="center" wrapText="1"/>
    </xf>
    <xf numFmtId="0" fontId="46" fillId="31" borderId="22" xfId="0" applyFont="1" applyFill="1" applyBorder="1" applyAlignment="1">
      <alignment horizontal="center" vertical="center" wrapText="1"/>
    </xf>
    <xf numFmtId="0" fontId="46" fillId="31" borderId="23" xfId="0" applyFont="1" applyFill="1" applyBorder="1" applyAlignment="1">
      <alignment horizontal="center" vertical="center" wrapText="1"/>
    </xf>
    <xf numFmtId="0" fontId="46" fillId="31" borderId="21" xfId="0" applyFont="1" applyFill="1" applyBorder="1" applyAlignment="1">
      <alignment horizontal="center" vertical="center" wrapText="1"/>
    </xf>
    <xf numFmtId="0" fontId="46" fillId="31" borderId="19" xfId="0" applyFont="1" applyFill="1" applyBorder="1" applyAlignment="1">
      <alignment horizontal="center" vertical="center" wrapText="1"/>
    </xf>
    <xf numFmtId="0" fontId="46" fillId="31" borderId="244" xfId="0" applyFont="1" applyFill="1" applyBorder="1" applyAlignment="1">
      <alignment horizontal="center" vertical="center" wrapText="1"/>
    </xf>
    <xf numFmtId="0" fontId="46" fillId="5" borderId="40" xfId="0" applyFont="1" applyFill="1" applyBorder="1" applyAlignment="1">
      <alignment horizontal="center"/>
    </xf>
    <xf numFmtId="0" fontId="46" fillId="5" borderId="41" xfId="0" applyFont="1" applyFill="1" applyBorder="1" applyAlignment="1">
      <alignment horizontal="center"/>
    </xf>
    <xf numFmtId="0" fontId="46" fillId="5" borderId="42" xfId="0" applyFont="1" applyFill="1" applyBorder="1" applyAlignment="1">
      <alignment horizontal="center"/>
    </xf>
    <xf numFmtId="0" fontId="26" fillId="32" borderId="20" xfId="0" applyFont="1" applyFill="1" applyBorder="1" applyAlignment="1">
      <alignment horizontal="center"/>
    </xf>
    <xf numFmtId="0" fontId="83" fillId="8" borderId="263" xfId="0" applyFont="1" applyFill="1" applyBorder="1" applyAlignment="1">
      <alignment horizontal="center"/>
    </xf>
    <xf numFmtId="0" fontId="83" fillId="8" borderId="257" xfId="0" applyFont="1" applyFill="1" applyBorder="1" applyAlignment="1">
      <alignment horizontal="center"/>
    </xf>
    <xf numFmtId="0" fontId="83" fillId="8" borderId="258" xfId="0" applyFont="1" applyFill="1" applyBorder="1" applyAlignment="1">
      <alignment horizontal="center"/>
    </xf>
    <xf numFmtId="0" fontId="83" fillId="8" borderId="27" xfId="0" applyFont="1" applyFill="1" applyBorder="1" applyAlignment="1">
      <alignment horizontal="center"/>
    </xf>
    <xf numFmtId="0" fontId="83" fillId="8" borderId="22" xfId="0" applyFont="1" applyFill="1" applyBorder="1" applyAlignment="1">
      <alignment horizontal="center"/>
    </xf>
    <xf numFmtId="0" fontId="83" fillId="8" borderId="245" xfId="0" applyFont="1" applyFill="1" applyBorder="1" applyAlignment="1">
      <alignment horizontal="center"/>
    </xf>
    <xf numFmtId="0" fontId="0" fillId="8" borderId="131" xfId="0" applyFill="1" applyBorder="1" applyAlignment="1">
      <alignment horizontal="center"/>
    </xf>
    <xf numFmtId="0" fontId="0" fillId="8" borderId="115" xfId="0" applyFill="1" applyBorder="1" applyAlignment="1">
      <alignment horizontal="center"/>
    </xf>
    <xf numFmtId="0" fontId="0" fillId="8" borderId="178" xfId="0" applyFill="1" applyBorder="1" applyAlignment="1">
      <alignment horizontal="center"/>
    </xf>
    <xf numFmtId="0" fontId="8" fillId="0" borderId="21" xfId="0" applyFont="1" applyBorder="1" applyAlignment="1">
      <alignment horizontal="left" vertical="center"/>
    </xf>
    <xf numFmtId="0" fontId="8" fillId="0" borderId="20" xfId="0" applyFont="1" applyBorder="1" applyAlignment="1">
      <alignment horizontal="left" vertical="center"/>
    </xf>
    <xf numFmtId="0" fontId="46" fillId="5" borderId="131" xfId="0" applyFont="1" applyFill="1" applyBorder="1" applyAlignment="1">
      <alignment horizontal="center"/>
    </xf>
    <xf numFmtId="0" fontId="46" fillId="5" borderId="115" xfId="0" applyFont="1" applyFill="1" applyBorder="1" applyAlignment="1">
      <alignment horizontal="center"/>
    </xf>
    <xf numFmtId="0" fontId="46" fillId="5" borderId="252" xfId="0" applyFont="1" applyFill="1" applyBorder="1" applyAlignment="1">
      <alignment horizontal="center"/>
    </xf>
    <xf numFmtId="0" fontId="46" fillId="5" borderId="173" xfId="0" applyFont="1" applyFill="1" applyBorder="1" applyAlignment="1">
      <alignment horizontal="center"/>
    </xf>
    <xf numFmtId="0" fontId="46" fillId="5" borderId="178" xfId="0" applyFont="1" applyFill="1" applyBorder="1" applyAlignment="1">
      <alignment horizontal="center"/>
    </xf>
    <xf numFmtId="0" fontId="26" fillId="32" borderId="131" xfId="0" applyFont="1" applyFill="1" applyBorder="1" applyAlignment="1">
      <alignment horizontal="center"/>
    </xf>
    <xf numFmtId="0" fontId="26" fillId="32" borderId="115" xfId="0" applyFont="1" applyFill="1" applyBorder="1" applyAlignment="1">
      <alignment horizontal="center"/>
    </xf>
    <xf numFmtId="0" fontId="26" fillId="32" borderId="178" xfId="0" applyFont="1" applyFill="1" applyBorder="1" applyAlignment="1">
      <alignment horizontal="center"/>
    </xf>
    <xf numFmtId="0" fontId="12" fillId="0" borderId="121" xfId="0" applyFont="1" applyBorder="1" applyAlignment="1">
      <alignment horizontal="center" vertical="center" wrapText="1"/>
    </xf>
    <xf numFmtId="0" fontId="12" fillId="0" borderId="174" xfId="0" applyFont="1" applyBorder="1" applyAlignment="1">
      <alignment horizontal="center" vertical="center" wrapText="1"/>
    </xf>
    <xf numFmtId="0" fontId="12" fillId="0" borderId="175" xfId="0" applyFont="1" applyBorder="1" applyAlignment="1">
      <alignment horizontal="center" vertical="center" wrapText="1"/>
    </xf>
    <xf numFmtId="0" fontId="12" fillId="0" borderId="119" xfId="0" applyFont="1" applyBorder="1" applyAlignment="1">
      <alignment horizontal="center" vertical="center" wrapText="1"/>
    </xf>
    <xf numFmtId="0" fontId="12" fillId="0" borderId="0" xfId="0" applyFont="1" applyAlignment="1">
      <alignment horizontal="center" vertical="center" wrapText="1"/>
    </xf>
    <xf numFmtId="0" fontId="12" fillId="0" borderId="12" xfId="0" applyFont="1" applyBorder="1" applyAlignment="1">
      <alignment horizontal="center" vertical="center" wrapText="1"/>
    </xf>
    <xf numFmtId="0" fontId="12" fillId="0" borderId="118" xfId="0" applyFont="1" applyBorder="1" applyAlignment="1">
      <alignment horizontal="center" vertical="center" wrapText="1"/>
    </xf>
    <xf numFmtId="0" fontId="12" fillId="0" borderId="132" xfId="0" applyFont="1" applyBorder="1" applyAlignment="1">
      <alignment horizontal="center" vertical="center" wrapText="1"/>
    </xf>
    <xf numFmtId="0" fontId="12" fillId="0" borderId="177" xfId="0" applyFont="1" applyBorder="1" applyAlignment="1">
      <alignment horizontal="center" vertical="center" wrapText="1"/>
    </xf>
    <xf numFmtId="0" fontId="9" fillId="9" borderId="120" xfId="0" applyFont="1" applyFill="1" applyBorder="1" applyAlignment="1">
      <alignment horizontal="center" vertical="center" wrapText="1"/>
    </xf>
    <xf numFmtId="0" fontId="9" fillId="9" borderId="117" xfId="0" applyFont="1" applyFill="1" applyBorder="1" applyAlignment="1">
      <alignment horizontal="center" vertical="center" wrapText="1"/>
    </xf>
    <xf numFmtId="0" fontId="9" fillId="9" borderId="247" xfId="0" applyFont="1" applyFill="1" applyBorder="1" applyAlignment="1">
      <alignment horizontal="center" vertical="center" wrapText="1"/>
    </xf>
    <xf numFmtId="0" fontId="33" fillId="8" borderId="131" xfId="0" applyFont="1" applyFill="1" applyBorder="1" applyAlignment="1">
      <alignment horizontal="center" vertical="center" wrapText="1"/>
    </xf>
    <xf numFmtId="0" fontId="33" fillId="8" borderId="115" xfId="0" applyFont="1" applyFill="1" applyBorder="1" applyAlignment="1">
      <alignment horizontal="center" vertical="center" wrapText="1"/>
    </xf>
    <xf numFmtId="0" fontId="33" fillId="8" borderId="178" xfId="0" applyFont="1" applyFill="1" applyBorder="1" applyAlignment="1">
      <alignment horizontal="center" vertical="center" wrapText="1"/>
    </xf>
    <xf numFmtId="0" fontId="0" fillId="8" borderId="131" xfId="0" applyFill="1" applyBorder="1" applyAlignment="1">
      <alignment horizontal="center" vertical="center" wrapText="1"/>
    </xf>
    <xf numFmtId="0" fontId="0" fillId="8" borderId="115" xfId="0" applyFill="1" applyBorder="1" applyAlignment="1">
      <alignment horizontal="center" vertical="center" wrapText="1"/>
    </xf>
    <xf numFmtId="0" fontId="0" fillId="8" borderId="178" xfId="0" applyFill="1" applyBorder="1" applyAlignment="1">
      <alignment horizontal="center" vertical="center" wrapText="1"/>
    </xf>
    <xf numFmtId="0" fontId="45" fillId="18" borderId="250" xfId="0" applyFont="1" applyFill="1" applyBorder="1" applyAlignment="1">
      <alignment horizontal="center"/>
    </xf>
    <xf numFmtId="0" fontId="45" fillId="18" borderId="72" xfId="0" applyFont="1" applyFill="1" applyBorder="1" applyAlignment="1">
      <alignment horizontal="center"/>
    </xf>
    <xf numFmtId="0" fontId="45" fillId="18" borderId="251" xfId="0" applyFont="1" applyFill="1" applyBorder="1" applyAlignment="1">
      <alignment horizontal="center"/>
    </xf>
    <xf numFmtId="0" fontId="26" fillId="32" borderId="154" xfId="0" applyFont="1" applyFill="1" applyBorder="1" applyAlignment="1">
      <alignment horizontal="center"/>
    </xf>
    <xf numFmtId="0" fontId="26" fillId="32" borderId="149" xfId="0" applyFont="1" applyFill="1" applyBorder="1" applyAlignment="1">
      <alignment horizontal="center"/>
    </xf>
    <xf numFmtId="0" fontId="26" fillId="32" borderId="249" xfId="0" applyFont="1" applyFill="1" applyBorder="1" applyAlignment="1">
      <alignment horizontal="center"/>
    </xf>
    <xf numFmtId="0" fontId="45" fillId="18" borderId="200" xfId="0" applyFont="1" applyFill="1" applyBorder="1" applyAlignment="1">
      <alignment horizontal="center"/>
    </xf>
    <xf numFmtId="0" fontId="45" fillId="18" borderId="152" xfId="0" applyFont="1" applyFill="1" applyBorder="1" applyAlignment="1">
      <alignment horizontal="center"/>
    </xf>
    <xf numFmtId="0" fontId="45" fillId="18" borderId="248" xfId="0" applyFont="1" applyFill="1" applyBorder="1" applyAlignment="1">
      <alignment horizontal="center"/>
    </xf>
    <xf numFmtId="0" fontId="9" fillId="8" borderId="120" xfId="0" applyFont="1" applyFill="1" applyBorder="1" applyAlignment="1">
      <alignment horizontal="center" vertical="center" wrapText="1"/>
    </xf>
    <xf numFmtId="0" fontId="9" fillId="8" borderId="247" xfId="0" applyFont="1" applyFill="1" applyBorder="1" applyAlignment="1">
      <alignment horizontal="center" vertical="center" wrapText="1"/>
    </xf>
    <xf numFmtId="0" fontId="9" fillId="8" borderId="117" xfId="0" applyFont="1" applyFill="1" applyBorder="1" applyAlignment="1">
      <alignment horizontal="center" vertical="center" wrapText="1"/>
    </xf>
    <xf numFmtId="168" fontId="44" fillId="12" borderId="121" xfId="15" applyNumberFormat="1" applyFont="1" applyFill="1" applyBorder="1" applyAlignment="1">
      <alignment horizontal="center" vertical="center"/>
    </xf>
    <xf numFmtId="168" fontId="44" fillId="12" borderId="139" xfId="15" applyNumberFormat="1" applyFont="1" applyFill="1" applyBorder="1" applyAlignment="1">
      <alignment horizontal="center" vertical="center"/>
    </xf>
    <xf numFmtId="168" fontId="44" fillId="12" borderId="118" xfId="15" applyNumberFormat="1" applyFont="1" applyFill="1" applyBorder="1" applyAlignment="1">
      <alignment horizontal="center" vertical="center"/>
    </xf>
    <xf numFmtId="168" fontId="44" fillId="12" borderId="140" xfId="15" applyNumberFormat="1" applyFont="1" applyFill="1" applyBorder="1" applyAlignment="1">
      <alignment horizontal="center" vertical="center"/>
    </xf>
    <xf numFmtId="168" fontId="9" fillId="0" borderId="120" xfId="15" applyNumberFormat="1" applyFont="1" applyBorder="1" applyAlignment="1">
      <alignment horizontal="center" vertical="center" wrapText="1"/>
    </xf>
    <xf numFmtId="168" fontId="9" fillId="0" borderId="208" xfId="15" applyNumberFormat="1" applyFont="1" applyBorder="1" applyAlignment="1">
      <alignment horizontal="center" vertical="center" wrapText="1"/>
    </xf>
    <xf numFmtId="168" fontId="9" fillId="0" borderId="246" xfId="15" applyNumberFormat="1" applyFont="1" applyBorder="1" applyAlignment="1">
      <alignment horizontal="center" vertical="center" wrapText="1"/>
    </xf>
    <xf numFmtId="168" fontId="9" fillId="0" borderId="206" xfId="15" applyNumberFormat="1" applyFont="1" applyBorder="1" applyAlignment="1">
      <alignment horizontal="center" vertical="center" wrapText="1"/>
    </xf>
    <xf numFmtId="9" fontId="44" fillId="12" borderId="207" xfId="15" applyFont="1" applyFill="1" applyBorder="1" applyAlignment="1">
      <alignment horizontal="center" vertical="center"/>
    </xf>
    <xf numFmtId="9" fontId="44" fillId="12" borderId="179" xfId="15" applyFont="1" applyFill="1" applyBorder="1" applyAlignment="1">
      <alignment horizontal="center" vertical="center"/>
    </xf>
    <xf numFmtId="0" fontId="8" fillId="0" borderId="266" xfId="0" applyFont="1" applyBorder="1" applyAlignment="1">
      <alignment horizontal="left"/>
    </xf>
    <xf numFmtId="0" fontId="8" fillId="0" borderId="267" xfId="0" applyFont="1" applyBorder="1" applyAlignment="1">
      <alignment horizontal="left"/>
    </xf>
    <xf numFmtId="0" fontId="8" fillId="0" borderId="50" xfId="0" applyFont="1" applyBorder="1" applyAlignment="1">
      <alignment horizontal="left"/>
    </xf>
    <xf numFmtId="0" fontId="8" fillId="0" borderId="265" xfId="0" applyFont="1" applyBorder="1" applyAlignment="1">
      <alignment horizontal="left"/>
    </xf>
    <xf numFmtId="0" fontId="8" fillId="0" borderId="50" xfId="0" applyFont="1" applyBorder="1" applyAlignment="1">
      <alignment horizontal="left" indent="1"/>
    </xf>
    <xf numFmtId="0" fontId="8" fillId="0" borderId="265" xfId="0" applyFont="1" applyBorder="1" applyAlignment="1">
      <alignment horizontal="left" indent="1"/>
    </xf>
    <xf numFmtId="0" fontId="12" fillId="0" borderId="50" xfId="0" applyFont="1" applyBorder="1" applyAlignment="1">
      <alignment horizontal="left"/>
    </xf>
    <xf numFmtId="0" fontId="12" fillId="0" borderId="265" xfId="0" applyFont="1" applyBorder="1" applyAlignment="1">
      <alignment horizontal="left"/>
    </xf>
    <xf numFmtId="0" fontId="0" fillId="0" borderId="50" xfId="0" applyBorder="1" applyAlignment="1">
      <alignment horizontal="left"/>
    </xf>
    <xf numFmtId="0" fontId="0" fillId="0" borderId="51" xfId="0" applyBorder="1" applyAlignment="1">
      <alignment horizontal="left"/>
    </xf>
    <xf numFmtId="0" fontId="8" fillId="16" borderId="50" xfId="0" applyFont="1" applyFill="1" applyBorder="1" applyAlignment="1">
      <alignment horizontal="left"/>
    </xf>
    <xf numFmtId="0" fontId="8" fillId="16" borderId="51" xfId="0" applyFont="1" applyFill="1" applyBorder="1" applyAlignment="1">
      <alignment horizontal="left"/>
    </xf>
    <xf numFmtId="0" fontId="26" fillId="9" borderId="53" xfId="0" applyFont="1" applyFill="1" applyBorder="1" applyAlignment="1">
      <alignment horizontal="center" vertical="center"/>
    </xf>
    <xf numFmtId="0" fontId="46" fillId="5" borderId="45" xfId="0" applyFont="1" applyFill="1" applyBorder="1" applyAlignment="1">
      <alignment horizontal="center"/>
    </xf>
    <xf numFmtId="0" fontId="46" fillId="5" borderId="49" xfId="0" applyFont="1" applyFill="1" applyBorder="1" applyAlignment="1">
      <alignment horizontal="center"/>
    </xf>
    <xf numFmtId="0" fontId="8" fillId="0" borderId="154" xfId="0" applyFont="1" applyBorder="1" applyAlignment="1">
      <alignment horizontal="left" vertical="center" wrapText="1"/>
    </xf>
    <xf numFmtId="0" fontId="69" fillId="0" borderId="149" xfId="0" applyFont="1" applyBorder="1" applyAlignment="1">
      <alignment horizontal="left" vertical="center"/>
    </xf>
    <xf numFmtId="0" fontId="69" fillId="0" borderId="150" xfId="0" applyFont="1" applyBorder="1" applyAlignment="1">
      <alignment horizontal="left" vertical="center"/>
    </xf>
    <xf numFmtId="0" fontId="69" fillId="0" borderId="155" xfId="0" applyFont="1" applyBorder="1" applyAlignment="1">
      <alignment horizontal="left" vertical="center"/>
    </xf>
    <xf numFmtId="0" fontId="69" fillId="0" borderId="0" xfId="0" applyFont="1" applyAlignment="1">
      <alignment horizontal="left" vertical="center"/>
    </xf>
    <xf numFmtId="0" fontId="69" fillId="0" borderId="151" xfId="0" applyFont="1" applyBorder="1" applyAlignment="1">
      <alignment horizontal="left" vertical="center"/>
    </xf>
    <xf numFmtId="0" fontId="69" fillId="0" borderId="156" xfId="0" applyFont="1" applyBorder="1" applyAlignment="1">
      <alignment horizontal="left" vertical="center"/>
    </xf>
    <xf numFmtId="0" fontId="69" fillId="0" borderId="152" xfId="0" applyFont="1" applyBorder="1" applyAlignment="1">
      <alignment horizontal="left" vertical="center"/>
    </xf>
    <xf numFmtId="0" fontId="69" fillId="0" borderId="153" xfId="0" applyFont="1" applyBorder="1" applyAlignment="1">
      <alignment horizontal="left" vertical="center"/>
    </xf>
    <xf numFmtId="0" fontId="26" fillId="32" borderId="50" xfId="0" applyFont="1" applyFill="1" applyBorder="1" applyAlignment="1">
      <alignment horizontal="center"/>
    </xf>
    <xf numFmtId="0" fontId="0" fillId="0" borderId="199" xfId="0" applyBorder="1" applyAlignment="1">
      <alignment horizontal="left" vertical="center" wrapText="1"/>
    </xf>
    <xf numFmtId="0" fontId="69" fillId="0" borderId="10" xfId="0" applyFont="1" applyBorder="1" applyAlignment="1">
      <alignment horizontal="left" vertical="center"/>
    </xf>
    <xf numFmtId="0" fontId="69" fillId="0" borderId="200" xfId="0" applyFont="1" applyBorder="1" applyAlignment="1">
      <alignment horizontal="left" vertical="center"/>
    </xf>
    <xf numFmtId="0" fontId="84" fillId="8" borderId="50" xfId="0" applyFont="1" applyFill="1" applyBorder="1" applyAlignment="1">
      <alignment horizontal="center"/>
    </xf>
    <xf numFmtId="0" fontId="84" fillId="8" borderId="72" xfId="0" applyFont="1" applyFill="1" applyBorder="1" applyAlignment="1">
      <alignment horizontal="center"/>
    </xf>
    <xf numFmtId="0" fontId="84" fillId="8" borderId="51" xfId="0" applyFont="1" applyFill="1" applyBorder="1" applyAlignment="1">
      <alignment horizontal="center"/>
    </xf>
    <xf numFmtId="0" fontId="85" fillId="8" borderId="45" xfId="0" applyFont="1" applyFill="1" applyBorder="1" applyAlignment="1">
      <alignment horizontal="center"/>
    </xf>
    <xf numFmtId="0" fontId="84" fillId="8" borderId="47" xfId="0" applyFont="1" applyFill="1" applyBorder="1" applyAlignment="1">
      <alignment horizontal="center"/>
    </xf>
    <xf numFmtId="0" fontId="26" fillId="8" borderId="47" xfId="0" applyFont="1" applyFill="1" applyBorder="1" applyAlignment="1">
      <alignment horizontal="center"/>
    </xf>
    <xf numFmtId="0" fontId="62" fillId="8" borderId="47" xfId="0" applyFont="1" applyFill="1" applyBorder="1" applyAlignment="1">
      <alignment horizontal="center"/>
    </xf>
    <xf numFmtId="0" fontId="0" fillId="0" borderId="10" xfId="0" quotePrefix="1" applyBorder="1" applyAlignment="1">
      <alignment vertical="center" wrapText="1"/>
    </xf>
    <xf numFmtId="0" fontId="8" fillId="0" borderId="2" xfId="0" applyFont="1" applyBorder="1" applyAlignment="1">
      <alignment vertical="center" wrapText="1"/>
    </xf>
    <xf numFmtId="0" fontId="8" fillId="0" borderId="48" xfId="0" applyFont="1" applyBorder="1" applyAlignment="1">
      <alignment vertical="center" wrapText="1"/>
    </xf>
    <xf numFmtId="0" fontId="0" fillId="0" borderId="201" xfId="0" applyBorder="1" applyAlignment="1">
      <alignment vertical="center" wrapText="1"/>
    </xf>
    <xf numFmtId="0" fontId="8" fillId="0" borderId="39" xfId="0" applyFont="1" applyBorder="1" applyAlignment="1">
      <alignment vertical="center" wrapText="1"/>
    </xf>
    <xf numFmtId="0" fontId="8" fillId="0" borderId="46" xfId="0" applyFont="1" applyBorder="1" applyAlignment="1">
      <alignment vertical="center" wrapText="1"/>
    </xf>
    <xf numFmtId="0" fontId="0" fillId="0" borderId="202" xfId="0" applyBorder="1" applyAlignment="1">
      <alignment vertical="center" wrapText="1"/>
    </xf>
    <xf numFmtId="0" fontId="0" fillId="0" borderId="203" xfId="0" applyBorder="1" applyAlignment="1">
      <alignment vertical="center" wrapText="1"/>
    </xf>
    <xf numFmtId="0" fontId="0" fillId="0" borderId="204" xfId="0" applyBorder="1" applyAlignment="1">
      <alignment vertical="center" wrapText="1"/>
    </xf>
    <xf numFmtId="0" fontId="46" fillId="31" borderId="198" xfId="0" applyFont="1" applyFill="1" applyBorder="1" applyAlignment="1">
      <alignment horizontal="center"/>
    </xf>
    <xf numFmtId="0" fontId="46" fillId="31" borderId="45" xfId="0" applyFont="1" applyFill="1" applyBorder="1" applyAlignment="1">
      <alignment horizontal="center"/>
    </xf>
    <xf numFmtId="0" fontId="30" fillId="5" borderId="43" xfId="0" applyFont="1" applyFill="1" applyBorder="1" applyAlignment="1">
      <alignment horizontal="center"/>
    </xf>
    <xf numFmtId="0" fontId="30" fillId="5" borderId="0" xfId="0" applyFont="1" applyFill="1" applyAlignment="1">
      <alignment horizontal="center"/>
    </xf>
    <xf numFmtId="0" fontId="30" fillId="5" borderId="44" xfId="0" applyFont="1" applyFill="1" applyBorder="1" applyAlignment="1">
      <alignment horizontal="center"/>
    </xf>
    <xf numFmtId="0" fontId="45" fillId="5" borderId="0" xfId="0" applyFont="1" applyFill="1" applyAlignment="1">
      <alignment horizontal="center"/>
    </xf>
    <xf numFmtId="0" fontId="30" fillId="18" borderId="43" xfId="0" applyFont="1" applyFill="1" applyBorder="1" applyAlignment="1">
      <alignment horizontal="center"/>
    </xf>
    <xf numFmtId="0" fontId="30" fillId="18" borderId="0" xfId="0" applyFont="1" applyFill="1" applyAlignment="1">
      <alignment horizontal="center"/>
    </xf>
    <xf numFmtId="0" fontId="45" fillId="5" borderId="55" xfId="0" applyFont="1" applyFill="1" applyBorder="1" applyAlignment="1">
      <alignment horizontal="center"/>
    </xf>
    <xf numFmtId="0" fontId="45" fillId="5" borderId="56" xfId="0" applyFont="1" applyFill="1" applyBorder="1" applyAlignment="1">
      <alignment horizontal="center"/>
    </xf>
    <xf numFmtId="0" fontId="9" fillId="0" borderId="60" xfId="0" applyFont="1" applyBorder="1" applyAlignment="1">
      <alignment horizontal="center" vertical="center"/>
    </xf>
    <xf numFmtId="0" fontId="9" fillId="0" borderId="62" xfId="0" applyFont="1" applyBorder="1" applyAlignment="1">
      <alignment horizontal="center" vertical="center"/>
    </xf>
    <xf numFmtId="0" fontId="30" fillId="5" borderId="60" xfId="0" applyFont="1" applyFill="1" applyBorder="1" applyAlignment="1">
      <alignment horizontal="center"/>
    </xf>
    <xf numFmtId="0" fontId="30" fillId="5" borderId="61" xfId="0" applyFont="1" applyFill="1" applyBorder="1" applyAlignment="1">
      <alignment horizontal="center"/>
    </xf>
    <xf numFmtId="0" fontId="30" fillId="5" borderId="62" xfId="0" applyFont="1" applyFill="1" applyBorder="1" applyAlignment="1">
      <alignment horizontal="center"/>
    </xf>
    <xf numFmtId="0" fontId="0" fillId="0" borderId="85" xfId="0" applyBorder="1" applyAlignment="1">
      <alignment horizontal="center" vertical="center" wrapText="1"/>
    </xf>
    <xf numFmtId="0" fontId="0" fillId="0" borderId="34" xfId="0" applyBorder="1" applyAlignment="1">
      <alignment horizontal="center" vertical="center" wrapText="1"/>
    </xf>
    <xf numFmtId="0" fontId="33" fillId="0" borderId="85" xfId="0" applyFont="1" applyBorder="1" applyAlignment="1">
      <alignment horizontal="center" vertical="center" wrapText="1"/>
    </xf>
    <xf numFmtId="0" fontId="0" fillId="0" borderId="86" xfId="0" applyBorder="1" applyAlignment="1">
      <alignment horizontal="center" vertical="center" wrapText="1"/>
    </xf>
    <xf numFmtId="0" fontId="0" fillId="0" borderId="59" xfId="0" applyBorder="1" applyAlignment="1">
      <alignment horizontal="center" vertical="center" wrapText="1"/>
    </xf>
    <xf numFmtId="0" fontId="30" fillId="5" borderId="55" xfId="0" applyFont="1" applyFill="1" applyBorder="1" applyAlignment="1">
      <alignment horizontal="center"/>
    </xf>
    <xf numFmtId="0" fontId="30" fillId="5" borderId="56" xfId="0" applyFont="1" applyFill="1" applyBorder="1" applyAlignment="1">
      <alignment horizontal="center"/>
    </xf>
    <xf numFmtId="0" fontId="45" fillId="5" borderId="61" xfId="0" applyFont="1" applyFill="1" applyBorder="1" applyAlignment="1">
      <alignment horizontal="center"/>
    </xf>
    <xf numFmtId="0" fontId="45" fillId="5" borderId="62" xfId="0" applyFont="1" applyFill="1" applyBorder="1" applyAlignment="1">
      <alignment horizontal="center"/>
    </xf>
    <xf numFmtId="0" fontId="86" fillId="0" borderId="212" xfId="34" applyBorder="1" applyAlignment="1">
      <alignment horizontal="center"/>
    </xf>
    <xf numFmtId="0" fontId="86" fillId="0" borderId="213" xfId="34" applyBorder="1" applyAlignment="1">
      <alignment horizontal="center"/>
    </xf>
    <xf numFmtId="0" fontId="43" fillId="0" borderId="210" xfId="0" applyFont="1" applyBorder="1" applyAlignment="1">
      <alignment horizontal="center"/>
    </xf>
    <xf numFmtId="0" fontId="43" fillId="0" borderId="211" xfId="0" applyFont="1" applyBorder="1" applyAlignment="1">
      <alignment horizontal="center"/>
    </xf>
    <xf numFmtId="0" fontId="8" fillId="0" borderId="70" xfId="0" applyFont="1" applyBorder="1" applyAlignment="1">
      <alignment horizontal="center" vertical="center" wrapText="1"/>
    </xf>
    <xf numFmtId="0" fontId="8" fillId="0" borderId="72" xfId="0" applyFont="1" applyBorder="1" applyAlignment="1">
      <alignment horizontal="center" vertical="center" wrapText="1"/>
    </xf>
    <xf numFmtId="0" fontId="8" fillId="0" borderId="71" xfId="0" applyFont="1" applyBorder="1" applyAlignment="1">
      <alignment horizontal="center" vertical="center" wrapText="1"/>
    </xf>
    <xf numFmtId="0" fontId="8" fillId="0" borderId="73" xfId="0" applyFont="1" applyBorder="1" applyAlignment="1">
      <alignment horizontal="center" vertical="center" wrapText="1"/>
    </xf>
    <xf numFmtId="0" fontId="8" fillId="0" borderId="75" xfId="0" applyFont="1" applyBorder="1" applyAlignment="1">
      <alignment horizontal="center" vertical="center" wrapText="1"/>
    </xf>
    <xf numFmtId="0" fontId="8" fillId="0" borderId="74" xfId="0" applyFont="1" applyBorder="1" applyAlignment="1">
      <alignment horizontal="center" vertical="center" wrapText="1"/>
    </xf>
    <xf numFmtId="10" fontId="12" fillId="0" borderId="34" xfId="15" applyNumberFormat="1" applyFont="1" applyBorder="1" applyAlignment="1">
      <alignment horizontal="center"/>
    </xf>
    <xf numFmtId="10" fontId="12" fillId="0" borderId="211" xfId="15" applyNumberFormat="1" applyFont="1" applyBorder="1" applyAlignment="1">
      <alignment horizontal="center"/>
    </xf>
    <xf numFmtId="0" fontId="12" fillId="24" borderId="67" xfId="0" applyFont="1" applyFill="1" applyBorder="1" applyAlignment="1">
      <alignment horizontal="center"/>
    </xf>
    <xf numFmtId="0" fontId="12" fillId="24" borderId="68" xfId="0" applyFont="1" applyFill="1" applyBorder="1" applyAlignment="1">
      <alignment horizontal="center"/>
    </xf>
    <xf numFmtId="0" fontId="12" fillId="24" borderId="69" xfId="0" applyFont="1" applyFill="1" applyBorder="1" applyAlignment="1">
      <alignment horizontal="center"/>
    </xf>
    <xf numFmtId="0" fontId="12" fillId="0" borderId="73" xfId="0" applyFont="1" applyBorder="1" applyAlignment="1">
      <alignment horizontal="center" vertical="center"/>
    </xf>
    <xf numFmtId="0" fontId="12" fillId="0" borderId="74" xfId="0" applyFont="1" applyBorder="1" applyAlignment="1">
      <alignment horizontal="center" vertical="center"/>
    </xf>
    <xf numFmtId="0" fontId="86" fillId="0" borderId="70" xfId="34" applyBorder="1" applyAlignment="1">
      <alignment horizontal="center"/>
    </xf>
    <xf numFmtId="0" fontId="86" fillId="0" borderId="71" xfId="34" applyBorder="1" applyAlignment="1">
      <alignment horizontal="center"/>
    </xf>
    <xf numFmtId="0" fontId="32" fillId="0" borderId="55" xfId="34" applyFont="1" applyBorder="1" applyAlignment="1">
      <alignment horizontal="left" vertical="center" wrapText="1"/>
    </xf>
    <xf numFmtId="0" fontId="32" fillId="0" borderId="56" xfId="34" applyFont="1" applyBorder="1" applyAlignment="1">
      <alignment horizontal="left" vertical="center"/>
    </xf>
    <xf numFmtId="0" fontId="32" fillId="0" borderId="57" xfId="34" applyFont="1" applyBorder="1" applyAlignment="1">
      <alignment horizontal="left" vertical="center"/>
    </xf>
    <xf numFmtId="0" fontId="32" fillId="0" borderId="43" xfId="34" applyFont="1" applyBorder="1" applyAlignment="1">
      <alignment horizontal="left" vertical="center"/>
    </xf>
    <xf numFmtId="0" fontId="32" fillId="0" borderId="0" xfId="34" applyFont="1" applyAlignment="1">
      <alignment horizontal="left" vertical="center"/>
    </xf>
    <xf numFmtId="0" fontId="32" fillId="0" borderId="44" xfId="34" applyFont="1" applyBorder="1" applyAlignment="1">
      <alignment horizontal="left" vertical="center"/>
    </xf>
    <xf numFmtId="0" fontId="32" fillId="0" borderId="58" xfId="34" applyFont="1" applyBorder="1" applyAlignment="1">
      <alignment horizontal="left" vertical="center"/>
    </xf>
    <xf numFmtId="0" fontId="32" fillId="0" borderId="63" xfId="34" applyFont="1" applyBorder="1" applyAlignment="1">
      <alignment horizontal="left" vertical="center"/>
    </xf>
    <xf numFmtId="0" fontId="32" fillId="0" borderId="64" xfId="34" applyFont="1" applyBorder="1" applyAlignment="1">
      <alignment horizontal="left" vertical="center"/>
    </xf>
    <xf numFmtId="0" fontId="30" fillId="5" borderId="60" xfId="0" applyFont="1" applyFill="1" applyBorder="1" applyAlignment="1">
      <alignment horizontal="center" vertical="center"/>
    </xf>
    <xf numFmtId="0" fontId="30" fillId="5" borderId="61" xfId="0" applyFont="1" applyFill="1" applyBorder="1" applyAlignment="1">
      <alignment horizontal="center" vertical="center"/>
    </xf>
    <xf numFmtId="0" fontId="30" fillId="5" borderId="64" xfId="0" applyFont="1" applyFill="1" applyBorder="1" applyAlignment="1">
      <alignment horizontal="center" vertical="center"/>
    </xf>
    <xf numFmtId="0" fontId="12" fillId="0" borderId="70" xfId="0" applyFont="1" applyBorder="1" applyAlignment="1">
      <alignment horizontal="center"/>
    </xf>
    <xf numFmtId="0" fontId="12" fillId="0" borderId="72" xfId="0" applyFont="1" applyBorder="1" applyAlignment="1">
      <alignment horizontal="center"/>
    </xf>
    <xf numFmtId="0" fontId="12" fillId="0" borderId="71" xfId="0" applyFont="1" applyBorder="1" applyAlignment="1">
      <alignment horizontal="center"/>
    </xf>
    <xf numFmtId="0" fontId="12" fillId="0" borderId="212" xfId="0" applyFont="1" applyBorder="1" applyAlignment="1">
      <alignment horizontal="center"/>
    </xf>
    <xf numFmtId="0" fontId="12" fillId="0" borderId="149" xfId="0" applyFont="1" applyBorder="1" applyAlignment="1">
      <alignment horizontal="center"/>
    </xf>
    <xf numFmtId="0" fontId="12" fillId="0" borderId="213" xfId="0" applyFont="1" applyBorder="1" applyAlignment="1">
      <alignment horizontal="center"/>
    </xf>
    <xf numFmtId="10" fontId="12" fillId="0" borderId="70" xfId="15" applyNumberFormat="1" applyFont="1" applyBorder="1" applyAlignment="1">
      <alignment horizontal="center"/>
    </xf>
    <xf numFmtId="10" fontId="12" fillId="0" borderId="72" xfId="15" applyNumberFormat="1" applyFont="1" applyBorder="1" applyAlignment="1">
      <alignment horizontal="center"/>
    </xf>
    <xf numFmtId="10" fontId="12" fillId="0" borderId="71" xfId="15" applyNumberFormat="1" applyFont="1" applyBorder="1" applyAlignment="1">
      <alignment horizontal="center"/>
    </xf>
    <xf numFmtId="10" fontId="12" fillId="0" borderId="212" xfId="15" applyNumberFormat="1" applyFont="1" applyBorder="1" applyAlignment="1">
      <alignment horizontal="center"/>
    </xf>
    <xf numFmtId="10" fontId="12" fillId="0" borderId="149" xfId="15" applyNumberFormat="1" applyFont="1" applyBorder="1" applyAlignment="1">
      <alignment horizontal="center"/>
    </xf>
    <xf numFmtId="10" fontId="12" fillId="0" borderId="213" xfId="15" applyNumberFormat="1" applyFont="1" applyBorder="1" applyAlignment="1">
      <alignment horizontal="center"/>
    </xf>
    <xf numFmtId="0" fontId="12" fillId="14" borderId="60" xfId="0" applyFont="1" applyFill="1" applyBorder="1" applyAlignment="1">
      <alignment horizontal="center"/>
    </xf>
    <xf numFmtId="0" fontId="12" fillId="14" borderId="61" xfId="0" applyFont="1" applyFill="1" applyBorder="1" applyAlignment="1">
      <alignment horizontal="center"/>
    </xf>
    <xf numFmtId="0" fontId="12" fillId="14" borderId="62" xfId="0" applyFont="1" applyFill="1" applyBorder="1" applyAlignment="1">
      <alignment horizontal="center"/>
    </xf>
    <xf numFmtId="0" fontId="12" fillId="24" borderId="65" xfId="0" applyFont="1" applyFill="1" applyBorder="1" applyAlignment="1">
      <alignment horizontal="center"/>
    </xf>
    <xf numFmtId="0" fontId="12" fillId="24" borderId="66" xfId="0" applyFont="1" applyFill="1" applyBorder="1" applyAlignment="1">
      <alignment horizontal="center"/>
    </xf>
    <xf numFmtId="0" fontId="30" fillId="5" borderId="58" xfId="0" applyFont="1" applyFill="1" applyBorder="1" applyAlignment="1">
      <alignment horizontal="center"/>
    </xf>
    <xf numFmtId="0" fontId="30" fillId="5" borderId="63" xfId="0" applyFont="1" applyFill="1" applyBorder="1" applyAlignment="1">
      <alignment horizontal="center"/>
    </xf>
    <xf numFmtId="0" fontId="30" fillId="5" borderId="64" xfId="0" applyFont="1" applyFill="1" applyBorder="1" applyAlignment="1">
      <alignment horizontal="center"/>
    </xf>
    <xf numFmtId="0" fontId="12" fillId="0" borderId="70" xfId="0" applyFont="1" applyBorder="1" applyAlignment="1">
      <alignment horizontal="center" vertical="center"/>
    </xf>
    <xf numFmtId="0" fontId="12" fillId="0" borderId="71" xfId="0" applyFont="1" applyBorder="1" applyAlignment="1">
      <alignment horizontal="center" vertical="center"/>
    </xf>
    <xf numFmtId="0" fontId="67" fillId="0" borderId="101" xfId="0" applyFont="1" applyBorder="1" applyAlignment="1">
      <alignment horizontal="center" vertical="center" wrapText="1"/>
    </xf>
    <xf numFmtId="0" fontId="22" fillId="0" borderId="102" xfId="0" applyFont="1" applyBorder="1" applyAlignment="1">
      <alignment horizontal="center" vertical="center" wrapText="1"/>
    </xf>
    <xf numFmtId="0" fontId="22" fillId="0" borderId="103" xfId="0" applyFont="1" applyBorder="1" applyAlignment="1">
      <alignment horizontal="center" vertical="center" wrapText="1"/>
    </xf>
    <xf numFmtId="0" fontId="49" fillId="5" borderId="52" xfId="0" applyFont="1" applyFill="1" applyBorder="1" applyAlignment="1">
      <alignment horizontal="center"/>
    </xf>
    <xf numFmtId="0" fontId="8" fillId="39" borderId="193" xfId="0" applyFont="1" applyFill="1" applyBorder="1" applyAlignment="1">
      <alignment horizontal="center" vertical="center" wrapText="1"/>
    </xf>
    <xf numFmtId="0" fontId="72" fillId="0" borderId="52" xfId="0" applyFont="1" applyBorder="1" applyAlignment="1">
      <alignment horizontal="center" vertical="center" wrapText="1"/>
    </xf>
    <xf numFmtId="0" fontId="72" fillId="0" borderId="194" xfId="0" applyFont="1" applyBorder="1" applyAlignment="1">
      <alignment horizontal="center" vertical="center" wrapText="1"/>
    </xf>
    <xf numFmtId="0" fontId="26" fillId="5" borderId="190" xfId="25" applyFont="1" applyFill="1" applyBorder="1" applyAlignment="1">
      <alignment horizontal="center" vertical="center"/>
    </xf>
    <xf numFmtId="0" fontId="26" fillId="5" borderId="191" xfId="25" applyFont="1" applyFill="1" applyBorder="1" applyAlignment="1">
      <alignment horizontal="center" vertical="center"/>
    </xf>
    <xf numFmtId="0" fontId="26" fillId="5" borderId="192" xfId="25" applyFont="1" applyFill="1" applyBorder="1" applyAlignment="1">
      <alignment horizontal="center" vertical="center"/>
    </xf>
    <xf numFmtId="0" fontId="8" fillId="45" borderId="193" xfId="0" applyFont="1" applyFill="1" applyBorder="1" applyAlignment="1">
      <alignment horizontal="center" vertical="center" wrapText="1"/>
    </xf>
    <xf numFmtId="0" fontId="8" fillId="44" borderId="193" xfId="0" applyFont="1" applyFill="1" applyBorder="1" applyAlignment="1">
      <alignment horizontal="center" vertical="center" wrapText="1"/>
    </xf>
    <xf numFmtId="0" fontId="8" fillId="44" borderId="195" xfId="0" applyFont="1" applyFill="1" applyBorder="1" applyAlignment="1">
      <alignment horizontal="center" vertical="center" wrapText="1"/>
    </xf>
    <xf numFmtId="0" fontId="72" fillId="0" borderId="196" xfId="0" applyFont="1" applyBorder="1" applyAlignment="1">
      <alignment horizontal="center" vertical="center" wrapText="1"/>
    </xf>
    <xf numFmtId="0" fontId="72" fillId="0" borderId="197" xfId="0" applyFont="1" applyBorder="1" applyAlignment="1">
      <alignment horizontal="center" vertical="center" wrapText="1"/>
    </xf>
    <xf numFmtId="2" fontId="0" fillId="0" borderId="0" xfId="25" applyNumberFormat="1" applyFont="1" applyAlignment="1">
      <alignment horizontal="center"/>
    </xf>
    <xf numFmtId="0" fontId="15" fillId="18" borderId="104" xfId="1" applyFill="1" applyBorder="1" applyAlignment="1">
      <alignment horizontal="center" vertical="center" readingOrder="1"/>
    </xf>
    <xf numFmtId="0" fontId="52" fillId="18" borderId="104" xfId="25" applyFont="1" applyFill="1" applyBorder="1" applyAlignment="1">
      <alignment horizontal="center"/>
    </xf>
    <xf numFmtId="0" fontId="0" fillId="0" borderId="0" xfId="25" applyFont="1" applyAlignment="1">
      <alignment horizontal="center"/>
    </xf>
    <xf numFmtId="0" fontId="26" fillId="5" borderId="127" xfId="25" applyFont="1" applyFill="1" applyBorder="1" applyAlignment="1">
      <alignment horizontal="center" vertical="center"/>
    </xf>
    <xf numFmtId="0" fontId="26" fillId="5" borderId="24" xfId="25" applyFont="1" applyFill="1" applyBorder="1" applyAlignment="1">
      <alignment horizontal="center" vertical="center"/>
    </xf>
    <xf numFmtId="0" fontId="26" fillId="5" borderId="25" xfId="25" applyFont="1" applyFill="1" applyBorder="1" applyAlignment="1">
      <alignment horizontal="center" vertical="center"/>
    </xf>
    <xf numFmtId="0" fontId="28" fillId="0" borderId="128" xfId="25" applyFont="1" applyBorder="1" applyAlignment="1">
      <alignment horizontal="center" vertical="center" wrapText="1"/>
    </xf>
    <xf numFmtId="0" fontId="28" fillId="0" borderId="129" xfId="25" applyFont="1" applyBorder="1" applyAlignment="1">
      <alignment horizontal="center" vertical="center" wrapText="1"/>
    </xf>
    <xf numFmtId="0" fontId="28" fillId="0" borderId="130" xfId="25" applyFont="1" applyBorder="1" applyAlignment="1">
      <alignment horizontal="center" vertical="center" wrapText="1"/>
    </xf>
    <xf numFmtId="0" fontId="8" fillId="39" borderId="185" xfId="0" applyFont="1" applyFill="1" applyBorder="1" applyAlignment="1">
      <alignment horizontal="center"/>
    </xf>
    <xf numFmtId="0" fontId="8" fillId="39" borderId="186" xfId="0" applyFont="1" applyFill="1" applyBorder="1" applyAlignment="1">
      <alignment horizontal="center"/>
    </xf>
    <xf numFmtId="0" fontId="8" fillId="39" borderId="146" xfId="0" applyFont="1" applyFill="1" applyBorder="1" applyAlignment="1">
      <alignment horizontal="center"/>
    </xf>
    <xf numFmtId="0" fontId="8" fillId="39" borderId="138" xfId="0" applyFont="1" applyFill="1" applyBorder="1" applyAlignment="1">
      <alignment horizontal="center"/>
    </xf>
    <xf numFmtId="0" fontId="64" fillId="0" borderId="110" xfId="28" applyFont="1" applyBorder="1" applyAlignment="1">
      <alignment horizontal="center" vertical="center"/>
    </xf>
    <xf numFmtId="0" fontId="64" fillId="0" borderId="112" xfId="28" applyFont="1" applyBorder="1" applyAlignment="1">
      <alignment horizontal="center" vertical="center"/>
    </xf>
    <xf numFmtId="0" fontId="54" fillId="36" borderId="0" xfId="0" applyFont="1" applyFill="1" applyAlignment="1">
      <alignment horizontal="left" vertical="center"/>
    </xf>
    <xf numFmtId="0" fontId="54" fillId="36" borderId="132" xfId="0" applyFont="1" applyFill="1" applyBorder="1" applyAlignment="1">
      <alignment horizontal="left" vertical="center"/>
    </xf>
    <xf numFmtId="0" fontId="55" fillId="0" borderId="110" xfId="0" applyFont="1" applyBorder="1" applyAlignment="1">
      <alignment horizontal="center" vertical="center"/>
    </xf>
    <xf numFmtId="0" fontId="55" fillId="0" borderId="113" xfId="0" applyFont="1" applyBorder="1" applyAlignment="1">
      <alignment horizontal="center" vertical="center"/>
    </xf>
    <xf numFmtId="0" fontId="55" fillId="0" borderId="112" xfId="0" applyFont="1" applyBorder="1" applyAlignment="1">
      <alignment horizontal="center" vertical="center"/>
    </xf>
    <xf numFmtId="0" fontId="55" fillId="0" borderId="120" xfId="0" applyFont="1" applyBorder="1" applyAlignment="1">
      <alignment horizontal="center" vertical="center" wrapText="1"/>
    </xf>
    <xf numFmtId="0" fontId="55" fillId="0" borderId="117" xfId="0" applyFont="1" applyBorder="1" applyAlignment="1">
      <alignment horizontal="center" vertical="center" wrapText="1"/>
    </xf>
    <xf numFmtId="0" fontId="55" fillId="0" borderId="270" xfId="0" applyFont="1" applyBorder="1" applyAlignment="1">
      <alignment horizontal="center" vertical="center" wrapText="1"/>
    </xf>
    <xf numFmtId="0" fontId="55" fillId="0" borderId="271" xfId="0" applyFont="1" applyBorder="1" applyAlignment="1">
      <alignment horizontal="center" vertical="center" wrapText="1"/>
    </xf>
    <xf numFmtId="0" fontId="60" fillId="28" borderId="119" xfId="0" applyFont="1" applyFill="1" applyBorder="1" applyAlignment="1">
      <alignment horizontal="center"/>
    </xf>
    <xf numFmtId="0" fontId="60" fillId="28" borderId="0" xfId="0" applyFont="1" applyFill="1" applyAlignment="1">
      <alignment horizontal="center"/>
    </xf>
    <xf numFmtId="0" fontId="60" fillId="28" borderId="131" xfId="0" applyFont="1" applyFill="1" applyBorder="1" applyAlignment="1">
      <alignment horizontal="center"/>
    </xf>
    <xf numFmtId="0" fontId="60" fillId="28" borderId="115" xfId="0" applyFont="1" applyFill="1" applyBorder="1" applyAlignment="1">
      <alignment horizontal="center"/>
    </xf>
    <xf numFmtId="0" fontId="60" fillId="28" borderId="178" xfId="0" applyFont="1" applyFill="1" applyBorder="1" applyAlignment="1">
      <alignment horizontal="center"/>
    </xf>
    <xf numFmtId="0" fontId="53" fillId="12" borderId="185" xfId="0" applyFont="1" applyFill="1" applyBorder="1" applyAlignment="1">
      <alignment horizontal="center"/>
    </xf>
    <xf numFmtId="0" fontId="53" fillId="12" borderId="186" xfId="0" applyFont="1" applyFill="1" applyBorder="1" applyAlignment="1">
      <alignment horizontal="center"/>
    </xf>
    <xf numFmtId="0" fontId="53" fillId="12" borderId="273" xfId="0" applyFont="1" applyFill="1" applyBorder="1" applyAlignment="1">
      <alignment horizontal="center"/>
    </xf>
    <xf numFmtId="0" fontId="53" fillId="12" borderId="166" xfId="0" applyFont="1" applyFill="1" applyBorder="1" applyAlignment="1">
      <alignment horizontal="center"/>
    </xf>
    <xf numFmtId="0" fontId="53" fillId="39" borderId="185" xfId="0" applyFont="1" applyFill="1" applyBorder="1" applyAlignment="1">
      <alignment horizontal="center"/>
    </xf>
    <xf numFmtId="0" fontId="53" fillId="39" borderId="186" xfId="0" applyFont="1" applyFill="1" applyBorder="1" applyAlignment="1">
      <alignment horizontal="center"/>
    </xf>
    <xf numFmtId="0" fontId="53" fillId="39" borderId="146" xfId="0" applyFont="1" applyFill="1" applyBorder="1" applyAlignment="1">
      <alignment horizontal="center"/>
    </xf>
    <xf numFmtId="0" fontId="53" fillId="39" borderId="166" xfId="0" applyFont="1" applyFill="1" applyBorder="1" applyAlignment="1">
      <alignment horizontal="center"/>
    </xf>
    <xf numFmtId="0" fontId="55" fillId="0" borderId="117" xfId="0" applyFont="1" applyBorder="1" applyAlignment="1">
      <alignment horizontal="center" vertical="center"/>
    </xf>
    <xf numFmtId="0" fontId="55" fillId="0" borderId="120" xfId="0" applyFont="1" applyBorder="1" applyAlignment="1">
      <alignment horizontal="center" vertical="center"/>
    </xf>
    <xf numFmtId="0" fontId="55" fillId="0" borderId="269" xfId="0" applyFont="1" applyBorder="1" applyAlignment="1">
      <alignment horizontal="center" vertical="center"/>
    </xf>
    <xf numFmtId="0" fontId="55" fillId="0" borderId="157" xfId="0" applyFont="1" applyBorder="1" applyAlignment="1">
      <alignment horizontal="center" vertical="center"/>
    </xf>
    <xf numFmtId="0" fontId="55" fillId="0" borderId="109" xfId="0" applyFont="1" applyBorder="1" applyAlignment="1">
      <alignment horizontal="center" vertical="center"/>
    </xf>
    <xf numFmtId="0" fontId="77" fillId="7" borderId="0" xfId="0" applyFont="1" applyFill="1" applyAlignment="1">
      <alignment horizontal="center"/>
    </xf>
    <xf numFmtId="0" fontId="42" fillId="0" borderId="0" xfId="0" applyFont="1" applyAlignment="1">
      <alignment horizontal="center"/>
    </xf>
    <xf numFmtId="0" fontId="9" fillId="0" borderId="0" xfId="0" applyFont="1" applyAlignment="1">
      <alignment horizontal="center"/>
    </xf>
    <xf numFmtId="0" fontId="38" fillId="0" borderId="0" xfId="0" applyFont="1" applyAlignment="1">
      <alignment horizontal="center"/>
    </xf>
    <xf numFmtId="0" fontId="12" fillId="0" borderId="3" xfId="0" applyFont="1" applyBorder="1" applyAlignment="1">
      <alignment horizontal="center"/>
    </xf>
    <xf numFmtId="0" fontId="12" fillId="0" borderId="2" xfId="0" applyFont="1" applyBorder="1" applyAlignment="1">
      <alignment horizontal="center"/>
    </xf>
    <xf numFmtId="0" fontId="12" fillId="0" borderId="28" xfId="0" applyFont="1" applyBorder="1" applyAlignment="1">
      <alignment horizontal="center"/>
    </xf>
    <xf numFmtId="0" fontId="12" fillId="0" borderId="5" xfId="0" applyFont="1" applyBorder="1" applyAlignment="1">
      <alignment horizontal="center"/>
    </xf>
    <xf numFmtId="0" fontId="12" fillId="0" borderId="29" xfId="0" applyFont="1" applyBorder="1" applyAlignment="1">
      <alignment horizontal="center"/>
    </xf>
    <xf numFmtId="0" fontId="34" fillId="0" borderId="0" xfId="0" applyFont="1" applyAlignment="1">
      <alignment horizontal="center"/>
    </xf>
    <xf numFmtId="0" fontId="22" fillId="0" borderId="0" xfId="0" applyFont="1" applyAlignment="1">
      <alignment horizontal="center"/>
    </xf>
    <xf numFmtId="0" fontId="34" fillId="19" borderId="0" xfId="0" applyFont="1" applyFill="1" applyAlignment="1">
      <alignment horizontal="center"/>
    </xf>
    <xf numFmtId="4" fontId="34" fillId="19" borderId="0" xfId="0" applyNumberFormat="1" applyFont="1" applyFill="1" applyAlignment="1">
      <alignment horizontal="center"/>
    </xf>
  </cellXfs>
  <cellStyles count="35">
    <cellStyle name="blp_title_header_row_left" xfId="1" xr:uid="{00000000-0005-0000-0000-000000000000}"/>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Hiperligação" xfId="34" builtinId="8"/>
    <cellStyle name="Moneda 2" xfId="11" xr:uid="{00000000-0005-0000-0000-00000B000000}"/>
    <cellStyle name="Moneda 2 2" xfId="12" xr:uid="{00000000-0005-0000-0000-00000C000000}"/>
    <cellStyle name="Normal" xfId="0" builtinId="0"/>
    <cellStyle name="Normal 2" xfId="13" xr:uid="{00000000-0005-0000-0000-00000E000000}"/>
    <cellStyle name="Normal 2 2" xfId="14" xr:uid="{00000000-0005-0000-0000-00000F000000}"/>
    <cellStyle name="Normal 2 3" xfId="19" xr:uid="{00000000-0005-0000-0000-000010000000}"/>
    <cellStyle name="Normal 2 3 2" xfId="26" xr:uid="{6A4611F8-31D7-4EA6-B27B-70EB4E34E8FD}"/>
    <cellStyle name="Normal 2 4" xfId="20" xr:uid="{DBC68614-B0BC-4348-8A0D-C96562B201CF}"/>
    <cellStyle name="Normal 3" xfId="23" xr:uid="{371B90F0-6B8E-40BF-8358-D28B574437C9}"/>
    <cellStyle name="Normal 3 2" xfId="25" xr:uid="{41BD78A2-6B23-4ADD-839D-9D86F14E11A2}"/>
    <cellStyle name="Normal 3 3" xfId="28" xr:uid="{4CBFF9A4-05AD-4A91-8AF0-FA0B5B39E2EC}"/>
    <cellStyle name="Normal 5" xfId="29" xr:uid="{E3BE1569-E214-4855-8BF5-B868B88B5743}"/>
    <cellStyle name="Normal 9" xfId="32" xr:uid="{CACD4D4E-2C7F-4816-9692-26D0FDD559DC}"/>
    <cellStyle name="Percentagem" xfId="15" builtinId="5"/>
    <cellStyle name="Porcentaje 2" xfId="16" xr:uid="{00000000-0005-0000-0000-000012000000}"/>
    <cellStyle name="Porcentaje 2 2" xfId="17" xr:uid="{00000000-0005-0000-0000-000013000000}"/>
    <cellStyle name="Porcentaje 2 2 2" xfId="24" xr:uid="{924DB8B0-6B9C-4A78-9CB6-7EC8F42C7C6B}"/>
    <cellStyle name="Porcentaje 2 3" xfId="22" xr:uid="{1FF2580F-E450-433A-8AB5-6E1CABCA8FC9}"/>
    <cellStyle name="Porcentaje 2 4" xfId="27" xr:uid="{3D812F63-E4F6-4F6D-A613-EF79E76ACE35}"/>
    <cellStyle name="Porcentaje 3" xfId="18" xr:uid="{00000000-0005-0000-0000-000014000000}"/>
    <cellStyle name="Porcentaje 3 2" xfId="21" xr:uid="{59E732CE-B697-4AF7-8CEE-0C42EB60E78B}"/>
    <cellStyle name="Porcentaje 4 2" xfId="31" xr:uid="{C6A0E8B8-33DC-4334-89A4-99FF669E5EA8}"/>
    <cellStyle name="Porcentaje 5" xfId="30" xr:uid="{F07CEC0B-CE59-4BBC-A0C7-9B77A84167BF}"/>
    <cellStyle name="Vírgula" xfId="33" builtinId="3"/>
  </cellStyles>
  <dxfs count="63">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numFmt numFmtId="14" formatCode="0.00%"/>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ont>
        <b val="0"/>
        <i/>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alignment horizontal="left" vertical="bottom" textRotation="0" wrapText="0" indent="0" justifyLastLine="0" shrinkToFit="0" readingOrder="0"/>
    </dxf>
    <dxf>
      <font>
        <b val="0"/>
        <i/>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1"/>
        <color auto="1"/>
        <name val="Calibri"/>
        <family val="2"/>
        <scheme val="none"/>
      </font>
      <alignment horizontal="center" vertical="bottom" textRotation="0" wrapText="0" indent="0" justifyLastLine="0" shrinkToFit="0" readingOrder="0"/>
    </dxf>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7B8256E5-5961-45BC-8E74-75040304E975}"/>
  </tableStyles>
  <colors>
    <mruColors>
      <color rgb="FF1F497D"/>
      <color rgb="FFF2F2F2"/>
      <color rgb="FFC5D9F1"/>
      <color rgb="FF3174C5"/>
      <color rgb="FF63CB97"/>
      <color rgb="FF1B708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22/10/relationships/richValueRel" Target="richData/richValueRel.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RichValueTypes" Target="richData/rdRichValueType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SupportingPropertyBag" Target="richData/rdsupportingpropertybag.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Segments!$C$17:$C$20</c:f>
              <c:strCache>
                <c:ptCount val="4"/>
                <c:pt idx="0">
                  <c:v>Homebuilding</c:v>
                </c:pt>
                <c:pt idx="1">
                  <c:v>Financial Services</c:v>
                </c:pt>
                <c:pt idx="2">
                  <c:v>Multifamily</c:v>
                </c:pt>
                <c:pt idx="3">
                  <c:v>Lennar other</c:v>
                </c:pt>
              </c:strCache>
            </c:strRef>
          </c:cat>
          <c:val>
            <c:numRef>
              <c:f>Segments!$D$17:$D$20</c:f>
              <c:numCache>
                <c:formatCode>"$"#,##0</c:formatCode>
                <c:ptCount val="4"/>
                <c:pt idx="0">
                  <c:v>32660987</c:v>
                </c:pt>
                <c:pt idx="1">
                  <c:v>976859</c:v>
                </c:pt>
                <c:pt idx="2">
                  <c:v>573485</c:v>
                </c:pt>
                <c:pt idx="3">
                  <c:v>22035</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9F-49D6-9FC9-334380BCCA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9F-49D6-9FC9-334380BCCA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C0-4978-822B-C231DBE6DF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C0-4978-822B-C231DBE6DFF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C0-4978-822B-C231DBE6DF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Segments!$C$5:$C$9</c:f>
              <c:strCache>
                <c:ptCount val="5"/>
                <c:pt idx="0">
                  <c:v>East: Alabama, Florida, New Jersey, Pennsylvania, South Carolina</c:v>
                </c:pt>
                <c:pt idx="1">
                  <c:v>Central: Georgia, Illnois, Indiana, North Carolina, Virginia, Tennessee, Minnesota, Maryland</c:v>
                </c:pt>
                <c:pt idx="2">
                  <c:v>Texas</c:v>
                </c:pt>
                <c:pt idx="3">
                  <c:v>West: Idaho, California, Colorado, Arizona, Nevada, Utah, Oregon, Washington</c:v>
                </c:pt>
                <c:pt idx="4">
                  <c:v>Other: Primarly California, including Five Point</c:v>
                </c:pt>
              </c:strCache>
            </c:strRef>
          </c:cat>
          <c:val>
            <c:numRef>
              <c:f>Segments!$D$5:$D$9</c:f>
              <c:numCache>
                <c:formatCode>"$"#,##0</c:formatCode>
                <c:ptCount val="5"/>
                <c:pt idx="0">
                  <c:v>9563108</c:v>
                </c:pt>
                <c:pt idx="1">
                  <c:v>6127748</c:v>
                </c:pt>
                <c:pt idx="2">
                  <c:v>4692906</c:v>
                </c:pt>
                <c:pt idx="3">
                  <c:v>12052131</c:v>
                </c:pt>
                <c:pt idx="4">
                  <c:v>23236</c:v>
                </c:pt>
              </c:numCache>
            </c:numRef>
          </c:val>
          <c:extLst>
            <c:ext xmlns:c16="http://schemas.microsoft.com/office/drawing/2014/chart" uri="{C3380CC4-5D6E-409C-BE32-E72D297353CC}">
              <c16:uniqueId val="{00000001-C3B0-4A61-A0D4-9A0AF72915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Peers!$C$8</c:f>
              <c:strCache>
                <c:ptCount val="1"/>
                <c:pt idx="0">
                  <c:v>LENNAR CORPORATION (XNYS:LEN.B)</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Peers!$C$21</c:f>
              <c:numCache>
                <c:formatCode>0.00</c:formatCode>
                <c:ptCount val="1"/>
                <c:pt idx="0">
                  <c:v>-0.24099709477884476</c:v>
                </c:pt>
              </c:numCache>
            </c:numRef>
          </c:xVal>
          <c:yVal>
            <c:numRef>
              <c:f>Peers!$C$37</c:f>
              <c:numCache>
                <c:formatCode>0.0</c:formatCode>
                <c:ptCount val="1"/>
                <c:pt idx="0">
                  <c:v>4.3006121655925593</c:v>
                </c:pt>
              </c:numCache>
            </c:numRef>
          </c:yVal>
          <c:smooth val="0"/>
          <c:extLst>
            <c:ext xmlns:c16="http://schemas.microsoft.com/office/drawing/2014/chart" uri="{C3380CC4-5D6E-409C-BE32-E72D297353CC}">
              <c16:uniqueId val="{00000001-B547-4DF9-892F-3129917FB3B3}"/>
            </c:ext>
          </c:extLst>
        </c:ser>
        <c:ser>
          <c:idx val="1"/>
          <c:order val="1"/>
          <c:tx>
            <c:strRef>
              <c:f>Peers!$D$8</c:f>
              <c:strCache>
                <c:ptCount val="1"/>
                <c:pt idx="0">
                  <c:v>PULTEGROUP, INC. (XNYS:PHM)</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Peers!$D$21</c:f>
              <c:numCache>
                <c:formatCode>0.00</c:formatCode>
                <c:ptCount val="1"/>
                <c:pt idx="0">
                  <c:v>6.2523509018399329E-2</c:v>
                </c:pt>
              </c:numCache>
            </c:numRef>
          </c:xVal>
          <c:yVal>
            <c:numRef>
              <c:f>Peers!$D$37</c:f>
              <c:numCache>
                <c:formatCode>0.0</c:formatCode>
                <c:ptCount val="1"/>
                <c:pt idx="0">
                  <c:v>5.2600896067479379</c:v>
                </c:pt>
              </c:numCache>
            </c:numRef>
          </c:yVal>
          <c:smooth val="0"/>
          <c:extLst>
            <c:ext xmlns:c16="http://schemas.microsoft.com/office/drawing/2014/chart" uri="{C3380CC4-5D6E-409C-BE32-E72D297353CC}">
              <c16:uniqueId val="{00000002-B547-4DF9-892F-3129917FB3B3}"/>
            </c:ext>
          </c:extLst>
        </c:ser>
        <c:ser>
          <c:idx val="2"/>
          <c:order val="2"/>
          <c:tx>
            <c:strRef>
              <c:f>Peers!$E$8</c:f>
              <c:strCache>
                <c:ptCount val="1"/>
                <c:pt idx="0">
                  <c:v>TOLL BROTHERS, INC. (XNYS:TOL)</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Peers!$E$21</c:f>
              <c:numCache>
                <c:formatCode>0.00</c:formatCode>
                <c:ptCount val="1"/>
                <c:pt idx="0">
                  <c:v>0.93506485575396348</c:v>
                </c:pt>
              </c:numCache>
            </c:numRef>
          </c:xVal>
          <c:yVal>
            <c:numRef>
              <c:f>Peers!$E$37</c:f>
              <c:numCache>
                <c:formatCode>0.0</c:formatCode>
                <c:ptCount val="1"/>
                <c:pt idx="0">
                  <c:v>5.9185686553839938</c:v>
                </c:pt>
              </c:numCache>
            </c:numRef>
          </c:yVal>
          <c:smooth val="0"/>
          <c:extLst>
            <c:ext xmlns:c16="http://schemas.microsoft.com/office/drawing/2014/chart" uri="{C3380CC4-5D6E-409C-BE32-E72D297353CC}">
              <c16:uniqueId val="{00000003-B547-4DF9-892F-3129917FB3B3}"/>
            </c:ext>
          </c:extLst>
        </c:ser>
        <c:ser>
          <c:idx val="3"/>
          <c:order val="3"/>
          <c:tx>
            <c:strRef>
              <c:f>Peers!$F$8</c:f>
              <c:strCache>
                <c:ptCount val="1"/>
                <c:pt idx="0">
                  <c:v>D.R. HORTON, INC. (XNYS:DHI)</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Peers!$F$21</c:f>
              <c:numCache>
                <c:formatCode>0.00</c:formatCode>
                <c:ptCount val="1"/>
                <c:pt idx="0">
                  <c:v>0.20490215074597953</c:v>
                </c:pt>
              </c:numCache>
            </c:numRef>
          </c:xVal>
          <c:yVal>
            <c:numRef>
              <c:f>Peers!$F$37</c:f>
              <c:numCache>
                <c:formatCode>0.0</c:formatCode>
                <c:ptCount val="1"/>
                <c:pt idx="0">
                  <c:v>6.0642206754182011</c:v>
                </c:pt>
              </c:numCache>
            </c:numRef>
          </c:yVal>
          <c:smooth val="0"/>
          <c:extLst>
            <c:ext xmlns:c16="http://schemas.microsoft.com/office/drawing/2014/chart" uri="{C3380CC4-5D6E-409C-BE32-E72D297353CC}">
              <c16:uniqueId val="{00000004-B547-4DF9-892F-3129917FB3B3}"/>
            </c:ext>
          </c:extLst>
        </c:ser>
        <c:ser>
          <c:idx val="4"/>
          <c:order val="4"/>
          <c:tx>
            <c:strRef>
              <c:f>Peers!$G$8</c:f>
              <c:strCache>
                <c:ptCount val="1"/>
                <c:pt idx="0">
                  <c:v>NVR, Inc. (XNYS:NVR)</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Peers!$G$21</c:f>
              <c:numCache>
                <c:formatCode>0.00</c:formatCode>
                <c:ptCount val="1"/>
                <c:pt idx="0">
                  <c:v>-1.0889829799764725</c:v>
                </c:pt>
              </c:numCache>
            </c:numRef>
          </c:xVal>
          <c:yVal>
            <c:numRef>
              <c:f>Peers!$G$37</c:f>
              <c:numCache>
                <c:formatCode>0.0</c:formatCode>
                <c:ptCount val="1"/>
                <c:pt idx="0">
                  <c:v>8.9931445508403574</c:v>
                </c:pt>
              </c:numCache>
            </c:numRef>
          </c:yVal>
          <c:smooth val="0"/>
          <c:extLst>
            <c:ext xmlns:c16="http://schemas.microsoft.com/office/drawing/2014/chart" uri="{C3380CC4-5D6E-409C-BE32-E72D297353CC}">
              <c16:uniqueId val="{00000005-B547-4DF9-892F-3129917FB3B3}"/>
            </c:ext>
          </c:extLst>
        </c:ser>
        <c:ser>
          <c:idx val="5"/>
          <c:order val="5"/>
          <c:tx>
            <c:strRef>
              <c:f>Peers!$H$8</c:f>
              <c:strCache>
                <c:ptCount val="1"/>
                <c:pt idx="0">
                  <c:v>KB HOME (XNYS:KBH)</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Peers!$H$21</c:f>
              <c:numCache>
                <c:formatCode>0.00</c:formatCode>
                <c:ptCount val="1"/>
                <c:pt idx="0">
                  <c:v>1.2697744519203491</c:v>
                </c:pt>
              </c:numCache>
            </c:numRef>
          </c:xVal>
          <c:yVal>
            <c:numRef>
              <c:f>Peers!$H$37</c:f>
              <c:numCache>
                <c:formatCode>0.0</c:formatCode>
                <c:ptCount val="1"/>
                <c:pt idx="0">
                  <c:v>5.96827686094176</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layout>
        <c:manualLayout>
          <c:xMode val="edge"/>
          <c:yMode val="edge"/>
          <c:x val="0.79514918527433731"/>
          <c:y val="0.20740538534966782"/>
          <c:w val="0.20485076537264754"/>
          <c:h val="0.4410097908889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Peers!$C$8</c:f>
              <c:strCache>
                <c:ptCount val="1"/>
                <c:pt idx="0">
                  <c:v>LENNAR CORPORATION (XNYS:LEN.B)</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Peers!$C$44</c:f>
              <c:numCache>
                <c:formatCode>0%</c:formatCode>
                <c:ptCount val="1"/>
                <c:pt idx="0">
                  <c:v>1.4367000000000001</c:v>
                </c:pt>
              </c:numCache>
            </c:numRef>
          </c:xVal>
          <c:yVal>
            <c:numRef>
              <c:f>Peers!$C$49</c:f>
              <c:numCache>
                <c:formatCode>0%</c:formatCode>
                <c:ptCount val="1"/>
                <c:pt idx="0">
                  <c:v>0.23597291222242905</c:v>
                </c:pt>
              </c:numCache>
            </c:numRef>
          </c:yVal>
          <c:smooth val="0"/>
          <c:extLst>
            <c:ext xmlns:c16="http://schemas.microsoft.com/office/drawing/2014/chart" uri="{C3380CC4-5D6E-409C-BE32-E72D297353CC}">
              <c16:uniqueId val="{00000000-A0AB-4E28-9E73-D8DF3D5B0514}"/>
            </c:ext>
          </c:extLst>
        </c:ser>
        <c:ser>
          <c:idx val="1"/>
          <c:order val="1"/>
          <c:tx>
            <c:strRef>
              <c:f>Peers!$D$8</c:f>
              <c:strCache>
                <c:ptCount val="1"/>
                <c:pt idx="0">
                  <c:v>PULTEGROUP, INC. (XNYS:PHM)</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Peers!$D$44</c:f>
              <c:numCache>
                <c:formatCode>0%</c:formatCode>
                <c:ptCount val="1"/>
                <c:pt idx="0">
                  <c:v>2.0371999999999999</c:v>
                </c:pt>
              </c:numCache>
            </c:numRef>
          </c:xVal>
          <c:yVal>
            <c:numRef>
              <c:f>Peers!$D$49</c:f>
              <c:numCache>
                <c:formatCode>0.00%</c:formatCode>
                <c:ptCount val="1"/>
                <c:pt idx="0">
                  <c:v>0.23113</c:v>
                </c:pt>
              </c:numCache>
            </c:numRef>
          </c:yVal>
          <c:smooth val="0"/>
          <c:extLst>
            <c:ext xmlns:c16="http://schemas.microsoft.com/office/drawing/2014/chart" uri="{C3380CC4-5D6E-409C-BE32-E72D297353CC}">
              <c16:uniqueId val="{00000001-A0AB-4E28-9E73-D8DF3D5B0514}"/>
            </c:ext>
          </c:extLst>
        </c:ser>
        <c:ser>
          <c:idx val="2"/>
          <c:order val="2"/>
          <c:tx>
            <c:strRef>
              <c:f>Peers!$E$8</c:f>
              <c:strCache>
                <c:ptCount val="1"/>
                <c:pt idx="0">
                  <c:v>TOLL BROTHERS, INC. (XNYS:TOL)</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Peers!$E$44</c:f>
              <c:numCache>
                <c:formatCode>0%</c:formatCode>
                <c:ptCount val="1"/>
                <c:pt idx="0">
                  <c:v>1.7275100000000001</c:v>
                </c:pt>
              </c:numCache>
            </c:numRef>
          </c:xVal>
          <c:yVal>
            <c:numRef>
              <c:f>Peers!$E$49</c:f>
              <c:numCache>
                <c:formatCode>0.00%</c:formatCode>
                <c:ptCount val="1"/>
                <c:pt idx="0">
                  <c:v>0.25623299999999999</c:v>
                </c:pt>
              </c:numCache>
            </c:numRef>
          </c:yVal>
          <c:smooth val="0"/>
          <c:extLst>
            <c:ext xmlns:c16="http://schemas.microsoft.com/office/drawing/2014/chart" uri="{C3380CC4-5D6E-409C-BE32-E72D297353CC}">
              <c16:uniqueId val="{00000002-A0AB-4E28-9E73-D8DF3D5B0514}"/>
            </c:ext>
          </c:extLst>
        </c:ser>
        <c:ser>
          <c:idx val="3"/>
          <c:order val="3"/>
          <c:tx>
            <c:strRef>
              <c:f>Peers!$F$8</c:f>
              <c:strCache>
                <c:ptCount val="1"/>
                <c:pt idx="0">
                  <c:v>D.R. HORTON, INC. (XNYS:DHI)</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Peers!$F$44</c:f>
              <c:numCache>
                <c:formatCode>0%</c:formatCode>
                <c:ptCount val="1"/>
                <c:pt idx="0">
                  <c:v>1.2898327203701503</c:v>
                </c:pt>
              </c:numCache>
            </c:numRef>
          </c:xVal>
          <c:yVal>
            <c:numRef>
              <c:f>Peers!$F$49</c:f>
              <c:numCache>
                <c:formatCode>0.00%</c:formatCode>
                <c:ptCount val="1"/>
                <c:pt idx="0">
                  <c:v>2.0276449071468772</c:v>
                </c:pt>
              </c:numCache>
            </c:numRef>
          </c:yVal>
          <c:smooth val="0"/>
          <c:extLst>
            <c:ext xmlns:c16="http://schemas.microsoft.com/office/drawing/2014/chart" uri="{C3380CC4-5D6E-409C-BE32-E72D297353CC}">
              <c16:uniqueId val="{00000003-A0AB-4E28-9E73-D8DF3D5B0514}"/>
            </c:ext>
          </c:extLst>
        </c:ser>
        <c:ser>
          <c:idx val="5"/>
          <c:order val="4"/>
          <c:tx>
            <c:strRef>
              <c:f>Peers!$G$8</c:f>
              <c:strCache>
                <c:ptCount val="1"/>
                <c:pt idx="0">
                  <c:v>NVR, Inc. (XNYS:NVR)</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Peers!$G$44</c:f>
              <c:numCache>
                <c:formatCode>0%</c:formatCode>
                <c:ptCount val="1"/>
                <c:pt idx="0">
                  <c:v>1.9772037422037423</c:v>
                </c:pt>
              </c:numCache>
            </c:numRef>
          </c:xVal>
          <c:yVal>
            <c:numRef>
              <c:f>Peers!$G$49</c:f>
              <c:numCache>
                <c:formatCode>0.00%</c:formatCode>
                <c:ptCount val="1"/>
                <c:pt idx="0">
                  <c:v>1.618916228685928</c:v>
                </c:pt>
              </c:numCache>
            </c:numRef>
          </c:yVal>
          <c:smooth val="0"/>
          <c:extLst>
            <c:ext xmlns:c16="http://schemas.microsoft.com/office/drawing/2014/chart" uri="{C3380CC4-5D6E-409C-BE32-E72D297353CC}">
              <c16:uniqueId val="{00000005-A0AB-4E28-9E73-D8DF3D5B0514}"/>
            </c:ext>
          </c:extLst>
        </c:ser>
        <c:ser>
          <c:idx val="6"/>
          <c:order val="5"/>
          <c:tx>
            <c:strRef>
              <c:f>Peers!$H$8</c:f>
              <c:strCache>
                <c:ptCount val="1"/>
                <c:pt idx="0">
                  <c:v>KB HOME (XNYS:KBH)</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Peers!$H$44</c:f>
              <c:numCache>
                <c:formatCode>0%</c:formatCode>
                <c:ptCount val="1"/>
                <c:pt idx="0">
                  <c:v>2.2707905544147842</c:v>
                </c:pt>
              </c:numCache>
            </c:numRef>
          </c:xVal>
          <c:yVal>
            <c:numRef>
              <c:f>Peers!$H$49</c:f>
              <c:numCache>
                <c:formatCode>0.00%</c:formatCode>
                <c:ptCount val="1"/>
                <c:pt idx="0">
                  <c:v>3.484955484456576</c:v>
                </c:pt>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layout>
        <c:manualLayout>
          <c:xMode val="edge"/>
          <c:yMode val="edge"/>
          <c:x val="0.72635310134186004"/>
          <c:y val="0.10528135202611869"/>
          <c:w val="0.17018842544974519"/>
          <c:h val="0.43200295105462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ESG!$Q$55</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3-D00D-4823-9007-DC439E2C23DA}"/>
            </c:ext>
          </c:extLst>
        </c:ser>
        <c:ser>
          <c:idx val="4"/>
          <c:order val="4"/>
          <c:tx>
            <c:strRef>
              <c:f>ESG!$R$55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ESG!$S$55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ESG!$S$56:$S$64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ESG!$Q$67</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3-5789-4750-89D4-9EEBF96780C0}"/>
            </c:ext>
          </c:extLst>
        </c:ser>
        <c:ser>
          <c:idx val="4"/>
          <c:order val="4"/>
          <c:tx>
            <c:strRef>
              <c:f>ESG!$R$67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ESG!$R$68:$R$76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ESG!$S$67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ESG!$S$68:$S$76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PT"/>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ESG!$Q$79</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3-917B-4C45-979C-FFDB55C82DDB}"/>
            </c:ext>
          </c:extLst>
        </c:ser>
        <c:ser>
          <c:idx val="4"/>
          <c:order val="4"/>
          <c:tx>
            <c:strRef>
              <c:f>ESG!$R$79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ESG!$S$79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ESG!$S$80:$S$88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chart" Target="../charts/chart2.xml"/><Relationship Id="rId7" Type="http://schemas.openxmlformats.org/officeDocument/2006/relationships/image" Target="../media/image12.png"/><Relationship Id="rId2" Type="http://schemas.openxmlformats.org/officeDocument/2006/relationships/chart" Target="../charts/chart1.xml"/><Relationship Id="rId1" Type="http://schemas.openxmlformats.org/officeDocument/2006/relationships/image" Target="../media/image8.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18</xdr:row>
      <xdr:rowOff>77973</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18</xdr:row>
      <xdr:rowOff>77973</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18</xdr:row>
      <xdr:rowOff>77973</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38100</xdr:colOff>
      <xdr:row>82</xdr:row>
      <xdr:rowOff>9525</xdr:rowOff>
    </xdr:from>
    <xdr:to>
      <xdr:col>12</xdr:col>
      <xdr:colOff>1181100</xdr:colOff>
      <xdr:row>106</xdr:row>
      <xdr:rowOff>28575</xdr:rowOff>
    </xdr:to>
    <xdr:pic>
      <xdr:nvPicPr>
        <xdr:cNvPr id="2" name="Picture 1">
          <a:extLst>
            <a:ext uri="{FF2B5EF4-FFF2-40B4-BE49-F238E27FC236}">
              <a16:creationId xmlns:a16="http://schemas.microsoft.com/office/drawing/2014/main" id="{A11C11C8-D3DA-42D0-B3AD-35E4F0C4254A}"/>
            </a:ext>
            <a:ext uri="{147F2762-F138-4A5C-976F-8EAC2B608ADB}">
              <a16:predDERef xmlns:a16="http://schemas.microsoft.com/office/drawing/2014/main" pred="{D38869C9-D998-A047-96C8-5B849EBEA94D}"/>
            </a:ext>
          </a:extLst>
        </xdr:cNvPr>
        <xdr:cNvPicPr>
          <a:picLocks noChangeAspect="1"/>
        </xdr:cNvPicPr>
      </xdr:nvPicPr>
      <xdr:blipFill>
        <a:blip xmlns:r="http://schemas.openxmlformats.org/officeDocument/2006/relationships" r:embed="rId1"/>
        <a:stretch>
          <a:fillRect/>
        </a:stretch>
      </xdr:blipFill>
      <xdr:spPr>
        <a:xfrm>
          <a:off x="8562975" y="15220950"/>
          <a:ext cx="6943725" cy="3905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628650</xdr:colOff>
      <xdr:row>6</xdr:row>
      <xdr:rowOff>0</xdr:rowOff>
    </xdr:from>
    <xdr:to>
      <xdr:col>24</xdr:col>
      <xdr:colOff>695325</xdr:colOff>
      <xdr:row>23</xdr:row>
      <xdr:rowOff>390525</xdr:rowOff>
    </xdr:to>
    <xdr:pic>
      <xdr:nvPicPr>
        <xdr:cNvPr id="5" name="Imagem 4">
          <a:extLst>
            <a:ext uri="{FF2B5EF4-FFF2-40B4-BE49-F238E27FC236}">
              <a16:creationId xmlns:a16="http://schemas.microsoft.com/office/drawing/2014/main" id="{C2A5AF87-EA86-432D-A958-104633A0C6DA}"/>
            </a:ext>
            <a:ext uri="{147F2762-F138-4A5C-976F-8EAC2B608ADB}">
              <a16:predDERef xmlns:a16="http://schemas.microsoft.com/office/drawing/2014/main" pred="{2D9F9EFF-8C8B-4839-A102-86B66E9BDF73}"/>
            </a:ext>
          </a:extLst>
        </xdr:cNvPr>
        <xdr:cNvPicPr>
          <a:picLocks noChangeAspect="1"/>
        </xdr:cNvPicPr>
      </xdr:nvPicPr>
      <xdr:blipFill>
        <a:blip xmlns:r="http://schemas.openxmlformats.org/officeDocument/2006/relationships" r:embed="rId1"/>
        <a:stretch>
          <a:fillRect/>
        </a:stretch>
      </xdr:blipFill>
      <xdr:spPr>
        <a:xfrm>
          <a:off x="20107275" y="1076325"/>
          <a:ext cx="3114675" cy="3114675"/>
        </a:xfrm>
        <a:prstGeom prst="rect">
          <a:avLst/>
        </a:prstGeom>
      </xdr:spPr>
    </xdr:pic>
    <xdr:clientData/>
  </xdr:twoCellAnchor>
  <xdr:twoCellAnchor>
    <xdr:from>
      <xdr:col>7</xdr:col>
      <xdr:colOff>1019175</xdr:colOff>
      <xdr:row>23</xdr:row>
      <xdr:rowOff>95250</xdr:rowOff>
    </xdr:from>
    <xdr:to>
      <xdr:col>11</xdr:col>
      <xdr:colOff>638175</xdr:colOff>
      <xdr:row>28</xdr:row>
      <xdr:rowOff>685800</xdr:rowOff>
    </xdr:to>
    <xdr:graphicFrame macro="">
      <xdr:nvGraphicFramePr>
        <xdr:cNvPr id="7"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C2A5AF87-EA86-432D-A958-104633A0C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723900</xdr:colOff>
      <xdr:row>23</xdr:row>
      <xdr:rowOff>66675</xdr:rowOff>
    </xdr:from>
    <xdr:to>
      <xdr:col>15</xdr:col>
      <xdr:colOff>714375</xdr:colOff>
      <xdr:row>28</xdr:row>
      <xdr:rowOff>685800</xdr:rowOff>
    </xdr:to>
    <xdr:graphicFrame macro="">
      <xdr:nvGraphicFramePr>
        <xdr:cNvPr id="3" name="Chart 5">
          <a:extLst>
            <a:ext uri="{FF2B5EF4-FFF2-40B4-BE49-F238E27FC236}">
              <a16:creationId xmlns:a16="http://schemas.microsoft.com/office/drawing/2014/main" id="{1471EB7D-83EE-43B1-6F3B-DAB93ADF05E3}"/>
            </a:ext>
            <a:ext uri="{147F2762-F138-4A5C-976F-8EAC2B608ADB}">
              <a16:predDERef xmlns:a16="http://schemas.microsoft.com/office/drawing/2014/main" pred="{9E23D189-C3B7-523A-69E6-128398296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704850</xdr:colOff>
      <xdr:row>22</xdr:row>
      <xdr:rowOff>247650</xdr:rowOff>
    </xdr:from>
    <xdr:to>
      <xdr:col>11</xdr:col>
      <xdr:colOff>714375</xdr:colOff>
      <xdr:row>29</xdr:row>
      <xdr:rowOff>0</xdr:rowOff>
    </xdr:to>
    <xdr:cxnSp macro="">
      <xdr:nvCxnSpPr>
        <xdr:cNvPr id="9" name="Straight Connector 1">
          <a:extLst>
            <a:ext uri="{FF2B5EF4-FFF2-40B4-BE49-F238E27FC236}">
              <a16:creationId xmlns:a16="http://schemas.microsoft.com/office/drawing/2014/main" id="{2D9F9EFF-8C8B-4839-A102-86B66E9BDF73}"/>
            </a:ext>
            <a:ext uri="{147F2762-F138-4A5C-976F-8EAC2B608ADB}">
              <a16:predDERef xmlns:a16="http://schemas.microsoft.com/office/drawing/2014/main" pred="{1471EB7D-83EE-43B1-6F3B-DAB93ADF05E3}"/>
            </a:ext>
          </a:extLst>
        </xdr:cNvPr>
        <xdr:cNvCxnSpPr>
          <a:cxnSpLocks/>
        </xdr:cNvCxnSpPr>
      </xdr:nvCxnSpPr>
      <xdr:spPr bwMode="auto">
        <a:xfrm>
          <a:off x="12144375" y="432435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19050</xdr:colOff>
      <xdr:row>52</xdr:row>
      <xdr:rowOff>47625</xdr:rowOff>
    </xdr:from>
    <xdr:to>
      <xdr:col>35</xdr:col>
      <xdr:colOff>209550</xdr:colOff>
      <xdr:row>58</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16</xdr:col>
      <xdr:colOff>47625</xdr:colOff>
      <xdr:row>2</xdr:row>
      <xdr:rowOff>76200</xdr:rowOff>
    </xdr:from>
    <xdr:to>
      <xdr:col>21</xdr:col>
      <xdr:colOff>9525</xdr:colOff>
      <xdr:row>18</xdr:row>
      <xdr:rowOff>85725</xdr:rowOff>
    </xdr:to>
    <xdr:pic>
      <xdr:nvPicPr>
        <xdr:cNvPr id="2" name="Imagem 1">
          <a:extLst>
            <a:ext uri="{FF2B5EF4-FFF2-40B4-BE49-F238E27FC236}">
              <a16:creationId xmlns:a16="http://schemas.microsoft.com/office/drawing/2014/main" id="{D5A01DD4-97BC-0544-F09E-20410A6812C8}"/>
            </a:ext>
            <a:ext uri="{147F2762-F138-4A5C-976F-8EAC2B608ADB}">
              <a16:predDERef xmlns:a16="http://schemas.microsoft.com/office/drawing/2014/main" pred="{373BA1AE-84F4-1EA4-7F90-6E6AE589AB0D}"/>
            </a:ext>
          </a:extLst>
        </xdr:cNvPr>
        <xdr:cNvPicPr>
          <a:picLocks noChangeAspect="1"/>
        </xdr:cNvPicPr>
      </xdr:nvPicPr>
      <xdr:blipFill>
        <a:blip xmlns:r="http://schemas.openxmlformats.org/officeDocument/2006/relationships" r:embed="rId4"/>
        <a:stretch>
          <a:fillRect/>
        </a:stretch>
      </xdr:blipFill>
      <xdr:spPr>
        <a:xfrm>
          <a:off x="15678150" y="419100"/>
          <a:ext cx="4572000" cy="2562225"/>
        </a:xfrm>
        <a:prstGeom prst="rect">
          <a:avLst/>
        </a:prstGeom>
      </xdr:spPr>
    </xdr:pic>
    <xdr:clientData/>
  </xdr:twoCellAnchor>
  <xdr:twoCellAnchor editAs="oneCell">
    <xdr:from>
      <xdr:col>17</xdr:col>
      <xdr:colOff>704850</xdr:colOff>
      <xdr:row>24</xdr:row>
      <xdr:rowOff>276225</xdr:rowOff>
    </xdr:from>
    <xdr:to>
      <xdr:col>24</xdr:col>
      <xdr:colOff>590550</xdr:colOff>
      <xdr:row>28</xdr:row>
      <xdr:rowOff>628650</xdr:rowOff>
    </xdr:to>
    <xdr:pic>
      <xdr:nvPicPr>
        <xdr:cNvPr id="6" name="Imagem 5">
          <a:extLst>
            <a:ext uri="{FF2B5EF4-FFF2-40B4-BE49-F238E27FC236}">
              <a16:creationId xmlns:a16="http://schemas.microsoft.com/office/drawing/2014/main" id="{FFE28433-38B6-2F72-E87D-4BBA7486342B}"/>
            </a:ext>
            <a:ext uri="{147F2762-F138-4A5C-976F-8EAC2B608ADB}">
              <a16:predDERef xmlns:a16="http://schemas.microsoft.com/office/drawing/2014/main" pred="{D5A01DD4-97BC-0544-F09E-20410A6812C8}"/>
            </a:ext>
          </a:extLst>
        </xdr:cNvPr>
        <xdr:cNvPicPr>
          <a:picLocks noChangeAspect="1"/>
        </xdr:cNvPicPr>
      </xdr:nvPicPr>
      <xdr:blipFill>
        <a:blip xmlns:r="http://schemas.openxmlformats.org/officeDocument/2006/relationships" r:embed="rId5"/>
        <a:stretch>
          <a:fillRect/>
        </a:stretch>
      </xdr:blipFill>
      <xdr:spPr>
        <a:xfrm>
          <a:off x="17897475" y="4991100"/>
          <a:ext cx="5219700" cy="2924175"/>
        </a:xfrm>
        <a:prstGeom prst="rect">
          <a:avLst/>
        </a:prstGeom>
      </xdr:spPr>
    </xdr:pic>
    <xdr:clientData/>
  </xdr:twoCellAnchor>
  <xdr:twoCellAnchor editAs="oneCell">
    <xdr:from>
      <xdr:col>16</xdr:col>
      <xdr:colOff>819150</xdr:colOff>
      <xdr:row>18</xdr:row>
      <xdr:rowOff>9525</xdr:rowOff>
    </xdr:from>
    <xdr:to>
      <xdr:col>20</xdr:col>
      <xdr:colOff>228600</xdr:colOff>
      <xdr:row>24</xdr:row>
      <xdr:rowOff>161925</xdr:rowOff>
    </xdr:to>
    <xdr:pic>
      <xdr:nvPicPr>
        <xdr:cNvPr id="8" name="Imagem 7">
          <a:extLst>
            <a:ext uri="{FF2B5EF4-FFF2-40B4-BE49-F238E27FC236}">
              <a16:creationId xmlns:a16="http://schemas.microsoft.com/office/drawing/2014/main" id="{D10619B1-B85F-EE27-CB26-FE8823431842}"/>
            </a:ext>
            <a:ext uri="{147F2762-F138-4A5C-976F-8EAC2B608ADB}">
              <a16:predDERef xmlns:a16="http://schemas.microsoft.com/office/drawing/2014/main" pred="{FFE28433-38B6-2F72-E87D-4BBA7486342B}"/>
            </a:ext>
          </a:extLst>
        </xdr:cNvPr>
        <xdr:cNvPicPr>
          <a:picLocks noChangeAspect="1"/>
        </xdr:cNvPicPr>
      </xdr:nvPicPr>
      <xdr:blipFill>
        <a:blip xmlns:r="http://schemas.openxmlformats.org/officeDocument/2006/relationships" r:embed="rId6"/>
        <a:stretch>
          <a:fillRect/>
        </a:stretch>
      </xdr:blipFill>
      <xdr:spPr>
        <a:xfrm>
          <a:off x="16449675" y="3076575"/>
          <a:ext cx="3257550" cy="1800225"/>
        </a:xfrm>
        <a:prstGeom prst="rect">
          <a:avLst/>
        </a:prstGeom>
      </xdr:spPr>
    </xdr:pic>
    <xdr:clientData/>
  </xdr:twoCellAnchor>
  <xdr:twoCellAnchor editAs="oneCell">
    <xdr:from>
      <xdr:col>16</xdr:col>
      <xdr:colOff>209550</xdr:colOff>
      <xdr:row>24</xdr:row>
      <xdr:rowOff>676275</xdr:rowOff>
    </xdr:from>
    <xdr:to>
      <xdr:col>17</xdr:col>
      <xdr:colOff>523875</xdr:colOff>
      <xdr:row>28</xdr:row>
      <xdr:rowOff>276225</xdr:rowOff>
    </xdr:to>
    <xdr:pic>
      <xdr:nvPicPr>
        <xdr:cNvPr id="10" name="Imagem 9">
          <a:extLst>
            <a:ext uri="{FF2B5EF4-FFF2-40B4-BE49-F238E27FC236}">
              <a16:creationId xmlns:a16="http://schemas.microsoft.com/office/drawing/2014/main" id="{2D9871EA-8E16-5E46-D9F6-D838FC74A8F6}"/>
            </a:ext>
            <a:ext uri="{147F2762-F138-4A5C-976F-8EAC2B608ADB}">
              <a16:predDERef xmlns:a16="http://schemas.microsoft.com/office/drawing/2014/main" pred="{D10619B1-B85F-EE27-CB26-FE8823431842}"/>
            </a:ext>
          </a:extLst>
        </xdr:cNvPr>
        <xdr:cNvPicPr>
          <a:picLocks noChangeAspect="1"/>
        </xdr:cNvPicPr>
      </xdr:nvPicPr>
      <xdr:blipFill>
        <a:blip xmlns:r="http://schemas.openxmlformats.org/officeDocument/2006/relationships" r:embed="rId7"/>
        <a:stretch>
          <a:fillRect/>
        </a:stretch>
      </xdr:blipFill>
      <xdr:spPr>
        <a:xfrm>
          <a:off x="15840075" y="5391150"/>
          <a:ext cx="1876425" cy="2171700"/>
        </a:xfrm>
        <a:prstGeom prst="rect">
          <a:avLst/>
        </a:prstGeom>
      </xdr:spPr>
    </xdr:pic>
    <xdr:clientData/>
  </xdr:twoCellAnchor>
  <xdr:twoCellAnchor editAs="oneCell">
    <xdr:from>
      <xdr:col>9</xdr:col>
      <xdr:colOff>371475</xdr:colOff>
      <xdr:row>30</xdr:row>
      <xdr:rowOff>114300</xdr:rowOff>
    </xdr:from>
    <xdr:to>
      <xdr:col>11</xdr:col>
      <xdr:colOff>447675</xdr:colOff>
      <xdr:row>40</xdr:row>
      <xdr:rowOff>57150</xdr:rowOff>
    </xdr:to>
    <xdr:pic>
      <xdr:nvPicPr>
        <xdr:cNvPr id="11" name="Imagem 10">
          <a:extLst>
            <a:ext uri="{FF2B5EF4-FFF2-40B4-BE49-F238E27FC236}">
              <a16:creationId xmlns:a16="http://schemas.microsoft.com/office/drawing/2014/main" id="{1728D1EE-960A-24BA-C4F0-8B049659A4C5}"/>
            </a:ext>
            <a:ext uri="{147F2762-F138-4A5C-976F-8EAC2B608ADB}">
              <a16:predDERef xmlns:a16="http://schemas.microsoft.com/office/drawing/2014/main" pred="{2D9871EA-8E16-5E46-D9F6-D838FC74A8F6}"/>
            </a:ext>
          </a:extLst>
        </xdr:cNvPr>
        <xdr:cNvPicPr>
          <a:picLocks noChangeAspect="1"/>
        </xdr:cNvPicPr>
      </xdr:nvPicPr>
      <xdr:blipFill>
        <a:blip xmlns:r="http://schemas.openxmlformats.org/officeDocument/2006/relationships" r:embed="rId8"/>
        <a:stretch>
          <a:fillRect/>
        </a:stretch>
      </xdr:blipFill>
      <xdr:spPr>
        <a:xfrm>
          <a:off x="12830175" y="8210550"/>
          <a:ext cx="1781175" cy="2362200"/>
        </a:xfrm>
        <a:prstGeom prst="rect">
          <a:avLst/>
        </a:prstGeom>
      </xdr:spPr>
    </xdr:pic>
    <xdr:clientData/>
  </xdr:twoCellAnchor>
  <xdr:twoCellAnchor editAs="oneCell">
    <xdr:from>
      <xdr:col>11</xdr:col>
      <xdr:colOff>942975</xdr:colOff>
      <xdr:row>31</xdr:row>
      <xdr:rowOff>9525</xdr:rowOff>
    </xdr:from>
    <xdr:to>
      <xdr:col>16</xdr:col>
      <xdr:colOff>1200150</xdr:colOff>
      <xdr:row>39</xdr:row>
      <xdr:rowOff>228600</xdr:rowOff>
    </xdr:to>
    <xdr:pic>
      <xdr:nvPicPr>
        <xdr:cNvPr id="12" name="Imagem 11">
          <a:extLst>
            <a:ext uri="{FF2B5EF4-FFF2-40B4-BE49-F238E27FC236}">
              <a16:creationId xmlns:a16="http://schemas.microsoft.com/office/drawing/2014/main" id="{18737D91-D107-8AC1-E944-5572E80DE401}"/>
            </a:ext>
            <a:ext uri="{147F2762-F138-4A5C-976F-8EAC2B608ADB}">
              <a16:predDERef xmlns:a16="http://schemas.microsoft.com/office/drawing/2014/main" pred="{1728D1EE-960A-24BA-C4F0-8B049659A4C5}"/>
            </a:ext>
          </a:extLst>
        </xdr:cNvPr>
        <xdr:cNvPicPr>
          <a:picLocks noChangeAspect="1"/>
        </xdr:cNvPicPr>
      </xdr:nvPicPr>
      <xdr:blipFill>
        <a:blip xmlns:r="http://schemas.openxmlformats.org/officeDocument/2006/relationships" r:embed="rId9"/>
        <a:stretch>
          <a:fillRect/>
        </a:stretch>
      </xdr:blipFill>
      <xdr:spPr>
        <a:xfrm>
          <a:off x="15106650" y="8267700"/>
          <a:ext cx="4267200" cy="2228850"/>
        </a:xfrm>
        <a:prstGeom prst="rect">
          <a:avLst/>
        </a:prstGeom>
      </xdr:spPr>
    </xdr:pic>
    <xdr:clientData/>
  </xdr:twoCellAnchor>
  <xdr:twoCellAnchor editAs="oneCell">
    <xdr:from>
      <xdr:col>13</xdr:col>
      <xdr:colOff>428625</xdr:colOff>
      <xdr:row>43</xdr:row>
      <xdr:rowOff>57150</xdr:rowOff>
    </xdr:from>
    <xdr:to>
      <xdr:col>16</xdr:col>
      <xdr:colOff>1428750</xdr:colOff>
      <xdr:row>55</xdr:row>
      <xdr:rowOff>66675</xdr:rowOff>
    </xdr:to>
    <xdr:pic>
      <xdr:nvPicPr>
        <xdr:cNvPr id="13" name="Imagem 12">
          <a:extLst>
            <a:ext uri="{FF2B5EF4-FFF2-40B4-BE49-F238E27FC236}">
              <a16:creationId xmlns:a16="http://schemas.microsoft.com/office/drawing/2014/main" id="{37C34710-B701-AEE7-91C7-C3B0FCECF35D}"/>
            </a:ext>
            <a:ext uri="{147F2762-F138-4A5C-976F-8EAC2B608ADB}">
              <a16:predDERef xmlns:a16="http://schemas.microsoft.com/office/drawing/2014/main" pred="{18737D91-D107-8AC1-E944-5572E80DE401}"/>
            </a:ext>
          </a:extLst>
        </xdr:cNvPr>
        <xdr:cNvPicPr>
          <a:picLocks noChangeAspect="1"/>
        </xdr:cNvPicPr>
      </xdr:nvPicPr>
      <xdr:blipFill>
        <a:blip xmlns:r="http://schemas.openxmlformats.org/officeDocument/2006/relationships" r:embed="rId10"/>
        <a:stretch>
          <a:fillRect/>
        </a:stretch>
      </xdr:blipFill>
      <xdr:spPr>
        <a:xfrm>
          <a:off x="16316325" y="11058525"/>
          <a:ext cx="3286125" cy="1952625"/>
        </a:xfrm>
        <a:prstGeom prst="rect">
          <a:avLst/>
        </a:prstGeom>
      </xdr:spPr>
    </xdr:pic>
    <xdr:clientData/>
  </xdr:twoCellAnchor>
  <xdr:twoCellAnchor editAs="oneCell">
    <xdr:from>
      <xdr:col>9</xdr:col>
      <xdr:colOff>180975</xdr:colOff>
      <xdr:row>43</xdr:row>
      <xdr:rowOff>114300</xdr:rowOff>
    </xdr:from>
    <xdr:to>
      <xdr:col>13</xdr:col>
      <xdr:colOff>219075</xdr:colOff>
      <xdr:row>54</xdr:row>
      <xdr:rowOff>142875</xdr:rowOff>
    </xdr:to>
    <xdr:pic>
      <xdr:nvPicPr>
        <xdr:cNvPr id="14" name="Imagem 13">
          <a:extLst>
            <a:ext uri="{FF2B5EF4-FFF2-40B4-BE49-F238E27FC236}">
              <a16:creationId xmlns:a16="http://schemas.microsoft.com/office/drawing/2014/main" id="{F3DEBA8B-9A07-0B77-6356-115A8775EAA1}"/>
            </a:ext>
            <a:ext uri="{147F2762-F138-4A5C-976F-8EAC2B608ADB}">
              <a16:predDERef xmlns:a16="http://schemas.microsoft.com/office/drawing/2014/main" pred="{37C34710-B701-AEE7-91C7-C3B0FCECF35D}"/>
            </a:ext>
          </a:extLst>
        </xdr:cNvPr>
        <xdr:cNvPicPr>
          <a:picLocks noChangeAspect="1"/>
        </xdr:cNvPicPr>
      </xdr:nvPicPr>
      <xdr:blipFill>
        <a:blip xmlns:r="http://schemas.openxmlformats.org/officeDocument/2006/relationships" r:embed="rId11"/>
        <a:stretch>
          <a:fillRect/>
        </a:stretch>
      </xdr:blipFill>
      <xdr:spPr>
        <a:xfrm>
          <a:off x="12639675" y="11115675"/>
          <a:ext cx="3467100" cy="1809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10</xdr:col>
      <xdr:colOff>533400</xdr:colOff>
      <xdr:row>17</xdr:row>
      <xdr:rowOff>57150</xdr:rowOff>
    </xdr:from>
    <xdr:to>
      <xdr:col>19</xdr:col>
      <xdr:colOff>276225</xdr:colOff>
      <xdr:row>35</xdr:row>
      <xdr:rowOff>133350</xdr:rowOff>
    </xdr:to>
    <xdr:graphicFrame macro="">
      <xdr:nvGraphicFramePr>
        <xdr:cNvPr id="2" name="Chart 1">
          <a:extLst>
            <a:ext uri="{FF2B5EF4-FFF2-40B4-BE49-F238E27FC236}">
              <a16:creationId xmlns:a16="http://schemas.microsoft.com/office/drawing/2014/main" id="{F8B867AC-6A7A-4512-8C9D-97B8E534E8E4}"/>
            </a:ext>
            <a:ext uri="{147F2762-F138-4A5C-976F-8EAC2B608ADB}">
              <a16:predDERef xmlns:a16="http://schemas.microsoft.com/office/drawing/2014/main" pred="{71A499F7-7BCB-43D8-AAAA-8629B391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161925</xdr:colOff>
      <xdr:row>36</xdr:row>
      <xdr:rowOff>152400</xdr:rowOff>
    </xdr:from>
    <xdr:to>
      <xdr:col>20</xdr:col>
      <xdr:colOff>742950</xdr:colOff>
      <xdr:row>54</xdr:row>
      <xdr:rowOff>38100</xdr:rowOff>
    </xdr:to>
    <xdr:graphicFrame macro="">
      <xdr:nvGraphicFramePr>
        <xdr:cNvPr id="3" name="Chart 2">
          <a:extLst>
            <a:ext uri="{FF2B5EF4-FFF2-40B4-BE49-F238E27FC236}">
              <a16:creationId xmlns:a16="http://schemas.microsoft.com/office/drawing/2014/main" id="{06EE3DBE-321E-4EF6-A0A4-D90C4883E80D}"/>
            </a:ext>
            <a:ext uri="{147F2762-F138-4A5C-976F-8EAC2B608ADB}">
              <a16:predDERef xmlns:a16="http://schemas.microsoft.com/office/drawing/2014/main" pre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186675</xdr:colOff>
      <xdr:row>54</xdr:row>
      <xdr:rowOff>163722</xdr:rowOff>
    </xdr:from>
    <xdr:to>
      <xdr:col>19</xdr:col>
      <xdr:colOff>736600</xdr:colOff>
      <xdr:row>77</xdr:row>
      <xdr:rowOff>68763</xdr:rowOff>
    </xdr:to>
    <xdr:pic>
      <xdr:nvPicPr>
        <xdr:cNvPr id="4" name="图片 3">
          <a:extLst>
            <a:ext uri="{FF2B5EF4-FFF2-40B4-BE49-F238E27FC236}">
              <a16:creationId xmlns:a16="http://schemas.microsoft.com/office/drawing/2014/main" id="{EF4719EF-331F-0720-11CB-8807F1D40DE8}"/>
            </a:ext>
            <a:ext uri="{147F2762-F138-4A5C-976F-8EAC2B608ADB}">
              <a16:predDERef xmlns:a16="http://schemas.microsoft.com/office/drawing/2014/main" pred="{06EE3DBE-321E-4EF6-A0A4-D90C4883E8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25008" y="14616322"/>
          <a:ext cx="7052325" cy="37997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262618</xdr:colOff>
      <xdr:row>1</xdr:row>
      <xdr:rowOff>112145</xdr:rowOff>
    </xdr:from>
    <xdr:to>
      <xdr:col>22</xdr:col>
      <xdr:colOff>953521</xdr:colOff>
      <xdr:row>7</xdr:row>
      <xdr:rowOff>204220</xdr:rowOff>
    </xdr:to>
    <xdr:graphicFrame macro="">
      <xdr:nvGraphicFramePr>
        <xdr:cNvPr id="310"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281667</xdr:colOff>
      <xdr:row>8</xdr:row>
      <xdr:rowOff>95703</xdr:rowOff>
    </xdr:from>
    <xdr:to>
      <xdr:col>22</xdr:col>
      <xdr:colOff>967127</xdr:colOff>
      <xdr:row>13</xdr:row>
      <xdr:rowOff>87766</xdr:rowOff>
    </xdr:to>
    <xdr:graphicFrame macro="">
      <xdr:nvGraphicFramePr>
        <xdr:cNvPr id="301" name="Gráfico 9">
          <a:extLst>
            <a:ext uri="{FF2B5EF4-FFF2-40B4-BE49-F238E27FC236}">
              <a16:creationId xmlns:a16="http://schemas.microsoft.com/office/drawing/2014/main" i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294254</xdr:colOff>
      <xdr:row>14</xdr:row>
      <xdr:rowOff>50688</xdr:rowOff>
    </xdr:from>
    <xdr:to>
      <xdr:col>22</xdr:col>
      <xdr:colOff>979714</xdr:colOff>
      <xdr:row>20</xdr:row>
      <xdr:rowOff>134825</xdr:rowOff>
    </xdr:to>
    <xdr:graphicFrame macro="">
      <xdr:nvGraphicFramePr>
        <xdr:cNvPr id="284" name="Gráfico 10">
          <a:extLst>
            <a:ext uri="{FF2B5EF4-FFF2-40B4-BE49-F238E27FC236}">
              <a16:creationId xmlns:a16="http://schemas.microsoft.com/office/drawing/2014/main" id="{E53AAB4F-BCF1-AFDB-6C67-D6DB06F29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283368</xdr:colOff>
      <xdr:row>21</xdr:row>
      <xdr:rowOff>141743</xdr:rowOff>
    </xdr:from>
    <xdr:to>
      <xdr:col>22</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DAVID FILIPE DE SOUSA TITA" id="{6D2C5BD9-1C3E-4972-9F97-1CA81A3CC14E}" userId="S::david.tita@aln.iseg.ulisboa.pt::2b554b1a-dfdf-4fc2-8414-05963e9f059c" providerId="AD"/>
</personList>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28">
  <rv s="0">
    <v>http://en.wikipedia.org/wiki/Public_domain</v>
    <v>Public domain</v>
  </rv>
  <rv s="0">
    <v>http://de.wikipedia.org/wiki/Lennar</v>
    <v>Wikipedia</v>
  </rv>
  <rv s="1">
    <v>0</v>
    <v>1</v>
  </rv>
  <rv s="2">
    <v>7</v>
    <v>https://www.bing.com/th?id=AMMS_53583359b2caf7766f03578d319fe529&amp;qlt=95</v>
    <v>2</v>
    <v>0</v>
    <v>https://www.bing.com/images/search?form=xlimg&amp;q=lennar+corporation</v>
    <v>Image of LENNAR CORPORATION</v>
  </rv>
  <rv s="0">
    <v>https://www.bing.com/financeapi/forcetrigger?t=a1wufr&amp;q=XNYS%3aLEN.B&amp;form=skydnc</v>
    <v>Learn more on Bing</v>
  </rv>
  <rv s="3">
    <v>pt-BR</v>
    <v>a1wufr</v>
    <v>268435456</v>
    <v>1</v>
    <v>Da plataforma Refinitiv</v>
    <v>0</v>
    <v>1</v>
    <v>LENNAR CORPORATION (XNYS:LEN.B)</v>
    <v>4</v>
    <v>5</v>
    <v>Finance</v>
    <v>6</v>
    <v>168.22309999999999</v>
    <v>94.405000000000001</v>
    <v>XNYS</v>
    <v>264346000</v>
    <v>98.102500000000006</v>
    <v>1991</v>
    <v>94.405000000000001</v>
    <v>1.5242</v>
    <v>New York Stock Exchange</v>
    <v>26997460000</v>
    <v>A Lennar Corporation é uma empresa prestadora de serviços financeiros relacionados a imóveis, imóveis comerciais, administração de investimentos e empresa financeira. A Companhia é uma construtora residencial que opera em vários estados. Seus segmentos incluem Homebuilding East, Homebuilding Central, Homebuilding West, Lennar Financial Services e Lennar Multifamily. É desenvolvedor de propriedades de aluguel multifamiliares. Suas operações de construção incluem a construção e venda de residências unifamiliares e anexas, bem como a compra, desenvolvimento e venda de terrenos residenciais. Suas operações de construção incluem a construção e venda de residências unifamiliares e anexas, bem como a compra, desenvolvimento e venda de terrenos residenciais. Opera principalmente sob a marca Lennar. O segmento de Serviços Financeiros da Lennar inclui financiamento hipotecário, seguro de propriedade e serviços de fechamento para compradores de residências e outros.</v>
    <v>XNYS</v>
    <v>97.81</v>
    <v>13265</v>
    <v>45756.678426909377</v>
    <v>3</v>
    <v>4</v>
    <v>64272</v>
    <v>USD</v>
    <v>LENNAR CORPORATION</v>
    <v>LENNAR CORPORATION</v>
    <v>96.2</v>
    <v>97.251000000000005</v>
    <v>5505 WATERFORD DISTRICT DRIVE, MIAMI, FL, 33126 US</v>
    <v>Homebuilding &amp; Construction Supplies</v>
    <v>LEN.B</v>
    <v>Ações</v>
    <v>LENNAR CORPORATION (XNYS:LEN.B)</v>
    <v>-0.55900000000000005</v>
    <v>-5.7150000000000005E-3</v>
    <v>25177</v>
  </rv>
  <rv s="4">
    <v>5</v>
  </rv>
  <rv s="5">
    <v>0</v>
    <v>5</v>
  </rv>
  <rv s="0">
    <v>https://www.bing.com/financeapi/forcetrigger?t=a1zutc&amp;q=XNYS%3aPHM&amp;form=skydnc</v>
    <v>Learn more on Bing</v>
  </rv>
  <rv s="6">
    <v>en-US</v>
    <v>a1zutc</v>
    <v>268435456</v>
    <v>1</v>
    <v>Powered by Refinitiv</v>
    <v>8</v>
    <v>9</v>
    <v>PULTEGROUP, INC. (XNYS:PHM)</v>
    <v>10</v>
    <v>11</v>
    <v>Finance</v>
    <v>12</v>
    <v>149.47</v>
    <v>88.07</v>
    <v>1.3481000000000001</v>
    <v>-0.99</v>
    <v>-1.0759000000000001E-2</v>
    <v>USD</v>
    <v>PulteGroup, Inc. is a homebuilder in the United States. The Company's segments include Homebuilding and Financial Services. Its Homebuilding operations involve acquisition and development of land primarily for residential purposes within the United States and the construction of housing on such land. Its financial services business segment includes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 portfolio that includes Centex, Pulte Homes, Del Webb, DiVosta Homes, American West and John Wieland Homes and Neighborhoods, offers a variety of home designs with varying levels of options and amenities to its customer groups.</v>
    <v>6793</v>
    <v>New York Stock Exchange</v>
    <v>XNYS</v>
    <v>XNYS</v>
    <v>3350 Peachtree Road Northeast, Suite 1500, ATLANTA, GA, 30326 US</v>
    <v>91.618099999999998</v>
    <v>Homebuilding &amp; Construction Supplies</v>
    <v>Stock</v>
    <v>45756.678700647659</v>
    <v>8</v>
    <v>88.07</v>
    <v>18350318962</v>
    <v>PULTEGROUP, INC.</v>
    <v>PULTEGROUP, INC.</v>
    <v>89.96</v>
    <v>6.2539999999999996</v>
    <v>92.02</v>
    <v>91.03</v>
    <v>201585400</v>
    <v>PHM</v>
    <v>PULTEGROUP, INC. (XNYS:PHM)</v>
    <v>850686</v>
    <v>2420978</v>
    <v>1987</v>
  </rv>
  <rv s="4">
    <v>9</v>
  </rv>
  <rv s="0">
    <v>https://www.bing.com/financeapi/forcetrigger?t=a24doc&amp;q=XNYS%3aTOL&amp;form=skydnc</v>
    <v>Learn more on Bing</v>
  </rv>
  <rv s="6">
    <v>en-US</v>
    <v>a24doc</v>
    <v>268435456</v>
    <v>1</v>
    <v>Powered by Refinitiv</v>
    <v>8</v>
    <v>9</v>
    <v>TOLL BROTHERS, INC. (XNYS:TOL)</v>
    <v>10</v>
    <v>11</v>
    <v>Finance</v>
    <v>12</v>
    <v>169.52</v>
    <v>86.67</v>
    <v>1.4327000000000001</v>
    <v>-0.22750000000000001</v>
    <v>-2.5140000000000002E-3</v>
    <v>USD</v>
    <v>Toll Brothers, Inc. is a builder of luxury homes. The Company designs, builds, markets, sells, and arranges financing for an array of luxury residential single-family detached homes, attached homes, master-planned, and urban low, mid, and high-rise communities. It caters to luxury first-time, move-up, empty-nester (move-down), active-adult and second-home buyers in the United States, as well as urban and suburban renters under the brand names Toll Brothers Apartment Living and Toll Brothers Campus Living. The Company also develops master-planned and golf course communities as well as operates, in certain regions, its own lumber distribution, house component assembly and manufacturing operations. It operates its own architectural, engineering, mortgage, title, land development, insurance, smart home technology and landscaping subsidiaries. The Company has 1,041 communities in various stages of planning, development or operations containing approximately 74,700 home sites.</v>
    <v>4900</v>
    <v>New York Stock Exchange</v>
    <v>XNYS</v>
    <v>XNYS</v>
    <v>1140 Virginia Drive, FORT WASHINGTON, PA, 19034 US</v>
    <v>90.81</v>
    <v>Homebuilding &amp; Construction Supplies</v>
    <v>Stock</v>
    <v>45756.678624941407</v>
    <v>11</v>
    <v>86.67</v>
    <v>8976426582</v>
    <v>TOLL BROTHERS, INC.</v>
    <v>TOLL BROTHERS, INC.</v>
    <v>89</v>
    <v>6.2290000000000001</v>
    <v>90.5</v>
    <v>90.272499999999994</v>
    <v>99437000</v>
    <v>TOL</v>
    <v>TOLL BROTHERS, INC. (XNYS:TOL)</v>
    <v>1233485</v>
    <v>1941653</v>
    <v>1986</v>
  </rv>
  <rv s="4">
    <v>12</v>
  </rv>
  <rv s="0">
    <v>https://www.bing.com/financeapi/forcetrigger?t=a1r1lh&amp;q=XNYS%3aDHI&amp;form=skydnc</v>
    <v>Learn more on Bing</v>
  </rv>
  <rv s="6">
    <v>en-US</v>
    <v>a1r1lh</v>
    <v>268435456</v>
    <v>1</v>
    <v>Powered by Refinitiv</v>
    <v>8</v>
    <v>9</v>
    <v>D.R. HORTON, INC. (XNYS:DHI)</v>
    <v>10</v>
    <v>11</v>
    <v>Finance</v>
    <v>12</v>
    <v>199.85</v>
    <v>110.44</v>
    <v>1.4008</v>
    <v>5.5E-2</v>
    <v>4.7780000000000001E-4</v>
    <v>USD</v>
    <v>D.R. Horton, Inc. is a homebuilding company. The Company constructs and sells homes through its operating divisions in 125 markets across 36 states. The Company’s segments include Homebuilding, Rental, Forestar, Financial Services, and Other. The Homebuilding divisions are primarily engaged in the acquisition and development of land and the construction and sale of residential homes. The Company’s rental segment consists of single-family and multifamily rental operations. The single-family rental operations construct and lease single-family homes within a community and then generally market each community for a bulk sale of rental homes. The Forestar segment is a residential lot development company with operations in 59 markets across 24 states. The Financial services segment provides mortgage financing and title agency services to homebuyers in many of the Company’s homebuilding markets. It also conducts insurance-related operations.</v>
    <v>14766</v>
    <v>New York Stock Exchange</v>
    <v>XNYS</v>
    <v>XNYS</v>
    <v>1341 Horton Circle, ARLINGTON, TX, 76011 US</v>
    <v>115.5859</v>
    <v>Homebuilding &amp; Construction Supplies</v>
    <v>Stock</v>
    <v>45756.678714200782</v>
    <v>14</v>
    <v>110.44</v>
    <v>36287931487</v>
    <v>D.R. HORTON, INC.</v>
    <v>D.R. HORTON, INC.</v>
    <v>113.01</v>
    <v>8.1339000000000006</v>
    <v>115.1</v>
    <v>115.155</v>
    <v>315122500</v>
    <v>DHI</v>
    <v>D.R. HORTON, INC. (XNYS:DHI)</v>
    <v>1897820</v>
    <v>3828290</v>
    <v>1991</v>
  </rv>
  <rv s="4">
    <v>15</v>
  </rv>
  <rv s="0">
    <v>https://www.bing.com/financeapi/forcetrigger?t=a1yw1h&amp;q=XNYS%3aNVR&amp;form=skydnc</v>
    <v>Learn more on Bing</v>
  </rv>
  <rv s="6">
    <v>en-US</v>
    <v>a1yw1h</v>
    <v>268435456</v>
    <v>1</v>
    <v>Powered by Refinitiv</v>
    <v>8</v>
    <v>9</v>
    <v>NVR, Inc. (XNYS:NVR)</v>
    <v>10</v>
    <v>11</v>
    <v>Finance</v>
    <v>12</v>
    <v>9964.77</v>
    <v>6562.8531000000003</v>
    <v>0.98660000000000003</v>
    <v>33.22</v>
    <v>4.9580000000000006E-3</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 in 36 metropolitan areas in 16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 in Maryland, Virginia, West Virginia, Delaware and Washington, District of Columbia (D.C.). Its North East division operates in New Jersey and Eastern Pennsylvania.</v>
    <v>7000</v>
    <v>New York Stock Exchange</v>
    <v>XNYS</v>
    <v>XNYS</v>
    <v>SUITE 500, 11700 PLAZA AMERICA DR., RESTON, VA, 20190 US</v>
    <v>6823.0950000000003</v>
    <v>Homebuilding &amp; Construction Supplies</v>
    <v>Stock</v>
    <v>45756.678214664062</v>
    <v>17</v>
    <v>6562.8531000000003</v>
    <v>19892330000</v>
    <v>NVR, Inc.</v>
    <v>NVR, Inc.</v>
    <v>6600</v>
    <v>13.203900000000001</v>
    <v>6700</v>
    <v>6733.22</v>
    <v>2969010</v>
    <v>NVR</v>
    <v>NVR, Inc. (XNYS:NVR)</v>
    <v>8445</v>
    <v>28058</v>
    <v>1993</v>
  </rv>
  <rv s="4">
    <v>18</v>
  </rv>
  <rv s="0">
    <v>https://www.bing.com/financeapi/forcetrigger?t=a1weu2&amp;q=XNYS%3aKBH&amp;form=skydnc</v>
    <v>Learn more on Bing</v>
  </rv>
  <rv s="6">
    <v>en-US</v>
    <v>a1weu2</v>
    <v>268435456</v>
    <v>1</v>
    <v>Powered by Refinitiv</v>
    <v>8</v>
    <v>9</v>
    <v>KB HOME (XNYS:KBH)</v>
    <v>10</v>
    <v>11</v>
    <v>Finance</v>
    <v>12</v>
    <v>89.7</v>
    <v>49.75</v>
    <v>1.3926000000000001</v>
    <v>-0.755</v>
    <v>-1.4525E-2</v>
    <v>USD</v>
    <v>KB Home is a homebuilding company, which builds a variety of new homes, including attached and detached single-family residential homes, townhomes and condominiums, designed primarily for first-time and first move-up, as well as second move-up and active adult homebuyers. It offers homes in development communities, in urban in-fill locations and as part of mixed-use projects. The Company's segments include homebuilding and financial services. The homebuilding segment is engaged in the acquisition and development of land primarily for residential purposes. The financial services segment offers various insurance products to its homebuyers in the markets where the Company builds homes and provides title services in certain of those markets. Its financial services also provide mortgage banking services, including residential consumer mortgage loan originations, to its homebuyers indirectly through KBHS Home Loans, LLC, an unconsolidated joint venture between the Company and a third party.</v>
    <v>2384</v>
    <v>New York Stock Exchange</v>
    <v>XNYS</v>
    <v>XNYS</v>
    <v>10990 Wilshire Blvd, LOS ANGELES, CA, 90024 US</v>
    <v>51.48</v>
    <v>Homebuilding &amp; Construction Supplies</v>
    <v>Stock</v>
    <v>45756.678732372653</v>
    <v>20</v>
    <v>49.75</v>
    <v>3659884356</v>
    <v>KB HOME</v>
    <v>KB HOME</v>
    <v>50.86</v>
    <v>5.9778000000000002</v>
    <v>51.98</v>
    <v>51.225000000000001</v>
    <v>71447230</v>
    <v>KBH</v>
    <v>KB HOME (XNYS:KBH)</v>
    <v>422704</v>
    <v>1769355</v>
    <v>1981</v>
  </rv>
  <rv s="4">
    <v>21</v>
  </rv>
  <rv s="5">
    <v>1</v>
    <v>5</v>
  </rv>
  <rv s="5">
    <v>2</v>
    <v>5</v>
  </rv>
  <rv s="5">
    <v>3</v>
    <v>5</v>
  </rv>
  <rv s="5">
    <v>4</v>
    <v>5</v>
  </rv>
  <rv s="5">
    <v>5</v>
    <v>5</v>
  </rv>
</rvData>
</file>

<file path=xl/richData/rdrichvaluestructure.xml><?xml version="1.0" encoding="utf-8"?>
<rvStructures xmlns="http://schemas.microsoft.com/office/spreadsheetml/2017/richdata" count="7">
  <s t="_hyperlink">
    <k n="Address" t="s"/>
    <k n="Text" t="s"/>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breviatura do câmbio" t="s"/>
    <k n="Ações em circulação"/>
    <k n="Alto"/>
    <k n="Ano de incorporação"/>
    <k n="Baixo"/>
    <k n="Beta"/>
    <k n="Bolsa" t="s"/>
    <k n="Capitalização de mercado"/>
    <k n="Descrição" t="s"/>
    <k n="ExchangeID" t="s"/>
    <k n="Fechamento anterior"/>
    <k n="Funcionários"/>
    <k n="Hora da última transação"/>
    <k n="Imagem" t="r"/>
    <k n="LearnMoreOnLink" t="r"/>
    <k n="Média de volume"/>
    <k n="Moeda" t="s"/>
    <k n="Nome" t="s"/>
    <k n="Nome oficial" t="s"/>
    <k n="Pendência"/>
    <k n="Preço"/>
    <k n="Sede" t="s"/>
    <k n="Setor" t="s"/>
    <k n="Símbolo do ticker" t="s"/>
    <k n="Tipo de instrumento" t="s"/>
    <k n="UniqueName" t="s"/>
    <k n="Variação"/>
    <k n="Variação (%)"/>
    <k n="Volume"/>
  </s>
  <s t="_linkedentity">
    <k n="%cvi" t="r"/>
  </s>
  <s t="_localImage">
    <k n="_rvRel:LocalImageIdentifier" t="i"/>
    <k n="CalcOrigin" t="i"/>
  </s>
  <s t="_linkedentitycore">
    <k n="%EntityCulture" t="s"/>
    <k n="%EntityId" t="s"/>
    <k n="%EntityServiceId"/>
    <k n="%IsRefreshable" t="b"/>
    <k n="%ProviderInfo" t="s"/>
    <k n="_CanonicalPropertyNames" t="spb"/>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2">
    <a count="43">
      <v t="s">%EntityServiceId</v>
      <v t="s">_Format</v>
      <v t="s">%IsRefreshable</v>
      <v t="s">_CanonicalPropertyNames</v>
      <v t="s">%EntityCulture</v>
      <v t="s">%EntityId</v>
      <v t="s">_Icon</v>
      <v t="s">_Display</v>
      <v t="s">Nome</v>
      <v t="s">_SubLabel</v>
      <v t="s">Preço</v>
      <v t="s">Bolsa</v>
      <v t="s">Nome oficial</v>
      <v t="s">Hora da última transação</v>
      <v t="s">Símbolo do ticker</v>
      <v t="s">Abreviatura do câmbio</v>
      <v t="s">Variação</v>
      <v t="s">Variação (%)</v>
      <v t="s">Moeda</v>
      <v t="s">Fechamento anterior</v>
      <v t="s">Pendência</v>
      <v t="s">Alto</v>
      <v t="s">Baixo</v>
      <v t="s">52 semanas de alta</v>
      <v t="s">52 semanas de baixa</v>
      <v t="s">Volume</v>
      <v t="s">Média de volume</v>
      <v t="s">Capitalização de mercado</v>
      <v t="s">Beta</v>
      <v t="s">Ações em circulação</v>
      <v t="s">Descrição</v>
      <v t="s">Funcionários</v>
      <v t="s">Sede</v>
      <v t="s">Setor</v>
      <v t="s">Tipo de instrumento</v>
      <v t="s">Ano de incorporação</v>
      <v t="s">_Flags</v>
      <v t="s">UniqueName</v>
      <v t="s">_DisplayString</v>
      <v t="s">LearnMoreOnLink</v>
      <v t="s">Imagem</v>
      <v t="s">ExchangeID</v>
      <v t="s">%ProviderInfo</v>
    </a>
    <a count="43">
      <v t="s">%EntityServiceId</v>
      <v t="s">_Format</v>
      <v t="s">%IsRefreshable</v>
      <v t="s">_CanonicalPropertyNames</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spbArrays>
  <spbData count="13">
    <spb s="0">
      <v>High</v>
      <v>Beta</v>
      <v>Name</v>
      <v>Headquarters</v>
      <v>Low</v>
      <v>Exchange</v>
      <v>Currency</v>
      <v>Price</v>
      <v>Industry</v>
      <v>Image</v>
      <v>Volume</v>
      <v>Change</v>
      <v>Description</v>
      <v>Open</v>
      <v>ExchangeID</v>
      <v>UniqueName</v>
      <v>Employees</v>
      <v>Official name</v>
      <v>Change (%)</v>
      <v>%ProviderInfo</v>
      <v>LearnMoreOnLink</v>
      <v>Volume average</v>
      <v>Ticker symbol</v>
      <v>52 week high</v>
      <v>52 week low</v>
      <v>Year incorporated</v>
      <v>Shares outstanding</v>
      <v>Previous close</v>
      <v>Instrument type</v>
      <v>Exchange abbreviation</v>
      <v>Market cap</v>
      <v>Last trade time</v>
    </spb>
    <spb s="1">
      <v>0</v>
      <v>Name</v>
      <v>LearnMoreOnLink</v>
    </spb>
    <spb s="2">
      <v>0</v>
      <v>0</v>
    </spb>
    <spb s="3">
      <v>0</v>
      <v>0</v>
      <v>0</v>
    </spb>
    <spb s="4">
      <v>2</v>
      <v>3</v>
      <v>3</v>
      <v>3</v>
      <v>3</v>
    </spb>
    <spb s="5">
      <v>1</v>
      <v>2</v>
      <v>3</v>
      <v>1</v>
      <v>1</v>
      <v>4</v>
      <v>5</v>
      <v>1</v>
      <v>1</v>
      <v>5</v>
      <v>6</v>
      <v>5</v>
      <v>7</v>
      <v>1</v>
      <v>1</v>
      <v>8</v>
      <v>5</v>
      <v>1</v>
      <v>9</v>
      <v>10</v>
    </spb>
    <spb s="6">
      <v>Tempo Real Nasdaq Última venda</v>
      <v xml:space="preserve">do fechamento anterior </v>
      <v>Origem : Nasdaq Última venda</v>
      <v xml:space="preserve">do fechamento anterior </v>
      <v>GMT</v>
    </spb>
    <spb s="7">
      <v>Da plataforma Refinitiv</v>
    </spb>
    <spb s="8">
      <v>Low</v>
      <v>P/E</v>
      <v>Beta</v>
      <v>High</v>
      <v>Name</v>
      <v>Open</v>
      <v>Price</v>
      <v>Change</v>
      <v>Volume</v>
      <v>Currency</v>
      <v>Exchange</v>
      <v>Industry</v>
      <v>Employees</v>
      <v>Change (%)</v>
      <v>ExchangeID</v>
      <v>Market cap</v>
      <v>UniqueName</v>
      <v>52 week low</v>
      <v>Description</v>
      <v>52 week high</v>
      <v>Headquarters</v>
      <v>%ProviderInfo</v>
      <v>Official name</v>
      <v>Ticker symbol</v>
      <v>Previous close</v>
      <v>Volume average</v>
      <v>Instrument type</v>
      <v>Last trade time</v>
      <v>LearnMoreOnLink</v>
      <v>Year incorporated</v>
      <v>Shares outstanding</v>
      <v>Exchange abbreviation</v>
    </spb>
    <spb s="1">
      <v>1</v>
      <v>Name</v>
      <v>LearnMoreOnLink</v>
    </spb>
    <spb s="9">
      <v>3</v>
      <v>3</v>
      <v>3</v>
      <v>3</v>
    </spb>
    <spb s="10">
      <v>1</v>
      <v>2</v>
      <v>2</v>
      <v>1</v>
      <v>3</v>
      <v>1</v>
      <v>1</v>
      <v>1</v>
      <v>5</v>
      <v>5</v>
      <v>6</v>
      <v>9</v>
      <v>1</v>
      <v>1</v>
      <v>1</v>
      <v>5</v>
      <v>10</v>
      <v>8</v>
      <v>7</v>
      <v>5</v>
    </spb>
    <spb s="11">
      <v>Real-Time Nasdaq Last Sale</v>
      <v>from previous close</v>
      <v>from previous close</v>
      <v>Source: Nasdaq Last Sale</v>
      <v>GMT</v>
    </spb>
  </spbData>
</supportingPropertyBags>
</file>

<file path=xl/richData/rdsupportingpropertybagstructure.xml><?xml version="1.0" encoding="utf-8"?>
<spbStructures xmlns="http://schemas.microsoft.com/office/spreadsheetml/2017/richdata2" count="12">
  <s>
    <k n="Alto" t="s"/>
    <k n="Beta" t="s"/>
    <k n="Nome" t="s"/>
    <k n="Sede" t="s"/>
    <k n="Baixo" t="s"/>
    <k n="Bolsa" t="s"/>
    <k n="Moeda" t="s"/>
    <k n="Preço" t="s"/>
    <k n="Setor" t="s"/>
    <k n="Imagem" t="s"/>
    <k n="Volume" t="s"/>
    <k n="Variação" t="s"/>
    <k n="Descrição" t="s"/>
    <k n="Pendência" t="s"/>
    <k n="ExchangeID" t="s"/>
    <k n="UniqueName" t="s"/>
    <k n="Funcionários" t="s"/>
    <k n="Nome oficial" t="s"/>
    <k n="Variação (%)" t="s"/>
    <k n="%ProviderInfo" t="s"/>
    <k n="LearnMoreOnLink" t="s"/>
    <k n="Média de volume" t="s"/>
    <k n="Símbolo do ticker" t="s"/>
    <k n="52 semanas de alta" t="s"/>
    <k n="52 semanas de baixa" t="s"/>
    <k n="Ano de incorporação" t="s"/>
    <k n="Ações em circulação" t="s"/>
    <k n="Fechamento anterior" t="s"/>
    <k n="Tipo de instrumento" t="s"/>
    <k n="Abreviatura do câmbio" t="s"/>
    <k n="Capitalização de mercado" t="s"/>
    <k n="Hora da última transação" t="s"/>
  </s>
  <s>
    <k n="^Order" t="spba"/>
    <k n="TitleProperty" t="s"/>
    <k n="SubTitleProperty" t="s"/>
  </s>
  <s>
    <k n="ShowInDotNotation" t="b"/>
    <k n="ShowInAutoComplete" t="b"/>
  </s>
  <s>
    <k n="ShowInCardView" t="b"/>
    <k n="ShowInDotNotation" t="b"/>
    <k n="ShowInAutoComplete" t="b"/>
  </s>
  <s>
    <k n="Imagem" t="spb"/>
    <k n="ExchangeID" t="spb"/>
    <k n="UniqueName" t="spb"/>
    <k n="`%ProviderInfo" t="spb"/>
    <k n="LearnMoreOnLink" t="spb"/>
  </s>
  <s>
    <k n="Alto" t="i"/>
    <k n="Beta" t="i"/>
    <k n="Nome" t="i"/>
    <k n="Baixo" t="i"/>
    <k n="Preço" t="i"/>
    <k n="Imagem" t="i"/>
    <k n="Volume" t="i"/>
    <k n="Variação" t="i"/>
    <k n="Pendência" t="i"/>
    <k n="Funcionários" t="i"/>
    <k n="Variação (%)" t="i"/>
    <k n="Média de volume" t="i"/>
    <k n="`%EntityServiceId" t="i"/>
    <k n="52 semanas de alta" t="i"/>
    <k n="52 semanas de baixa" t="i"/>
    <k n="Ano de incorporação" t="i"/>
    <k n="Ações em circulação" t="i"/>
    <k n="Fechamento anterior" t="i"/>
    <k n="Capitalização de mercado" t="i"/>
    <k n="Hora da última transação" t="i"/>
  </s>
  <s>
    <k n="Preço" t="s"/>
    <k n="Variação" t="s"/>
    <k n="ExchangeID" t="s"/>
    <k n="Variação (%)" t="s"/>
    <k n="Hora da última transação" t="s"/>
  </s>
  <s>
    <k n="name" t="s"/>
  </s>
  <s>
    <k n="Low" t="s"/>
    <k n="P/E" t="s"/>
    <k n="Beta" t="s"/>
    <k n="High" t="s"/>
    <k n="Name" t="s"/>
    <k n="Open" t="s"/>
    <k n="Price" t="s"/>
    <k n="Change" t="s"/>
    <k n="Volume" t="s"/>
    <k n="Currency" t="s"/>
    <k n="Exchange" t="s"/>
    <k n="Industry" t="s"/>
    <k n="Employees" t="s"/>
    <k n="Change (%)" t="s"/>
    <k n="ExchangeID" t="s"/>
    <k n="Market cap" t="s"/>
    <k n="UniqueName" t="s"/>
    <k n="52 week low" t="s"/>
    <k n="Description" t="s"/>
    <k n="52 week high" t="s"/>
    <k n="Headquarters" t="s"/>
    <k n="%ProviderInfo" t="s"/>
    <k n="Official name" t="s"/>
    <k n="Ticker symbol" t="s"/>
    <k n="Previous close" t="s"/>
    <k n="Volume average" t="s"/>
    <k n="Instrument type" t="s"/>
    <k n="Last trade time" t="s"/>
    <k n="LearnMoreOnLink" t="s"/>
    <k n="Year incorporated" t="s"/>
    <k n="Shares outstanding" t="s"/>
    <k n="Exchange abbreviation"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14" formatCode="0.00%"/>
    </x:dxf>
    <x:dxf>
      <x:numFmt numFmtId="0" formatCode="General"/>
    </x:dxf>
    <x:dxf>
      <x:numFmt numFmtId="27" formatCode="m/d/yyyy\ h:mm"/>
    </x:dxf>
    <x:dxf>
      <x:numFmt numFmtId="2" formatCode="0.00"/>
    </x:dxf>
    <x:dxf>
      <x:numFmt numFmtId="3" formatCode="#,##0"/>
    </x:dxf>
    <x:dxf>
      <x:numFmt numFmtId="4" formatCode="#,##0.00"/>
    </x:dxf>
    <x:dxf>
      <x:numFmt numFmtId="1" formatCode="0"/>
    </x:dxf>
  </dxfs>
  <richProperties>
    <rPr n="NumberFormat" t="s"/>
    <rPr n="IsTitleField" t="b"/>
    <rPr n="IsHeroField" t="b"/>
  </richProperties>
  <richStyles>
    <rSty dxfid="1">
      <rpv i="0">_([$$-en-US]* #,##0.00_);_([$$-en-US]* (#,##0.00);_([$$-en-US]* "-"??_);_(@_)</rpv>
    </rSty>
    <rSty dxfid="5">
      <rpv i="0">#,##0.00</rpv>
    </rSty>
    <rSty>
      <rpv i="1">1</rpv>
    </rSty>
    <rSty>
      <rpv i="2">1</rpv>
    </rSty>
    <rSty dxfid="4">
      <rpv i="0">#,##0</rpv>
    </rSty>
    <rSty dxfid="0"/>
    <rSty dxfid="3">
      <rpv i="0">0.00</rpv>
    </rSty>
    <rSty dxfid="6">
      <rpv i="0">0</rpv>
    </rSty>
    <rSty dxfid="1">
      <rpv i="0">_([$$-en-US]* #,##0_);_([$$-en-US]* (#,##0);_([$$-en-US]* "-"_);_(@_)</rpv>
    </rSty>
    <rSty dxfid="2"/>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96BEFE-B62B-4484-8B4A-E0C798B7D13A}" name="Table2" displayName="Table2" ref="B17:M31" headerRowCount="0" totalsRowShown="0" headerRowDxfId="25" dataDxfId="24" headerRowCellStyle="Normal 3" dataCellStyle="Normal 3">
  <tableColumns count="12">
    <tableColumn id="1" xr3:uid="{9A4D0599-0CAA-4882-92FC-8CE19254F7DD}" name="Column1" headerRowDxfId="23" dataDxfId="22" headerRowCellStyle="Normal 3"/>
    <tableColumn id="2" xr3:uid="{323452BF-D02F-42B9-8B3F-11632D151E2D}" name="2023" headerRowDxfId="21" dataDxfId="20" headerRowCellStyle="Normal 3" dataCellStyle="Normal 3"/>
    <tableColumn id="3" xr3:uid="{5113396C-5AF3-4F96-8B2E-DDF26AF48FE4}" name="2022" headerRowDxfId="19" dataDxfId="18" headerRowCellStyle="Normal 3" dataCellStyle="Normal 3"/>
    <tableColumn id="4" xr3:uid="{BD4FE108-290C-46A9-8012-11DE863F69C7}" name="2021" headerRowDxfId="17" dataDxfId="16" headerRowCellStyle="Normal 3" dataCellStyle="Normal 3"/>
    <tableColumn id="5" xr3:uid="{CE8FF9A7-B101-4ABC-A9E4-12D4F2CA330B}" name="2020" headerRowDxfId="15" dataDxfId="14" headerRowCellStyle="Normal 3" dataCellStyle="Normal 3"/>
    <tableColumn id="6" xr3:uid="{5737C749-75F5-4638-8929-738EF1D80342}" name="2019" headerRowDxfId="13" dataDxfId="12" headerRowCellStyle="Normal 3" dataCellStyle="Normal 3"/>
    <tableColumn id="7" xr3:uid="{F78359AF-8EDA-41B0-A600-54734B6F428C}" name="2018" headerRowDxfId="11" dataDxfId="10" headerRowCellStyle="Normal 3" dataCellStyle="Normal 3"/>
    <tableColumn id="8" xr3:uid="{C9D62645-D161-4A57-B059-35ECD69DAAD0}" name="2017" headerRowDxfId="9" dataDxfId="8" headerRowCellStyle="Normal 3" dataCellStyle="Normal 3"/>
    <tableColumn id="9" xr3:uid="{F1F47110-F2A8-4B64-8F4F-24A9D122BF54}" name="2016" headerRowDxfId="7" dataDxfId="6" headerRowCellStyle="Normal 3" dataCellStyle="Normal 3"/>
    <tableColumn id="10" xr3:uid="{67ECDC50-5D0B-4885-86FD-6CC049FC0302}" name="2015" headerRowDxfId="5" dataDxfId="4" headerRowCellStyle="Normal 3" dataCellStyle="Normal 3"/>
    <tableColumn id="11" xr3:uid="{A404D868-4E57-4EF0-81F5-EF5D66D9FFF9}" name="2014" headerRowDxfId="3" dataDxfId="2" headerRowCellStyle="Normal 3" dataCellStyle="Normal 3"/>
    <tableColumn id="12" xr3:uid="{AFF8B4E4-CD6B-44D4-A888-A3E837693ACB}" name="2013" headerRowDxfId="1" dataDxfId="0" headerRowCellStyle="Normal 3" dataCellStyle="Normal 3"/>
  </tableColumns>
  <tableStyleInfo name="TableStyleLight1"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mordorintelligence.com/industry-reports/us-residential-construction-market" TargetMode="External"/><Relationship Id="rId2" Type="http://schemas.openxmlformats.org/officeDocument/2006/relationships/hyperlink" Target="https://www.futuremarketinsights.com/reports/online-home-rental-market" TargetMode="External"/><Relationship Id="rId1" Type="http://schemas.openxmlformats.org/officeDocument/2006/relationships/hyperlink" Target="https://www.grandviewresearch.com/industry-analysis/real-estate-market"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usinflationcalculator.com/inflation/current-inflation-rates/" TargetMode="External"/><Relationship Id="rId13" Type="http://schemas.openxmlformats.org/officeDocument/2006/relationships/comments" Target="../comments3.xml"/><Relationship Id="rId3" Type="http://schemas.openxmlformats.org/officeDocument/2006/relationships/hyperlink" Target="https://pages.stern.nyu.edu/~adamodar/New_Home_Page/datafile/ratings.html" TargetMode="External"/><Relationship Id="rId7" Type="http://schemas.openxmlformats.org/officeDocument/2006/relationships/hyperlink" Target="https://www.ustreasuryyieldcurve.com/" TargetMode="External"/><Relationship Id="rId12" Type="http://schemas.openxmlformats.org/officeDocument/2006/relationships/table" Target="../tables/table1.xml"/><Relationship Id="rId2" Type="http://schemas.openxmlformats.org/officeDocument/2006/relationships/hyperlink" Target="https://www.mordorintelligence.com/industry-reports/north-america-residential-construction-market" TargetMode="External"/><Relationship Id="rId1" Type="http://schemas.openxmlformats.org/officeDocument/2006/relationships/hyperlink" Target="https://www.statista.com/statistics/226482/projected-value-of-total-us-residential-construction/" TargetMode="External"/><Relationship Id="rId6" Type="http://schemas.openxmlformats.org/officeDocument/2006/relationships/hyperlink" Target="https://www.ustreasuryyieldcurve.com/" TargetMode="External"/><Relationship Id="rId11" Type="http://schemas.openxmlformats.org/officeDocument/2006/relationships/vmlDrawing" Target="../drawings/vmlDrawing3.vml"/><Relationship Id="rId5" Type="http://schemas.openxmlformats.org/officeDocument/2006/relationships/hyperlink" Target="https://www.ustreasuryyieldcurve.com/" TargetMode="External"/><Relationship Id="rId10" Type="http://schemas.openxmlformats.org/officeDocument/2006/relationships/printerSettings" Target="../printerSettings/printerSettings7.bin"/><Relationship Id="rId4" Type="http://schemas.openxmlformats.org/officeDocument/2006/relationships/hyperlink" Target="https://www.ustreasuryyieldcurve.com/" TargetMode="External"/><Relationship Id="rId9" Type="http://schemas.openxmlformats.org/officeDocument/2006/relationships/hyperlink" Target="https://www.usinflationcalculator.com/inflation/current-inflation-rat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csimarket.com/stocks/competitionSEG2.php?code=L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S107"/>
  <sheetViews>
    <sheetView showGridLines="0" zoomScaleNormal="100" workbookViewId="0">
      <selection activeCell="H40" sqref="H40:H43"/>
    </sheetView>
  </sheetViews>
  <sheetFormatPr defaultColWidth="11.42578125" defaultRowHeight="12.75"/>
  <cols>
    <col min="1" max="1" width="0.42578125" customWidth="1"/>
    <col min="2" max="2" width="21.140625" bestFit="1" customWidth="1"/>
    <col min="3" max="3" width="23.42578125" customWidth="1"/>
    <col min="4" max="4" width="32" customWidth="1"/>
    <col min="5" max="5" width="20.42578125" bestFit="1" customWidth="1"/>
    <col min="6" max="6" width="17" bestFit="1" customWidth="1"/>
    <col min="7" max="7" width="13.42578125" bestFit="1" customWidth="1"/>
    <col min="8" max="8" width="24.85546875" customWidth="1"/>
    <col min="9" max="9" width="17.140625" customWidth="1"/>
    <col min="10" max="10" width="10.42578125" customWidth="1"/>
    <col min="11" max="11" width="13.7109375" customWidth="1"/>
    <col min="12" max="12" width="20.85546875" bestFit="1" customWidth="1"/>
    <col min="13" max="13" width="31" customWidth="1"/>
  </cols>
  <sheetData>
    <row r="1" spans="2:17" ht="3.75" customHeight="1" thickBot="1"/>
    <row r="2" spans="2:17" ht="22.5" customHeight="1">
      <c r="B2" s="692" t="s">
        <v>0</v>
      </c>
      <c r="C2" s="693" t="s">
        <v>1</v>
      </c>
      <c r="D2" s="704">
        <v>45577</v>
      </c>
      <c r="E2" s="968" t="e" vm="1">
        <f>Inputs!H3</f>
        <v>#VALUE!</v>
      </c>
      <c r="F2" s="969"/>
      <c r="G2" s="969"/>
      <c r="H2" s="969"/>
      <c r="I2" s="969"/>
      <c r="J2" s="969"/>
      <c r="K2" s="970"/>
      <c r="L2" s="694" t="str" cm="1">
        <f t="array" aca="1" ref="L2" ca="1">_FV(E2,"Abreviatura do câmbio",TRUE)</f>
        <v>XNYS</v>
      </c>
      <c r="M2" s="695" t="s">
        <v>2</v>
      </c>
    </row>
    <row r="3" spans="2:17" ht="26.25" customHeight="1">
      <c r="B3" s="899" t="e" vm="2">
        <v>#VALUE!</v>
      </c>
      <c r="C3" s="900"/>
      <c r="D3" s="980" t="s">
        <v>3</v>
      </c>
      <c r="E3" s="981"/>
      <c r="F3" s="981"/>
      <c r="G3" s="982"/>
      <c r="H3" s="983" t="s">
        <v>4</v>
      </c>
      <c r="I3" s="984"/>
      <c r="J3" s="984"/>
      <c r="K3" s="984"/>
      <c r="L3" s="984"/>
      <c r="M3" s="985"/>
    </row>
    <row r="4" spans="2:17" ht="13.5" customHeight="1">
      <c r="B4" s="901"/>
      <c r="C4" s="902"/>
      <c r="D4" s="971" t="s">
        <v>5</v>
      </c>
      <c r="E4" s="972"/>
      <c r="F4" s="972"/>
      <c r="G4" s="973"/>
      <c r="H4" s="111" t="s">
        <v>6</v>
      </c>
      <c r="I4" s="691" t="s">
        <v>7</v>
      </c>
      <c r="J4" s="959" t="s">
        <v>8</v>
      </c>
      <c r="K4" s="989"/>
      <c r="L4" s="927" t="s">
        <v>9</v>
      </c>
      <c r="M4" s="928"/>
    </row>
    <row r="5" spans="2:17" ht="25.5" customHeight="1">
      <c r="B5" s="901"/>
      <c r="C5" s="902"/>
      <c r="D5" s="974"/>
      <c r="E5" s="975"/>
      <c r="F5" s="975"/>
      <c r="G5" s="976"/>
      <c r="H5" s="112" t="s">
        <v>10</v>
      </c>
      <c r="I5" s="370" t="s">
        <v>11</v>
      </c>
      <c r="J5" s="925" t="s">
        <v>12</v>
      </c>
      <c r="K5" s="926"/>
      <c r="L5" s="925" t="s">
        <v>13</v>
      </c>
      <c r="M5" s="929"/>
    </row>
    <row r="6" spans="2:17" ht="16.5" customHeight="1">
      <c r="B6" s="901"/>
      <c r="C6" s="902"/>
      <c r="D6" s="974"/>
      <c r="E6" s="975"/>
      <c r="F6" s="975"/>
      <c r="G6" s="976"/>
      <c r="H6" s="112" t="s">
        <v>14</v>
      </c>
      <c r="I6" s="370" t="s">
        <v>15</v>
      </c>
      <c r="J6" s="925" t="s">
        <v>12</v>
      </c>
      <c r="K6" s="926"/>
      <c r="L6" s="925" t="s">
        <v>16</v>
      </c>
      <c r="M6" s="929"/>
    </row>
    <row r="7" spans="2:17" ht="25.5" customHeight="1">
      <c r="B7" s="901"/>
      <c r="C7" s="902"/>
      <c r="D7" s="974"/>
      <c r="E7" s="975"/>
      <c r="F7" s="975"/>
      <c r="G7" s="976"/>
      <c r="H7" s="112" t="s">
        <v>17</v>
      </c>
      <c r="I7" s="370" t="s">
        <v>11</v>
      </c>
      <c r="J7" s="925" t="s">
        <v>12</v>
      </c>
      <c r="K7" s="926"/>
      <c r="L7" s="925" t="s">
        <v>18</v>
      </c>
      <c r="M7" s="929"/>
    </row>
    <row r="8" spans="2:17" ht="22.5" customHeight="1">
      <c r="B8" s="901"/>
      <c r="C8" s="902"/>
      <c r="D8" s="974"/>
      <c r="E8" s="975"/>
      <c r="F8" s="975"/>
      <c r="G8" s="976"/>
      <c r="H8" s="112" t="s">
        <v>19</v>
      </c>
      <c r="I8" s="370" t="s">
        <v>15</v>
      </c>
      <c r="J8" s="925" t="s">
        <v>20</v>
      </c>
      <c r="K8" s="926"/>
      <c r="L8" s="925" t="s">
        <v>21</v>
      </c>
      <c r="M8" s="929"/>
    </row>
    <row r="9" spans="2:17" ht="12.75" customHeight="1">
      <c r="B9" s="901"/>
      <c r="C9" s="902"/>
      <c r="D9" s="974"/>
      <c r="E9" s="975"/>
      <c r="F9" s="975"/>
      <c r="G9" s="976"/>
      <c r="H9" s="112" t="s">
        <v>22</v>
      </c>
      <c r="I9" s="370" t="s">
        <v>11</v>
      </c>
      <c r="J9" s="925" t="s">
        <v>12</v>
      </c>
      <c r="K9" s="926"/>
      <c r="L9" s="925" t="s">
        <v>23</v>
      </c>
      <c r="M9" s="929"/>
    </row>
    <row r="10" spans="2:17" ht="26.25" customHeight="1">
      <c r="B10" s="901"/>
      <c r="C10" s="902"/>
      <c r="D10" s="974"/>
      <c r="E10" s="975"/>
      <c r="F10" s="975"/>
      <c r="G10" s="976"/>
      <c r="H10" s="112" t="s">
        <v>24</v>
      </c>
      <c r="I10" s="370" t="s">
        <v>15</v>
      </c>
      <c r="J10" s="925" t="s">
        <v>12</v>
      </c>
      <c r="K10" s="926"/>
      <c r="L10" s="925" t="s">
        <v>25</v>
      </c>
      <c r="M10" s="929"/>
    </row>
    <row r="11" spans="2:17" ht="27" customHeight="1">
      <c r="B11" s="901"/>
      <c r="C11" s="902"/>
      <c r="D11" s="974"/>
      <c r="E11" s="975"/>
      <c r="F11" s="975"/>
      <c r="G11" s="976"/>
      <c r="H11" s="112" t="s">
        <v>26</v>
      </c>
      <c r="I11" s="370" t="s">
        <v>15</v>
      </c>
      <c r="J11" s="925" t="s">
        <v>20</v>
      </c>
      <c r="K11" s="926"/>
      <c r="L11" s="925" t="s">
        <v>27</v>
      </c>
      <c r="M11" s="929"/>
    </row>
    <row r="12" spans="2:17" ht="23.25" customHeight="1">
      <c r="B12" s="901"/>
      <c r="C12" s="902"/>
      <c r="D12" s="974"/>
      <c r="E12" s="975"/>
      <c r="F12" s="975"/>
      <c r="G12" s="976"/>
      <c r="H12" s="112" t="s">
        <v>28</v>
      </c>
      <c r="I12" s="370" t="s">
        <v>15</v>
      </c>
      <c r="J12" s="925" t="s">
        <v>12</v>
      </c>
      <c r="K12" s="926"/>
      <c r="L12" s="925" t="s">
        <v>29</v>
      </c>
      <c r="M12" s="929"/>
      <c r="P12" s="384"/>
    </row>
    <row r="13" spans="2:17" ht="27" customHeight="1">
      <c r="B13" s="901"/>
      <c r="C13" s="902"/>
      <c r="D13" s="974"/>
      <c r="E13" s="975"/>
      <c r="F13" s="975"/>
      <c r="G13" s="976"/>
      <c r="H13" s="112" t="s">
        <v>30</v>
      </c>
      <c r="I13" s="370" t="s">
        <v>11</v>
      </c>
      <c r="J13" s="925" t="s">
        <v>12</v>
      </c>
      <c r="K13" s="926"/>
      <c r="L13" s="925" t="s">
        <v>31</v>
      </c>
      <c r="M13" s="929"/>
    </row>
    <row r="14" spans="2:17" ht="24" customHeight="1">
      <c r="B14" s="901"/>
      <c r="C14" s="902"/>
      <c r="D14" s="974"/>
      <c r="E14" s="975"/>
      <c r="F14" s="975"/>
      <c r="G14" s="976"/>
      <c r="H14" s="112" t="s">
        <v>32</v>
      </c>
      <c r="I14" s="370" t="s">
        <v>15</v>
      </c>
      <c r="J14" s="925" t="s">
        <v>12</v>
      </c>
      <c r="K14" s="926"/>
      <c r="L14" s="925" t="s">
        <v>33</v>
      </c>
      <c r="M14" s="929"/>
      <c r="Q14" s="276"/>
    </row>
    <row r="15" spans="2:17" ht="25.5" customHeight="1">
      <c r="B15" s="901"/>
      <c r="C15" s="902"/>
      <c r="D15" s="974"/>
      <c r="E15" s="975"/>
      <c r="F15" s="975"/>
      <c r="G15" s="976"/>
      <c r="H15" s="112" t="s">
        <v>34</v>
      </c>
      <c r="I15" s="370" t="s">
        <v>11</v>
      </c>
      <c r="J15" s="925" t="s">
        <v>12</v>
      </c>
      <c r="K15" s="926"/>
      <c r="L15" s="925" t="s">
        <v>35</v>
      </c>
      <c r="M15" s="929"/>
    </row>
    <row r="16" spans="2:17" ht="0.75" customHeight="1">
      <c r="B16" s="903"/>
      <c r="C16" s="904"/>
      <c r="D16" s="974"/>
      <c r="E16" s="975"/>
      <c r="F16" s="975"/>
      <c r="G16" s="976"/>
      <c r="H16" s="990"/>
      <c r="I16" s="991"/>
      <c r="J16" s="991"/>
      <c r="K16" s="991"/>
      <c r="L16" s="991"/>
      <c r="M16" s="992"/>
    </row>
    <row r="17" spans="2:13" ht="0.75" customHeight="1">
      <c r="B17" s="897" t="str" cm="1">
        <f t="array" aca="1" ref="B17" ca="1">_FV(E2,"Moeda")&amp;" MILLÕES"</f>
        <v>USD MILLÕES</v>
      </c>
      <c r="C17" s="898"/>
      <c r="D17" s="977"/>
      <c r="E17" s="978"/>
      <c r="F17" s="978"/>
      <c r="G17" s="979"/>
      <c r="H17" s="993"/>
      <c r="I17" s="994"/>
      <c r="J17" s="994"/>
      <c r="K17" s="994"/>
      <c r="L17" s="994"/>
      <c r="M17" s="995"/>
    </row>
    <row r="18" spans="2:13" ht="18">
      <c r="B18" s="910" t="s">
        <v>36</v>
      </c>
      <c r="C18" s="911"/>
      <c r="D18" s="911"/>
      <c r="E18" s="911"/>
      <c r="F18" s="911"/>
      <c r="G18" s="911"/>
      <c r="H18" s="911"/>
      <c r="I18" s="911"/>
      <c r="J18" s="911"/>
      <c r="K18" s="911"/>
      <c r="L18" s="911"/>
      <c r="M18" s="912"/>
    </row>
    <row r="19" spans="2:13" ht="15.95" customHeight="1">
      <c r="B19" s="907" t="s">
        <v>37</v>
      </c>
      <c r="C19" s="908"/>
      <c r="D19" s="905" t="s">
        <v>38</v>
      </c>
      <c r="E19" s="909"/>
      <c r="F19" s="986" t="s">
        <v>39</v>
      </c>
      <c r="G19" s="987"/>
      <c r="H19" s="988"/>
      <c r="I19" s="905" t="str">
        <f>"Profitability ("&amp;J20&amp;")"</f>
        <v>Profitability (2023)</v>
      </c>
      <c r="J19" s="967"/>
      <c r="K19" s="909"/>
      <c r="L19" s="905" t="s">
        <v>40</v>
      </c>
      <c r="M19" s="906"/>
    </row>
    <row r="20" spans="2:13" ht="12.95" customHeight="1">
      <c r="B20" s="696" t="s">
        <v>41</v>
      </c>
      <c r="C20" s="705">
        <v>185.72</v>
      </c>
      <c r="D20" s="12" t="s">
        <v>42</v>
      </c>
      <c r="E20" s="122">
        <f>_xlfn.XLOOKUP(D20,'Fin. Data'!A:A,'Fin. Data'!B:B,,0)</f>
        <v>39234.300000000003</v>
      </c>
      <c r="F20" s="959" t="s">
        <v>43</v>
      </c>
      <c r="G20" s="960"/>
      <c r="H20" s="105" t="s">
        <v>44</v>
      </c>
      <c r="I20" t="s">
        <v>45</v>
      </c>
      <c r="J20" s="919">
        <v>2023</v>
      </c>
      <c r="K20" s="920"/>
      <c r="L20" s="11" t="s">
        <v>46</v>
      </c>
      <c r="M20" s="699">
        <f>IF(Inputs!B81 &lt;&gt; "",Inputs!B81,"")</f>
        <v>0.997</v>
      </c>
    </row>
    <row r="21" spans="2:13">
      <c r="B21" s="696" t="s">
        <v>47</v>
      </c>
      <c r="C21" s="706" cm="1">
        <f t="array" aca="1" ref="C21" ca="1">_FV(E2,"Ações em circulação",TRUE)</f>
        <v>264346000</v>
      </c>
      <c r="D21" s="11" t="s">
        <v>48</v>
      </c>
      <c r="E21" s="122">
        <f>_xlfn.XLOOKUP(D21,'Fin. Data'!A:A,'Fin. Data'!B:B,,0)</f>
        <v>12532.34</v>
      </c>
      <c r="F21" s="923" t="str">
        <f>Segments!C5</f>
        <v>East: Alabama, Florida, New Jersey, Pennsylvania, South Carolina</v>
      </c>
      <c r="G21" s="924"/>
      <c r="H21" s="16">
        <f>Segments!B5</f>
        <v>0.29461998194714345</v>
      </c>
      <c r="I21" s="11" t="s">
        <v>49</v>
      </c>
      <c r="J21" s="961">
        <v>45291</v>
      </c>
      <c r="K21" s="962"/>
      <c r="L21" s="11" t="s">
        <v>50</v>
      </c>
      <c r="M21" s="699">
        <f>IF(Inputs!B82 &lt;&gt; "",Inputs!B82,"")</f>
        <v>2.5999999999999999E-2</v>
      </c>
    </row>
    <row r="22" spans="2:13">
      <c r="B22" s="696" t="s">
        <v>51</v>
      </c>
      <c r="C22" s="52">
        <f ca="1">C20*C21/1000000</f>
        <v>49094.339119999997</v>
      </c>
      <c r="D22" s="11" t="s">
        <v>52</v>
      </c>
      <c r="E22" s="359">
        <f ca="1">_xlfn.XLOOKUP("Cash &amp; Eq.",'Fin. Data'!A:A,'Fin. Data'!B:B,,0)*1000000/C21</f>
        <v>24.857194737200487</v>
      </c>
      <c r="F22" s="923" t="str">
        <f>Segments!C6</f>
        <v>Central: Georgia, Illnois, Indiana, North Carolina, Virginia, Tennessee, Minnesota, Maryland</v>
      </c>
      <c r="G22" s="924"/>
      <c r="H22" s="16">
        <f>Segments!B6</f>
        <v>0.1887835006293607</v>
      </c>
      <c r="I22" s="963" t="s">
        <v>53</v>
      </c>
      <c r="J22" s="964"/>
      <c r="K22" s="122">
        <f>_xlfn.XLOOKUP(I22,'Fin. Data'!A:A,'Fin. Data'!B:B,,0)</f>
        <v>5944.47</v>
      </c>
      <c r="L22" s="8" t="s">
        <v>54</v>
      </c>
      <c r="M22" s="698" cm="1">
        <f t="array" aca="1" ref="M22" ca="1">IF(_FV(E2,"Beta") &lt;&gt; "",_FV(E2,"Beta"),"")</f>
        <v>1.5242</v>
      </c>
    </row>
    <row r="23" spans="2:13">
      <c r="B23" s="697" t="s">
        <v>55</v>
      </c>
      <c r="C23" s="52">
        <f>'Fin. Data'!B55</f>
        <v>5138.3</v>
      </c>
      <c r="D23" s="11" t="s">
        <v>56</v>
      </c>
      <c r="E23" s="359">
        <f>IFERROR(_xlfn.XLOOKUP("EBITDA",'Fin. Data'!A:A,'Fin. Data'!B:B,,0)/_xlfn.XLOOKUP("Net Financial Cost",'Fin. Data'!A:A,'Fin. Data'!B:B,,0),"")</f>
        <v>-24.517322444939371</v>
      </c>
      <c r="F23" s="923" t="str">
        <f>Segments!C7</f>
        <v>Texas</v>
      </c>
      <c r="G23" s="924"/>
      <c r="H23" s="16">
        <f>Segments!B7</f>
        <v>0.14457892570068653</v>
      </c>
      <c r="I23" s="965" t="s">
        <v>57</v>
      </c>
      <c r="J23" s="966"/>
      <c r="K23" s="122">
        <f>_xlfn.XLOOKUP(I23,'Fin. Data'!A:A,'Fin. Data'!B:B,,0)</f>
        <v>110.16</v>
      </c>
      <c r="L23" s="11" t="s">
        <v>58</v>
      </c>
      <c r="M23" s="698" t="str">
        <f>IF(Inputs!B83 &lt;&gt; "",Inputs!B83,"")</f>
        <v/>
      </c>
    </row>
    <row r="24" spans="2:13">
      <c r="B24" s="697" t="s">
        <v>59</v>
      </c>
      <c r="C24" s="52">
        <f>'Fin. Data'!B36</f>
        <v>6570.9</v>
      </c>
      <c r="D24" s="11" t="s">
        <v>60</v>
      </c>
      <c r="E24" s="359">
        <f>IFERROR(_xlfn.XLOOKUP("Total Debt",'Fin. Data'!A:A,'Fin. Data'!B:B,,0)/_xlfn.XLOOKUP("EBITDA",'Fin. Data'!A:A,'Fin. Data'!B:B,,0),"")</f>
        <v>0.86438319984792589</v>
      </c>
      <c r="F24" s="923" t="str">
        <f>Segments!C8</f>
        <v>West: Idaho, California, Colorado, Arizona, Nevada, Utah, Oregon, Washington</v>
      </c>
      <c r="G24" s="924"/>
      <c r="H24" s="42">
        <f>Segments!B8</f>
        <v>0.37130173764058794</v>
      </c>
      <c r="I24" s="965" t="s">
        <v>61</v>
      </c>
      <c r="J24" s="966"/>
      <c r="K24" s="122">
        <f>_xlfn.XLOOKUP(I24,'Fin. Data'!A:A,'Fin. Data'!B:B,,0)</f>
        <v>5834.31</v>
      </c>
      <c r="L24" s="11" t="s">
        <v>62</v>
      </c>
      <c r="M24" s="698">
        <f ca="1">IFERROR((C20*C21/(E20-E21))/1000000,"")</f>
        <v>1.8386043241769516</v>
      </c>
    </row>
    <row r="25" spans="2:13">
      <c r="B25" s="697" t="s">
        <v>63</v>
      </c>
      <c r="C25" s="52">
        <f ca="1">C22+C23-C24</f>
        <v>47661.739119999998</v>
      </c>
      <c r="D25" s="11" t="s">
        <v>64</v>
      </c>
      <c r="E25" s="359">
        <f>IFERROR(_xlfn.XLOOKUP("Other Assets",'Fin. Data'!A:A,'Fin. Data'!B:B,,0)/_xlfn.XLOOKUP("Total Assets",'Fin. Data'!A:A,'Fin. Data'!B:B,,0),"")</f>
        <v>0.25135664456865553</v>
      </c>
      <c r="F25" s="923" t="str">
        <f>Segments!C9</f>
        <v>Other: Primarly California, including Five Point</v>
      </c>
      <c r="G25" s="924"/>
      <c r="H25" s="42">
        <f>Segments!B9</f>
        <v>7.1585408222136831E-4</v>
      </c>
      <c r="I25" s="963" t="s">
        <v>65</v>
      </c>
      <c r="J25" s="964"/>
      <c r="K25" s="122">
        <f>_xlfn.XLOOKUP(I25,'Fin. Data'!A:A,'Fin. Data'!B:B,,0)</f>
        <v>3961.29</v>
      </c>
      <c r="L25" s="11" t="s">
        <v>66</v>
      </c>
      <c r="M25" s="699">
        <f>IFERROR(K31/E20,"")</f>
        <v>-7.7218998002598072E-3</v>
      </c>
    </row>
    <row r="26" spans="2:13">
      <c r="B26" s="697" t="s">
        <v>67</v>
      </c>
      <c r="C26" s="124" t="s">
        <v>68</v>
      </c>
      <c r="D26" s="11" t="s">
        <v>69</v>
      </c>
      <c r="E26" s="359">
        <f>_xlfn.XLOOKUP(D26,'Fin. Data'!A:A,'Fin. Data'!B:B,,0)</f>
        <v>0.13096448770591038</v>
      </c>
      <c r="F26" s="959" t="s">
        <v>70</v>
      </c>
      <c r="G26" s="960"/>
      <c r="H26" s="106" t="s">
        <v>44</v>
      </c>
      <c r="I26" s="963" t="s">
        <v>71</v>
      </c>
      <c r="J26" s="964"/>
      <c r="K26" s="844">
        <f ca="1">1000000*K25/C21</f>
        <v>14.98524660861144</v>
      </c>
      <c r="L26" s="11" t="s">
        <v>72</v>
      </c>
      <c r="M26" s="700">
        <f ca="1">IFERROR(C22/K30,"")</f>
        <v>11.271941290368993</v>
      </c>
    </row>
    <row r="27" spans="2:13">
      <c r="B27" s="696" t="s">
        <v>73</v>
      </c>
      <c r="C27" s="125" t="s">
        <v>68</v>
      </c>
      <c r="D27" s="11" t="s">
        <v>74</v>
      </c>
      <c r="E27" s="123">
        <f>IFERROR(AVERAGE(_xlfn.XLOOKUP("EBITDA Margin",'Fin. Data'!A:A,'Fin. Data'!B:D,,0)),"")</f>
        <v>0.19452789217343991</v>
      </c>
      <c r="F27" s="923" t="str">
        <f>Segments!C17</f>
        <v>Homebuilding</v>
      </c>
      <c r="G27" s="924"/>
      <c r="H27" s="16">
        <f>Segments!B17</f>
        <v>0.9540688169547803</v>
      </c>
      <c r="I27" s="963" t="s">
        <v>75</v>
      </c>
      <c r="J27" s="964"/>
      <c r="K27" s="70">
        <f>IFERROR(K25/E20,"")</f>
        <v>0.10096497197605156</v>
      </c>
      <c r="L27" s="11" t="s">
        <v>76</v>
      </c>
      <c r="M27" s="701">
        <f ca="1">IFERROR(C25/E20,"")</f>
        <v>1.2147977438109001</v>
      </c>
    </row>
    <row r="28" spans="2:13" ht="12.75" customHeight="1">
      <c r="B28" s="696" t="s">
        <v>77</v>
      </c>
      <c r="C28" s="17"/>
      <c r="D28" s="11" t="s">
        <v>78</v>
      </c>
      <c r="E28" s="123">
        <f>IFERROR(AVERAGE(_xlfn.XLOOKUP("Operating Margin",'Fin. Data'!A:A,'Fin. Data'!B:D,,0)),"")</f>
        <v>0.19151560984827273</v>
      </c>
      <c r="F28" s="923" t="str">
        <f>Segments!C18</f>
        <v>Financial Services</v>
      </c>
      <c r="G28" s="924"/>
      <c r="H28" s="16">
        <f>Segments!B18</f>
        <v>2.8535289226306288E-2</v>
      </c>
      <c r="I28" s="963" t="s">
        <v>79</v>
      </c>
      <c r="J28" s="964"/>
      <c r="K28" s="70">
        <f>IFERROR(Peers!C18,"")</f>
        <v>0.17268841031454107</v>
      </c>
      <c r="L28" s="11" t="s">
        <v>80</v>
      </c>
      <c r="M28" s="701">
        <f ca="1">IFERROR(C25/K29,"")</f>
        <v>7.6920917852877571</v>
      </c>
    </row>
    <row r="29" spans="2:13" ht="15.95" customHeight="1">
      <c r="B29" s="907" t="s">
        <v>81</v>
      </c>
      <c r="C29" s="908"/>
      <c r="D29" s="11" t="s">
        <v>82</v>
      </c>
      <c r="E29" s="123">
        <f>IFERROR(AVERAGE(_xlfn.XLOOKUP("Net Income Margin",'Fin. Data'!A:A,'Fin. Data'!B:D,,0)),"")</f>
        <v>0.13934438299410509</v>
      </c>
      <c r="F29" s="923" t="str">
        <f>Segments!C19</f>
        <v>Multifamily</v>
      </c>
      <c r="G29" s="924"/>
      <c r="H29" s="16">
        <f>Segments!B19</f>
        <v>1.6752223547050558E-2</v>
      </c>
      <c r="I29" s="999" t="s">
        <v>83</v>
      </c>
      <c r="J29" s="1000"/>
      <c r="K29" s="632">
        <f>AVERAGE(_xlfn.XLOOKUP("EBITDA",'Fin. Data'!A:A,'Fin. Data'!B:D,,0))</f>
        <v>6196.2</v>
      </c>
      <c r="L29" s="11" t="s">
        <v>84</v>
      </c>
      <c r="M29" s="700">
        <f ca="1">IFERROR(C22/K31,"")</f>
        <v>-162.04713151206414</v>
      </c>
    </row>
    <row r="30" spans="2:13">
      <c r="B30" s="702" t="s">
        <v>85</v>
      </c>
      <c r="C30" s="483"/>
      <c r="D30" s="703"/>
      <c r="E30" s="130"/>
      <c r="F30" s="923" t="str">
        <f>Segments!C20</f>
        <v>Lennar other</v>
      </c>
      <c r="G30" s="924"/>
      <c r="H30" s="16">
        <f>Segments!B20</f>
        <v>6.4367027186283698E-4</v>
      </c>
      <c r="I30" s="963" t="s">
        <v>86</v>
      </c>
      <c r="J30" s="964"/>
      <c r="K30" s="122">
        <f>AVERAGE(_xlfn.XLOOKUP("Net Income",'Fin. Data'!A:A,'Fin. Data'!B:D,,0))</f>
        <v>4355.4466666666667</v>
      </c>
      <c r="L30" s="11" t="s">
        <v>87</v>
      </c>
      <c r="M30" s="700" t="s">
        <v>68</v>
      </c>
    </row>
    <row r="31" spans="2:13">
      <c r="B31" s="702" t="s">
        <v>88</v>
      </c>
      <c r="C31" s="484"/>
      <c r="D31" s="11" t="s">
        <v>89</v>
      </c>
      <c r="E31" s="478">
        <f>IFERROR(-_xlfn.XLOOKUP("Net Financial Cost",'Fin. Data'!A:A,'Fin. Data'!B:B,,0)/AVERAGE(_xlfn.XLOOKUP("Net Debt",'Fin. Data'!A:A,'Fin. Data'!B:D,,0)),"")</f>
        <v>0.19681579331879404</v>
      </c>
      <c r="F31" s="923"/>
      <c r="G31" s="924"/>
      <c r="H31" s="16"/>
      <c r="I31" s="963" t="s">
        <v>90</v>
      </c>
      <c r="J31" s="964"/>
      <c r="K31" s="122">
        <f>AVERAGE(_xlfn.XLOOKUP("Net Financial Cost",'Fin. Data'!A:A,'Fin. Data'!B:D,,0))</f>
        <v>-302.96333333333337</v>
      </c>
      <c r="L31" s="11" t="s">
        <v>91</v>
      </c>
      <c r="M31" s="699">
        <f ca="1">-IFERROR(SUM(E52:E54)/(3*C22),"")</f>
        <v>3.279816021281437E-2</v>
      </c>
    </row>
    <row r="32" spans="2:13" ht="12.6" customHeight="1">
      <c r="B32" s="702" t="s">
        <v>92</v>
      </c>
      <c r="C32" s="484"/>
      <c r="D32" s="127"/>
      <c r="E32" s="129"/>
      <c r="F32" s="921"/>
      <c r="G32" s="922"/>
      <c r="H32" s="18"/>
      <c r="I32" s="127"/>
      <c r="J32" s="128"/>
      <c r="K32" s="128"/>
      <c r="L32" s="11" t="s">
        <v>93</v>
      </c>
      <c r="M32" s="707">
        <f ca="1">-IFERROR(L53/C22,"")</f>
        <v>8.7700538945558182E-3</v>
      </c>
    </row>
    <row r="33" spans="1:19" ht="18.95" customHeight="1">
      <c r="B33" s="913" t="s">
        <v>94</v>
      </c>
      <c r="C33" s="914"/>
      <c r="D33" s="914"/>
      <c r="E33" s="914"/>
      <c r="F33" s="914"/>
      <c r="G33" s="914"/>
      <c r="H33" s="914"/>
      <c r="I33" s="914"/>
      <c r="J33" s="914"/>
      <c r="K33" s="914"/>
      <c r="L33" s="914"/>
      <c r="M33" s="915"/>
    </row>
    <row r="34" spans="1:19" ht="17.100000000000001" customHeight="1">
      <c r="B34" s="1004" t="s">
        <v>95</v>
      </c>
      <c r="C34" s="1002"/>
      <c r="D34" s="1002"/>
      <c r="E34" s="1002"/>
      <c r="F34" s="1002"/>
      <c r="G34" s="1005"/>
      <c r="H34" s="485" t="s">
        <v>96</v>
      </c>
      <c r="I34" s="1001" t="s">
        <v>97</v>
      </c>
      <c r="J34" s="1002"/>
      <c r="K34" s="1002"/>
      <c r="L34" s="1002"/>
      <c r="M34" s="1003"/>
      <c r="N34" s="10"/>
    </row>
    <row r="35" spans="1:19" ht="13.35" customHeight="1">
      <c r="A35" s="10"/>
      <c r="B35" s="486" t="s">
        <v>98</v>
      </c>
      <c r="C35" s="1006" t="s">
        <v>99</v>
      </c>
      <c r="D35" s="1007"/>
      <c r="E35" s="1007"/>
      <c r="F35" s="1007"/>
      <c r="G35" s="1008"/>
      <c r="H35" s="1018" t="s">
        <v>100</v>
      </c>
      <c r="I35" s="1009" t="s">
        <v>101</v>
      </c>
      <c r="J35" s="1010"/>
      <c r="K35" s="1010"/>
      <c r="L35" s="1010"/>
      <c r="M35" s="1011"/>
    </row>
    <row r="36" spans="1:19" ht="24.6" customHeight="1">
      <c r="A36" s="10"/>
      <c r="B36" s="487" t="s">
        <v>102</v>
      </c>
      <c r="C36" s="1021" t="s">
        <v>103</v>
      </c>
      <c r="D36" s="1022"/>
      <c r="E36" s="1022"/>
      <c r="F36" s="1022"/>
      <c r="G36" s="1023"/>
      <c r="H36" s="1019"/>
      <c r="I36" s="1012"/>
      <c r="J36" s="1013"/>
      <c r="K36" s="1013"/>
      <c r="L36" s="1013"/>
      <c r="M36" s="1014"/>
    </row>
    <row r="37" spans="1:19" ht="24.6" customHeight="1">
      <c r="A37" s="10"/>
      <c r="B37" s="487" t="s">
        <v>104</v>
      </c>
      <c r="C37" s="1021" t="s">
        <v>105</v>
      </c>
      <c r="D37" s="1022"/>
      <c r="E37" s="1022"/>
      <c r="F37" s="1022"/>
      <c r="G37" s="1023"/>
      <c r="H37" s="1019"/>
      <c r="I37" s="1012"/>
      <c r="J37" s="1013"/>
      <c r="K37" s="1013"/>
      <c r="L37" s="1013"/>
      <c r="M37" s="1014"/>
    </row>
    <row r="38" spans="1:19" ht="24.6" customHeight="1">
      <c r="B38" s="488" t="s">
        <v>106</v>
      </c>
      <c r="C38" s="1021" t="s">
        <v>107</v>
      </c>
      <c r="D38" s="1022"/>
      <c r="E38" s="1022"/>
      <c r="F38" s="1022"/>
      <c r="G38" s="1023"/>
      <c r="H38" s="1020"/>
      <c r="I38" s="1015"/>
      <c r="J38" s="1016"/>
      <c r="K38" s="1016"/>
      <c r="L38" s="1016"/>
      <c r="M38" s="1017"/>
    </row>
    <row r="39" spans="1:19" ht="17.100000000000001" customHeight="1">
      <c r="B39" s="1004" t="s">
        <v>108</v>
      </c>
      <c r="C39" s="1002"/>
      <c r="D39" s="1002"/>
      <c r="E39" s="1002"/>
      <c r="F39" s="1002"/>
      <c r="G39" s="1005"/>
      <c r="H39" s="489" t="s">
        <v>109</v>
      </c>
      <c r="I39" s="1001" t="s">
        <v>110</v>
      </c>
      <c r="J39" s="1002"/>
      <c r="K39" s="1002"/>
      <c r="L39" s="1002"/>
      <c r="M39" s="1003"/>
    </row>
    <row r="40" spans="1:19" ht="13.35" customHeight="1">
      <c r="B40" s="490" t="s">
        <v>111</v>
      </c>
      <c r="C40" s="1006" t="s">
        <v>99</v>
      </c>
      <c r="D40" s="1007"/>
      <c r="E40" s="1007"/>
      <c r="F40" s="1007"/>
      <c r="G40" s="1008"/>
      <c r="H40" s="916">
        <f ca="1">+DCF!D75</f>
        <v>145.30953485497554</v>
      </c>
      <c r="I40" s="1036" t="s">
        <v>112</v>
      </c>
      <c r="J40" s="1039">
        <f>DCF!F50</f>
        <v>8.8999999999999996E-2</v>
      </c>
      <c r="K40" s="1040"/>
      <c r="L40" s="1043" t="s">
        <v>113</v>
      </c>
      <c r="M40" s="1047" t="str">
        <f>IFERROR(#REF!,"")</f>
        <v/>
      </c>
    </row>
    <row r="41" spans="1:19" ht="13.35" customHeight="1">
      <c r="B41" s="487" t="s">
        <v>114</v>
      </c>
      <c r="C41" s="1024" t="s">
        <v>115</v>
      </c>
      <c r="D41" s="1025"/>
      <c r="E41" s="1025"/>
      <c r="F41" s="1025"/>
      <c r="G41" s="1026"/>
      <c r="H41" s="917"/>
      <c r="I41" s="1037"/>
      <c r="J41" s="1041"/>
      <c r="K41" s="1042"/>
      <c r="L41" s="1044"/>
      <c r="M41" s="1048"/>
    </row>
    <row r="42" spans="1:19" ht="13.35" customHeight="1">
      <c r="B42" s="491" t="s">
        <v>116</v>
      </c>
      <c r="C42" s="996" t="s">
        <v>117</v>
      </c>
      <c r="D42" s="997"/>
      <c r="E42" s="997"/>
      <c r="F42" s="997"/>
      <c r="G42" s="998"/>
      <c r="H42" s="917"/>
      <c r="I42" s="1036" t="s">
        <v>118</v>
      </c>
      <c r="J42" s="1039">
        <f ca="1">IFERROR(DCF!D74,"")</f>
        <v>-0.21758811730036864</v>
      </c>
      <c r="K42" s="1040"/>
      <c r="L42" s="1045" t="s">
        <v>119</v>
      </c>
      <c r="M42" s="1047" t="str">
        <f>IFERROR(#REF!,"")</f>
        <v/>
      </c>
    </row>
    <row r="43" spans="1:19" ht="12.75" customHeight="1">
      <c r="B43" s="492" t="s">
        <v>120</v>
      </c>
      <c r="C43" s="996" t="s">
        <v>121</v>
      </c>
      <c r="D43" s="997"/>
      <c r="E43" s="997"/>
      <c r="F43" s="997"/>
      <c r="G43" s="998"/>
      <c r="H43" s="918"/>
      <c r="I43" s="1038"/>
      <c r="J43" s="1041"/>
      <c r="K43" s="1042"/>
      <c r="L43" s="1046"/>
      <c r="M43" s="1048"/>
    </row>
    <row r="44" spans="1:19" ht="18">
      <c r="B44" s="1033" t="s">
        <v>122</v>
      </c>
      <c r="C44" s="1034"/>
      <c r="D44" s="1034"/>
      <c r="E44" s="1034"/>
      <c r="F44" s="1034"/>
      <c r="G44" s="1034"/>
      <c r="H44" s="1034"/>
      <c r="I44" s="1034"/>
      <c r="J44" s="1034"/>
      <c r="K44" s="1034"/>
      <c r="L44" s="1034"/>
      <c r="M44" s="1035"/>
    </row>
    <row r="45" spans="1:19" ht="12.95" customHeight="1">
      <c r="B45" s="606" t="s">
        <v>123</v>
      </c>
      <c r="C45" s="113" t="s">
        <v>124</v>
      </c>
      <c r="D45" s="113" t="s">
        <v>125</v>
      </c>
      <c r="E45" s="134" t="s">
        <v>126</v>
      </c>
      <c r="F45" s="113" t="s">
        <v>127</v>
      </c>
      <c r="G45" s="113" t="s">
        <v>69</v>
      </c>
      <c r="H45" s="133" t="s">
        <v>57</v>
      </c>
      <c r="I45" s="133" t="s">
        <v>128</v>
      </c>
      <c r="J45" s="1030" t="s">
        <v>129</v>
      </c>
      <c r="K45" s="1031"/>
      <c r="L45" s="1031"/>
      <c r="M45" s="1032"/>
    </row>
    <row r="46" spans="1:19" ht="12.95" customHeight="1">
      <c r="B46" s="607">
        <f t="shared" ref="B46:B52" si="0">B47-1</f>
        <v>2015</v>
      </c>
      <c r="C46" s="132" cm="1">
        <f t="array" ref="C46:C54">_xlfn.SORTBY(TRANSPOSE(_xlfn.XLOOKUP(C$45,'Fin. Data'!$A:$A,'Fin. Data'!$B:$J,,0)),$B$46:$B$54,-1)</f>
        <v>9474</v>
      </c>
      <c r="D46" s="108" cm="1">
        <f t="array" ref="D46:D54">_xlfn.SORTBY(TRANSPOSE(_xlfn.XLOOKUP(D$45,'Fin. Data'!$A:$A,'Fin. Data'!$B:$J,,0)),$B$46:$B$54,-1)</f>
        <v>0.13981211737386531</v>
      </c>
      <c r="E46" s="132" cm="1">
        <f t="array" ref="E46:E54">_xlfn.SORTBY(TRANSPOSE(_xlfn.XLOOKUP(E$45,'Fin. Data'!$A:$A,'Fin. Data'!$B:$J,,0)),$B$46:$B$54,-1)</f>
        <v>-56.378</v>
      </c>
      <c r="F46" s="131">
        <f>Inputs!J76</f>
        <v>-123.36999999999995</v>
      </c>
      <c r="G46" s="108" cm="1">
        <f t="array" ref="G46:G54">_xlfn.SORTBY(TRANSPOSE(_xlfn.XLOOKUP(G$45,'Fin. Data'!$A:$A,'Fin. Data'!$B:$J,,0)),$B$46:$B$54,-1)</f>
        <v>0.46153856823151407</v>
      </c>
      <c r="H46" s="132" cm="1">
        <f t="array" ref="H46:H54">_xlfn.SORTBY(TRANSPOSE(_xlfn.XLOOKUP(H$45,'Fin. Data'!$A:$A,'Fin. Data'!$B:$J,,0)),$B$46:$B$54,-1)</f>
        <v>43.67</v>
      </c>
      <c r="I46" s="132" cm="1">
        <f t="array" ref="I46:I54">_xlfn.SORTBY(TRANSPOSE(_xlfn.XLOOKUP(I$45,'Fin. Data'!$A:$A,'Fin. Data'!$B:$J,,0)),$B$46:$B$54,-1)</f>
        <v>-407.69</v>
      </c>
      <c r="J46" s="387"/>
      <c r="K46" s="127"/>
      <c r="L46" s="109">
        <f>J20</f>
        <v>2023</v>
      </c>
      <c r="M46" s="389">
        <f>L46-1</f>
        <v>2022</v>
      </c>
    </row>
    <row r="47" spans="1:19" ht="12.95" customHeight="1">
      <c r="B47" s="607">
        <f t="shared" si="0"/>
        <v>2016</v>
      </c>
      <c r="C47" s="132">
        <v>10950</v>
      </c>
      <c r="D47" s="107">
        <v>0.13884292237442922</v>
      </c>
      <c r="E47" s="132">
        <v>-55.222000000000001</v>
      </c>
      <c r="F47" s="131">
        <f>Inputs!I76</f>
        <v>171.08000000000004</v>
      </c>
      <c r="G47" s="108">
        <v>0.40851646098303712</v>
      </c>
      <c r="H47" s="132">
        <v>50.22</v>
      </c>
      <c r="I47" s="132">
        <v>-517.36</v>
      </c>
      <c r="J47" s="1049" t="s">
        <v>65</v>
      </c>
      <c r="K47" s="1050"/>
      <c r="L47" s="52">
        <f>_xlfn.XLOOKUP($J47,'Fin. Data'!$A:$A,'Fin. Data'!B:B,,0)</f>
        <v>3961.29</v>
      </c>
      <c r="M47" s="442">
        <f>_xlfn.XLOOKUP($J47,'Fin. Data'!$A:$A,'Fin. Data'!C:C,,0)</f>
        <v>4648.5</v>
      </c>
      <c r="N47" s="21">
        <f t="shared" ref="N47:N55" si="1">(C47/C46)-1</f>
        <v>0.15579480683977209</v>
      </c>
      <c r="O47" s="21">
        <f t="shared" ref="O47:O55" si="2">(D47/D46)-1</f>
        <v>-6.9321244656098679E-3</v>
      </c>
      <c r="P47" s="20"/>
      <c r="Q47" s="19"/>
      <c r="R47" s="19"/>
      <c r="S47" s="19"/>
    </row>
    <row r="48" spans="1:19" ht="12.95" customHeight="1">
      <c r="B48" s="607">
        <f>B49-1</f>
        <v>2017</v>
      </c>
      <c r="C48" s="132">
        <v>12646</v>
      </c>
      <c r="D48" s="107">
        <v>0.12319626759449628</v>
      </c>
      <c r="E48" s="132">
        <v>-65.664000000000001</v>
      </c>
      <c r="F48" s="131">
        <f>Inputs!H76</f>
        <v>1321.34</v>
      </c>
      <c r="G48" s="108">
        <v>0.42531380317876261</v>
      </c>
      <c r="H48" s="132">
        <v>66.319999999999993</v>
      </c>
      <c r="I48" s="132">
        <v>-1280.8</v>
      </c>
      <c r="J48" s="1051" t="s">
        <v>130</v>
      </c>
      <c r="K48" s="1052"/>
      <c r="L48" s="52">
        <f>_xlfn.XLOOKUP($J48,'Fin. Data'!$A:$A,'Fin. Data'!B:B,,0)</f>
        <v>5179.74</v>
      </c>
      <c r="M48" s="442">
        <f>_xlfn.XLOOKUP($J48,'Fin. Data'!$A:$A,'Fin. Data'!C:C,,0)</f>
        <v>3265.67</v>
      </c>
      <c r="N48" s="21">
        <f t="shared" si="1"/>
        <v>0.15488584474885836</v>
      </c>
      <c r="O48" s="21">
        <f t="shared" si="2"/>
        <v>-0.11269321123720877</v>
      </c>
      <c r="P48" s="20"/>
      <c r="Q48" s="19">
        <f t="shared" ref="Q48:Q54" si="3">F48/F47-1</f>
        <v>6.7235211596913702</v>
      </c>
      <c r="R48" s="19">
        <f t="shared" ref="R48:S54" si="4">H48/H47-1</f>
        <v>0.32058940661091184</v>
      </c>
      <c r="S48" s="19">
        <f t="shared" si="4"/>
        <v>1.4756455852791093</v>
      </c>
    </row>
    <row r="49" spans="2:19" ht="12.95" customHeight="1">
      <c r="B49" s="607">
        <f t="shared" si="0"/>
        <v>2018</v>
      </c>
      <c r="C49" s="132">
        <v>20572</v>
      </c>
      <c r="D49" s="107">
        <v>0.11910363601011083</v>
      </c>
      <c r="E49" s="132">
        <v>-348.99300000000005</v>
      </c>
      <c r="F49" s="131">
        <f>Inputs!G76</f>
        <v>-1098.1000000000001</v>
      </c>
      <c r="G49" s="108">
        <v>0.3541621595887165</v>
      </c>
      <c r="H49" s="132">
        <v>91.18</v>
      </c>
      <c r="I49" s="132">
        <v>-1009.47</v>
      </c>
      <c r="J49" s="1051" t="s">
        <v>131</v>
      </c>
      <c r="K49" s="1052"/>
      <c r="L49" s="52">
        <f>_xlfn.XLOOKUP($J49,'Fin. Data'!$A:$A,'Fin. Data'!B:B,,0)</f>
        <v>-176.98</v>
      </c>
      <c r="M49" s="442">
        <f>_xlfn.XLOOKUP($J49,'Fin. Data'!$A:$A,'Fin. Data'!C:C,,0)</f>
        <v>-128.30000000000001</v>
      </c>
      <c r="N49" s="21">
        <f>(C49/C48)-1</f>
        <v>0.62675944962834107</v>
      </c>
      <c r="O49" s="21">
        <f>(D49/D48)-1</f>
        <v>-3.3220418640087845E-2</v>
      </c>
      <c r="P49" s="20"/>
      <c r="Q49" s="19">
        <f>F49/F48-1</f>
        <v>-1.8310502974253411</v>
      </c>
      <c r="R49" s="19">
        <f>H49/H48-1</f>
        <v>0.37484921592279874</v>
      </c>
      <c r="S49" s="19">
        <f>I49/I48-1</f>
        <v>-0.21184415990006245</v>
      </c>
    </row>
    <row r="50" spans="2:19" ht="12.95" customHeight="1">
      <c r="B50" s="607">
        <f t="shared" si="0"/>
        <v>2019</v>
      </c>
      <c r="C50" s="132">
        <v>22260</v>
      </c>
      <c r="D50" s="107">
        <v>0.12869676549865228</v>
      </c>
      <c r="E50" s="132">
        <v>-574.524</v>
      </c>
      <c r="F50" s="131">
        <f>Inputs!F76</f>
        <v>-127.2800000000002</v>
      </c>
      <c r="G50" s="108">
        <v>0.32608514242914821</v>
      </c>
      <c r="H50" s="132">
        <v>92.2</v>
      </c>
      <c r="I50" s="132">
        <v>-457.88</v>
      </c>
      <c r="J50" s="1053" t="s">
        <v>132</v>
      </c>
      <c r="K50" s="1054"/>
      <c r="L50" s="52">
        <f>_xlfn.XLOOKUP($J50,'Fin. Data'!$A:$A,'Fin. Data'!B:B,,0)</f>
        <v>-99.8</v>
      </c>
      <c r="M50" s="442">
        <f>_xlfn.XLOOKUP($J50,'Fin. Data'!$A:$A,'Fin. Data'!C:C,,0)</f>
        <v>-57.21</v>
      </c>
      <c r="N50" s="21">
        <f t="shared" si="1"/>
        <v>8.2053276297880506E-2</v>
      </c>
      <c r="O50" s="21">
        <f t="shared" si="2"/>
        <v>8.0544388147202106E-2</v>
      </c>
      <c r="P50" s="20"/>
      <c r="Q50" s="19">
        <f t="shared" si="3"/>
        <v>-0.88409070212184671</v>
      </c>
      <c r="R50" s="19">
        <f t="shared" si="4"/>
        <v>1.1186663742048575E-2</v>
      </c>
      <c r="S50" s="19">
        <f t="shared" si="4"/>
        <v>-0.54641544572894696</v>
      </c>
    </row>
    <row r="51" spans="2:19" ht="12.95" customHeight="1">
      <c r="B51" s="607">
        <f t="shared" si="0"/>
        <v>2020</v>
      </c>
      <c r="C51" s="132">
        <v>22489</v>
      </c>
      <c r="D51" s="107">
        <v>0.15453821868469028</v>
      </c>
      <c r="E51" s="132">
        <v>-516.56399999999996</v>
      </c>
      <c r="F51" s="131">
        <f>Inputs!E76</f>
        <v>1464.0499999999997</v>
      </c>
      <c r="G51" s="108">
        <v>0.25202554319031989</v>
      </c>
      <c r="H51" s="132">
        <v>94.55</v>
      </c>
      <c r="I51" s="132">
        <v>-533.62</v>
      </c>
      <c r="J51" s="1053" t="s">
        <v>133</v>
      </c>
      <c r="K51" s="1054"/>
      <c r="L51" s="52">
        <f>_xlfn.XLOOKUP($J51,'Fin. Data'!$A:$A,'Fin. Data'!B:B,,0)</f>
        <v>-204.37</v>
      </c>
      <c r="M51" s="442">
        <f>_xlfn.XLOOKUP($J51,'Fin. Data'!$A:$A,'Fin. Data'!C:C,,0)</f>
        <v>-515.09</v>
      </c>
      <c r="N51" s="21">
        <f t="shared" si="1"/>
        <v>1.0287511230907542E-2</v>
      </c>
      <c r="O51" s="21">
        <f t="shared" si="2"/>
        <v>0.20079333840218871</v>
      </c>
      <c r="P51" s="20"/>
      <c r="Q51" s="19">
        <f t="shared" si="3"/>
        <v>-12.502592708988038</v>
      </c>
      <c r="R51" s="19">
        <f t="shared" si="4"/>
        <v>2.5488069414316694E-2</v>
      </c>
      <c r="S51" s="19">
        <f t="shared" si="4"/>
        <v>0.16541451908797078</v>
      </c>
    </row>
    <row r="52" spans="2:19" ht="12.95" customHeight="1">
      <c r="B52" s="607">
        <f t="shared" si="0"/>
        <v>2021</v>
      </c>
      <c r="C52" s="132">
        <v>27130.675999999999</v>
      </c>
      <c r="D52" s="107">
        <v>0.20077162839584239</v>
      </c>
      <c r="E52" s="132">
        <v>-1739.992</v>
      </c>
      <c r="F52" s="131">
        <f>Inputs!D76</f>
        <v>22.949999999999818</v>
      </c>
      <c r="G52" s="108">
        <v>0.19699811309277529</v>
      </c>
      <c r="H52" s="132">
        <v>85.95</v>
      </c>
      <c r="I52" s="132">
        <v>-538.22</v>
      </c>
      <c r="J52" s="1051" t="s">
        <v>134</v>
      </c>
      <c r="K52" s="1052"/>
      <c r="L52" s="52">
        <f>_xlfn.XLOOKUP($J52,'Fin. Data'!$A:$A,'Fin. Data'!B:B,,0)</f>
        <v>-3247.59</v>
      </c>
      <c r="M52" s="442">
        <f>_xlfn.XLOOKUP($J52,'Fin. Data'!$A:$A,'Fin. Data'!C:C,,0)</f>
        <v>-1277.28</v>
      </c>
      <c r="N52" s="21">
        <f t="shared" si="1"/>
        <v>0.20639761661256606</v>
      </c>
      <c r="O52" s="21">
        <f t="shared" si="2"/>
        <v>0.29917136424021917</v>
      </c>
      <c r="P52" s="20"/>
      <c r="Q52" s="19">
        <f t="shared" si="3"/>
        <v>-0.98432430586387087</v>
      </c>
      <c r="R52" s="19">
        <f t="shared" si="4"/>
        <v>-9.0957165520888394E-2</v>
      </c>
      <c r="S52" s="19">
        <f t="shared" si="4"/>
        <v>8.6203665529778206E-3</v>
      </c>
    </row>
    <row r="53" spans="2:19" ht="12.95" customHeight="1">
      <c r="B53" s="607">
        <f>B54-1</f>
        <v>2022</v>
      </c>
      <c r="C53" s="132">
        <v>33671.01</v>
      </c>
      <c r="D53" s="107">
        <v>0.20903709155145625</v>
      </c>
      <c r="E53" s="132">
        <v>-1477.3489999999999</v>
      </c>
      <c r="F53" s="131">
        <f>Inputs!C$76</f>
        <v>1860.09</v>
      </c>
      <c r="G53" s="108">
        <v>0.16738415608554058</v>
      </c>
      <c r="H53" s="132">
        <v>87.08</v>
      </c>
      <c r="I53" s="132">
        <v>-572.30000000000007</v>
      </c>
      <c r="J53" s="1053" t="s">
        <v>135</v>
      </c>
      <c r="K53" s="1054"/>
      <c r="L53" s="52">
        <f>_xlfn.XLOOKUP($J53,'Fin. Data'!$A:$A,'Fin. Data'!B:B,,0)</f>
        <v>-430.56</v>
      </c>
      <c r="M53" s="442">
        <f>_xlfn.XLOOKUP($J53,'Fin. Data'!$A:$A,'Fin. Data'!C:C,,0)</f>
        <v>-438.04</v>
      </c>
      <c r="N53" s="21">
        <f t="shared" si="1"/>
        <v>0.24106785986460499</v>
      </c>
      <c r="O53" s="21">
        <f t="shared" si="2"/>
        <v>4.1168481929715783E-2</v>
      </c>
      <c r="P53" s="20"/>
      <c r="Q53" s="19">
        <f t="shared" si="3"/>
        <v>80.049673202615011</v>
      </c>
      <c r="R53" s="19">
        <f t="shared" si="4"/>
        <v>1.3147178592204822E-2</v>
      </c>
      <c r="S53" s="19">
        <f t="shared" si="4"/>
        <v>6.3319832038943202E-2</v>
      </c>
    </row>
    <row r="54" spans="2:19" ht="12.95" customHeight="1">
      <c r="B54" s="607">
        <f>J20</f>
        <v>2023</v>
      </c>
      <c r="C54" s="132">
        <v>34233.366000000002</v>
      </c>
      <c r="D54" s="107">
        <v>0.16473810959751956</v>
      </c>
      <c r="E54" s="132">
        <v>-1613.271</v>
      </c>
      <c r="F54" s="131">
        <f>Inputs!B76</f>
        <v>1755.17</v>
      </c>
      <c r="G54" s="108">
        <v>0.13096448770591038</v>
      </c>
      <c r="H54" s="132">
        <v>110.16</v>
      </c>
      <c r="I54" s="132">
        <v>-304.17</v>
      </c>
      <c r="J54" s="1053" t="s">
        <v>136</v>
      </c>
      <c r="K54" s="1054"/>
      <c r="L54" s="52">
        <f>_xlfn.XLOOKUP($J54,'Fin. Data'!$A:$A,'Fin. Data'!B:B,,0)</f>
        <v>-1182.711</v>
      </c>
      <c r="M54" s="442">
        <f>_xlfn.XLOOKUP($J54,'Fin. Data'!$A:$A,'Fin. Data'!C:C,,0)</f>
        <v>-1039.309</v>
      </c>
      <c r="N54" s="21">
        <f t="shared" si="1"/>
        <v>1.6701488906926132E-2</v>
      </c>
      <c r="O54" s="21">
        <f t="shared" si="2"/>
        <v>-0.21191924182045041</v>
      </c>
      <c r="P54" s="20"/>
      <c r="Q54" s="19">
        <f t="shared" si="3"/>
        <v>-5.6405872834110138E-2</v>
      </c>
      <c r="R54" s="19">
        <f t="shared" si="4"/>
        <v>0.26504363803399178</v>
      </c>
      <c r="S54" s="19">
        <f t="shared" si="4"/>
        <v>-0.46851301764808673</v>
      </c>
    </row>
    <row r="55" spans="2:19" ht="12.95" customHeight="1">
      <c r="B55" s="608" t="s">
        <v>137</v>
      </c>
      <c r="C55" s="110">
        <f>IFERROR((C54/C46)^(1/8)-1,"")</f>
        <v>0.17419311052154418</v>
      </c>
      <c r="D55" s="110">
        <f>IFERROR((D54/D46)^(1/8)-1,"")</f>
        <v>2.0718904103572244E-2</v>
      </c>
      <c r="E55" s="126"/>
      <c r="F55" s="110" t="str">
        <f>IFERROR((F54/F46)^(1/8)-1,"")</f>
        <v/>
      </c>
      <c r="G55" s="126"/>
      <c r="H55" s="110">
        <f>IFERROR((H54/H46)^(1/8)-1,"")</f>
        <v>0.12261306415323125</v>
      </c>
      <c r="I55" s="126"/>
      <c r="J55" s="1051" t="s">
        <v>138</v>
      </c>
      <c r="K55" s="1052"/>
      <c r="L55" s="52">
        <f>_xlfn.XLOOKUP($J55,'Fin. Data'!$A:$A,'Fin. Data'!B:B,,0)</f>
        <v>0</v>
      </c>
      <c r="M55" s="442">
        <f>_xlfn.XLOOKUP($J55,'Fin. Data'!$A:$A,'Fin. Data'!C:C,,0)</f>
        <v>0</v>
      </c>
      <c r="N55" s="21">
        <f t="shared" si="1"/>
        <v>-0.99999491159851117</v>
      </c>
      <c r="O55" s="21">
        <f t="shared" si="2"/>
        <v>-0.87423126224896164</v>
      </c>
      <c r="P55" s="20"/>
      <c r="Q55" s="19"/>
      <c r="R55" s="19"/>
      <c r="S55" s="19"/>
    </row>
    <row r="56" spans="2:19" ht="12.95" customHeight="1">
      <c r="B56" s="608" t="s">
        <v>139</v>
      </c>
      <c r="C56" s="110">
        <f>IFERROR(AVERAGE(N47:N54),"")</f>
        <v>0.18674348176623209</v>
      </c>
      <c r="D56" s="110">
        <f>IFERROR(AVERAGE(O47:O54),"")</f>
        <v>3.2114072069496111E-2</v>
      </c>
      <c r="E56" s="126"/>
      <c r="F56" s="110">
        <f>IFERROR(AVERAGE(Q47:Q54),"")</f>
        <v>10.073532925010454</v>
      </c>
      <c r="G56" s="126"/>
      <c r="H56" s="110">
        <f>IFERROR(AVERAGE(S47:S54),"")</f>
        <v>6.9461097097414992E-2</v>
      </c>
      <c r="I56" s="126"/>
      <c r="J56" s="1055" t="s">
        <v>140</v>
      </c>
      <c r="K56" s="1056"/>
      <c r="L56" s="135">
        <f>L48-L49+L52-L53-L54</f>
        <v>3722.4009999999989</v>
      </c>
      <c r="M56" s="390">
        <f>M48-M49+M52-M53-M54</f>
        <v>3594.0390000000007</v>
      </c>
    </row>
    <row r="57" spans="2:19" ht="12.95" customHeight="1">
      <c r="B57" s="608" t="s">
        <v>141</v>
      </c>
      <c r="C57" s="110">
        <f>IFERROR(STDEV(C47:C54)/AVERAGE(C47:C54),"")</f>
        <v>0.37347295937085256</v>
      </c>
      <c r="D57" s="110">
        <f>IFERROR(STDEV(D46:D54)/AVERAGE(D46:D54),"")</f>
        <v>0.21358092687494026</v>
      </c>
      <c r="E57" s="126"/>
      <c r="F57" s="110">
        <f>IFERROR(STDEV(F46:F54)/AVERAGE(F46:F54),"")</f>
        <v>1.7828400787791088</v>
      </c>
      <c r="G57" s="126"/>
      <c r="H57" s="110">
        <f>IFERROR(STDEV(H46:H54)/AVERAGE(H46:H54),"")</f>
        <v>0.27457632627835149</v>
      </c>
      <c r="I57" s="126"/>
      <c r="J57" s="1057" t="s">
        <v>142</v>
      </c>
      <c r="K57" s="1058"/>
      <c r="L57" s="385">
        <f>IFERROR(SUM(I51:I54)/(C54-C50),"")</f>
        <v>-0.16272032442673182</v>
      </c>
      <c r="M57" s="441">
        <f>IFERROR((SUM(I51:I54)-SUM(H51:H54))/(C54-C50),"")</f>
        <v>-0.19426867933378131</v>
      </c>
    </row>
    <row r="58" spans="2:19" ht="12.95" customHeight="1">
      <c r="B58" s="608" t="s">
        <v>143</v>
      </c>
      <c r="C58" s="110">
        <f>IFERROR(C54/C53-1,"")</f>
        <v>1.6701488906926132E-2</v>
      </c>
      <c r="D58" s="110">
        <f>IFERROR(D54/D53-1,"")</f>
        <v>-0.21191924182045041</v>
      </c>
      <c r="E58" s="126"/>
      <c r="F58" s="110">
        <f>IFERROR(1-(F54/F53),"")</f>
        <v>5.6405872834110138E-2</v>
      </c>
      <c r="G58" s="126"/>
      <c r="H58" s="110">
        <f>IFERROR(1-(H54/H53),"")</f>
        <v>-0.26504363803399178</v>
      </c>
      <c r="I58" s="126"/>
      <c r="J58" s="1059" t="s">
        <v>144</v>
      </c>
      <c r="K58" s="1060"/>
      <c r="L58" s="386">
        <f>IFERROR(L57/E27,"")</f>
        <v>-0.83648839561604538</v>
      </c>
      <c r="M58" s="391">
        <f>IFERROR(M57/E27,"")</f>
        <v>-0.99866747726116578</v>
      </c>
    </row>
    <row r="59" spans="2:19" ht="18">
      <c r="B59" s="1027" t="s">
        <v>145</v>
      </c>
      <c r="C59" s="1028"/>
      <c r="D59" s="1028"/>
      <c r="E59" s="1028"/>
      <c r="F59" s="1028"/>
      <c r="G59" s="1028"/>
      <c r="H59" s="1028"/>
      <c r="I59" s="1028"/>
      <c r="J59" s="1028"/>
      <c r="K59" s="1028"/>
      <c r="L59" s="1028"/>
      <c r="M59" s="1029"/>
    </row>
    <row r="60" spans="2:19" ht="15.95" customHeight="1">
      <c r="B60" s="948" t="s">
        <v>146</v>
      </c>
      <c r="C60" s="946"/>
      <c r="D60" s="946"/>
      <c r="E60" s="946"/>
      <c r="F60" s="946"/>
      <c r="G60" s="946"/>
      <c r="H60" s="946"/>
      <c r="I60" s="949"/>
      <c r="J60" s="945" t="s">
        <v>147</v>
      </c>
      <c r="K60" s="946"/>
      <c r="L60" s="946"/>
      <c r="M60" s="947"/>
    </row>
    <row r="61" spans="2:19">
      <c r="B61" s="936" t="s">
        <v>148</v>
      </c>
      <c r="C61" s="937"/>
      <c r="D61" s="938"/>
      <c r="E61" s="1073" t="s">
        <v>149</v>
      </c>
      <c r="F61" s="937"/>
      <c r="G61" s="937"/>
      <c r="H61" s="937"/>
      <c r="I61" s="938"/>
      <c r="J61" s="1073" t="s">
        <v>150</v>
      </c>
      <c r="K61" s="937"/>
      <c r="L61" s="938"/>
      <c r="M61" s="388" t="s">
        <v>151</v>
      </c>
    </row>
    <row r="62" spans="2:19" ht="15" customHeight="1">
      <c r="B62" s="939" t="s">
        <v>152</v>
      </c>
      <c r="C62" s="939"/>
      <c r="D62" s="940"/>
      <c r="E62" s="950" t="s">
        <v>153</v>
      </c>
      <c r="F62" s="951"/>
      <c r="G62" s="951"/>
      <c r="H62" s="951"/>
      <c r="I62" s="952"/>
      <c r="J62" s="1077" t="s">
        <v>154</v>
      </c>
      <c r="K62" s="1078"/>
      <c r="L62" s="1079"/>
      <c r="M62" s="392"/>
    </row>
    <row r="63" spans="2:19" ht="15" customHeight="1">
      <c r="B63" s="941"/>
      <c r="C63" s="941"/>
      <c r="D63" s="942"/>
      <c r="E63" s="953"/>
      <c r="F63" s="954"/>
      <c r="G63" s="954"/>
      <c r="H63" s="954"/>
      <c r="I63" s="955"/>
      <c r="J63" s="932" t="s">
        <v>155</v>
      </c>
      <c r="K63" s="933"/>
      <c r="L63" s="934"/>
      <c r="M63" s="392" t="s">
        <v>156</v>
      </c>
    </row>
    <row r="64" spans="2:19" ht="15" customHeight="1">
      <c r="B64" s="941"/>
      <c r="C64" s="941"/>
      <c r="D64" s="942"/>
      <c r="E64" s="953"/>
      <c r="F64" s="954"/>
      <c r="G64" s="954"/>
      <c r="H64" s="954"/>
      <c r="I64" s="955"/>
      <c r="J64" s="932" t="s">
        <v>157</v>
      </c>
      <c r="K64" s="933"/>
      <c r="L64" s="934"/>
      <c r="M64" s="392" t="s">
        <v>158</v>
      </c>
    </row>
    <row r="65" spans="2:13" ht="15" customHeight="1">
      <c r="B65" s="941"/>
      <c r="C65" s="941"/>
      <c r="D65" s="942"/>
      <c r="E65" s="953"/>
      <c r="F65" s="954"/>
      <c r="G65" s="954"/>
      <c r="H65" s="954"/>
      <c r="I65" s="955"/>
      <c r="J65" s="932" t="s">
        <v>159</v>
      </c>
      <c r="K65" s="933"/>
      <c r="L65" s="934"/>
      <c r="M65" s="392" t="s">
        <v>160</v>
      </c>
    </row>
    <row r="66" spans="2:13" ht="12.95" customHeight="1">
      <c r="B66" s="941"/>
      <c r="C66" s="941"/>
      <c r="D66" s="942"/>
      <c r="E66" s="953"/>
      <c r="F66" s="954"/>
      <c r="G66" s="954"/>
      <c r="H66" s="954"/>
      <c r="I66" s="955"/>
      <c r="J66" s="932" t="s">
        <v>161</v>
      </c>
      <c r="K66" s="933"/>
      <c r="L66" s="934"/>
      <c r="M66" s="392" t="s">
        <v>162</v>
      </c>
    </row>
    <row r="67" spans="2:13" ht="12.95" customHeight="1">
      <c r="B67" s="941"/>
      <c r="C67" s="941"/>
      <c r="D67" s="942"/>
      <c r="E67" s="953"/>
      <c r="F67" s="954"/>
      <c r="G67" s="954"/>
      <c r="H67" s="954"/>
      <c r="I67" s="955"/>
      <c r="J67" s="932" t="s">
        <v>163</v>
      </c>
      <c r="K67" s="933"/>
      <c r="L67" s="934"/>
      <c r="M67" s="392" t="s">
        <v>164</v>
      </c>
    </row>
    <row r="68" spans="2:13" ht="12.95" customHeight="1">
      <c r="B68" s="941"/>
      <c r="C68" s="941"/>
      <c r="D68" s="942"/>
      <c r="E68" s="953"/>
      <c r="F68" s="954"/>
      <c r="G68" s="954"/>
      <c r="H68" s="954"/>
      <c r="I68" s="955"/>
      <c r="J68" s="932" t="s">
        <v>165</v>
      </c>
      <c r="K68" s="933"/>
      <c r="L68" s="934"/>
      <c r="M68" s="392" t="s">
        <v>166</v>
      </c>
    </row>
    <row r="69" spans="2:13" ht="12.95" customHeight="1">
      <c r="B69" s="941"/>
      <c r="C69" s="941"/>
      <c r="D69" s="942"/>
      <c r="E69" s="953"/>
      <c r="F69" s="954"/>
      <c r="G69" s="954"/>
      <c r="H69" s="954"/>
      <c r="I69" s="955"/>
      <c r="J69" s="932" t="s">
        <v>167</v>
      </c>
      <c r="K69" s="933"/>
      <c r="L69" s="934"/>
      <c r="M69" s="392" t="s">
        <v>168</v>
      </c>
    </row>
    <row r="70" spans="2:13" ht="12.95" customHeight="1">
      <c r="B70" s="941"/>
      <c r="C70" s="941"/>
      <c r="D70" s="942"/>
      <c r="E70" s="953"/>
      <c r="F70" s="954"/>
      <c r="G70" s="954"/>
      <c r="H70" s="954"/>
      <c r="I70" s="955"/>
      <c r="J70" s="932" t="s">
        <v>169</v>
      </c>
      <c r="K70" s="933"/>
      <c r="L70" s="934"/>
      <c r="M70" s="392" t="s">
        <v>170</v>
      </c>
    </row>
    <row r="71" spans="2:13" ht="12.95" customHeight="1">
      <c r="B71" s="943"/>
      <c r="C71" s="943"/>
      <c r="D71" s="944"/>
      <c r="E71" s="956"/>
      <c r="F71" s="957"/>
      <c r="G71" s="957"/>
      <c r="H71" s="957"/>
      <c r="I71" s="958"/>
      <c r="J71" s="932" t="s">
        <v>171</v>
      </c>
      <c r="K71" s="933"/>
      <c r="L71" s="934"/>
      <c r="M71" s="392" t="s">
        <v>172</v>
      </c>
    </row>
    <row r="72" spans="2:13">
      <c r="B72" s="936" t="s">
        <v>173</v>
      </c>
      <c r="C72" s="937"/>
      <c r="D72" s="938"/>
      <c r="E72" s="1073" t="s">
        <v>174</v>
      </c>
      <c r="F72" s="937"/>
      <c r="G72" s="937"/>
      <c r="H72" s="937"/>
      <c r="I72" s="938"/>
      <c r="J72" s="932" t="s">
        <v>175</v>
      </c>
      <c r="K72" s="933"/>
      <c r="L72" s="934"/>
      <c r="M72" s="392" t="s">
        <v>176</v>
      </c>
    </row>
    <row r="73" spans="2:13" ht="15" customHeight="1">
      <c r="B73" s="1074" t="s">
        <v>177</v>
      </c>
      <c r="C73" s="1065"/>
      <c r="D73" s="1066"/>
      <c r="E73" s="1064" t="s">
        <v>178</v>
      </c>
      <c r="F73" s="1065"/>
      <c r="G73" s="1065"/>
      <c r="H73" s="1065"/>
      <c r="I73" s="1066"/>
      <c r="J73" s="935" t="s">
        <v>179</v>
      </c>
      <c r="K73" s="931"/>
      <c r="L73" s="931"/>
      <c r="M73" s="392" t="s">
        <v>180</v>
      </c>
    </row>
    <row r="74" spans="2:13" ht="15" customHeight="1">
      <c r="B74" s="1075"/>
      <c r="C74" s="1068"/>
      <c r="D74" s="1069"/>
      <c r="E74" s="1067"/>
      <c r="F74" s="1068"/>
      <c r="G74" s="1068"/>
      <c r="H74" s="1068"/>
      <c r="I74" s="1069"/>
      <c r="J74" s="930"/>
      <c r="K74" s="931"/>
      <c r="L74" s="931"/>
      <c r="M74" s="392"/>
    </row>
    <row r="75" spans="2:13" ht="15" customHeight="1">
      <c r="B75" s="1075"/>
      <c r="C75" s="1068"/>
      <c r="D75" s="1069"/>
      <c r="E75" s="1067"/>
      <c r="F75" s="1068"/>
      <c r="G75" s="1068"/>
      <c r="H75" s="1068"/>
      <c r="I75" s="1069"/>
      <c r="J75" s="935" t="s">
        <v>181</v>
      </c>
      <c r="K75" s="931"/>
      <c r="L75" s="931"/>
      <c r="M75" s="392"/>
    </row>
    <row r="76" spans="2:13" ht="15" customHeight="1">
      <c r="B76" s="1075"/>
      <c r="C76" s="1068"/>
      <c r="D76" s="1069"/>
      <c r="E76" s="1067"/>
      <c r="F76" s="1068"/>
      <c r="G76" s="1068"/>
      <c r="H76" s="1068"/>
      <c r="I76" s="1069"/>
      <c r="J76" s="930" t="s">
        <v>182</v>
      </c>
      <c r="K76" s="931"/>
      <c r="L76" s="931"/>
      <c r="M76" s="709">
        <v>3.27E-6</v>
      </c>
    </row>
    <row r="77" spans="2:13" ht="15">
      <c r="B77" s="1075"/>
      <c r="C77" s="1068"/>
      <c r="D77" s="1069"/>
      <c r="E77" s="1067"/>
      <c r="F77" s="1068"/>
      <c r="G77" s="1068"/>
      <c r="H77" s="1068"/>
      <c r="I77" s="1069"/>
      <c r="J77" s="1080" t="s">
        <v>183</v>
      </c>
      <c r="K77" s="931"/>
      <c r="L77" s="931"/>
      <c r="M77" s="709">
        <v>2.7499999999999999E-6</v>
      </c>
    </row>
    <row r="78" spans="2:13">
      <c r="B78" s="1075"/>
      <c r="C78" s="1068"/>
      <c r="D78" s="1069"/>
      <c r="E78" s="1067"/>
      <c r="F78" s="1068"/>
      <c r="G78" s="1068"/>
      <c r="H78" s="1068"/>
      <c r="I78" s="1069"/>
      <c r="J78" s="930" t="s">
        <v>184</v>
      </c>
      <c r="K78" s="931"/>
      <c r="L78" s="931"/>
      <c r="M78" s="709">
        <v>9.5399999999999994E-8</v>
      </c>
    </row>
    <row r="79" spans="2:13">
      <c r="B79" s="1075"/>
      <c r="C79" s="1068"/>
      <c r="D79" s="1069"/>
      <c r="E79" s="1067"/>
      <c r="F79" s="1068"/>
      <c r="G79" s="1068"/>
      <c r="H79" s="1068"/>
      <c r="I79" s="1069"/>
      <c r="J79" s="930" t="s">
        <v>185</v>
      </c>
      <c r="K79" s="931"/>
      <c r="L79" s="931"/>
      <c r="M79" s="709">
        <v>8.0400000000000005E-8</v>
      </c>
    </row>
    <row r="80" spans="2:13">
      <c r="B80" s="1075"/>
      <c r="C80" s="1068"/>
      <c r="D80" s="1069"/>
      <c r="E80" s="1067"/>
      <c r="F80" s="1068"/>
      <c r="G80" s="1068"/>
      <c r="H80" s="1068"/>
      <c r="I80" s="1069"/>
      <c r="J80" s="1083" t="s">
        <v>186</v>
      </c>
      <c r="K80" s="1082"/>
      <c r="L80" s="1082"/>
      <c r="M80" s="709">
        <v>6.43E-8</v>
      </c>
    </row>
    <row r="81" spans="2:15">
      <c r="B81" s="1076"/>
      <c r="C81" s="1071"/>
      <c r="D81" s="1072"/>
      <c r="E81" s="1070"/>
      <c r="F81" s="1071"/>
      <c r="G81" s="1071"/>
      <c r="H81" s="1071"/>
      <c r="I81" s="1072"/>
      <c r="J81" s="1081" t="s">
        <v>187</v>
      </c>
      <c r="K81" s="1082"/>
      <c r="L81" s="1082"/>
      <c r="M81" s="392">
        <v>2.5999999999999999E-2</v>
      </c>
    </row>
    <row r="82" spans="2:15" ht="15.75">
      <c r="B82" s="1093" t="s">
        <v>188</v>
      </c>
      <c r="C82" s="1094"/>
      <c r="D82" s="1094"/>
      <c r="E82" s="1094"/>
      <c r="F82" s="1094"/>
      <c r="G82" s="1062" t="s">
        <v>189</v>
      </c>
      <c r="H82" s="1062"/>
      <c r="I82" s="1062"/>
      <c r="J82" s="1062"/>
      <c r="K82" s="1062"/>
      <c r="L82" s="1062"/>
      <c r="M82" s="1063"/>
    </row>
    <row r="83" spans="2:15" s="10" customFormat="1">
      <c r="B83" s="1084" t="s">
        <v>190</v>
      </c>
      <c r="C83" s="1085"/>
      <c r="D83" s="1085"/>
      <c r="E83" s="1085"/>
      <c r="F83" s="1086"/>
      <c r="G83"/>
      <c r="H83"/>
      <c r="I83"/>
      <c r="J83"/>
      <c r="K83"/>
      <c r="L83"/>
      <c r="M83" s="49"/>
    </row>
    <row r="84" spans="2:15">
      <c r="B84" s="1087"/>
      <c r="C84" s="1088"/>
      <c r="D84" s="1088"/>
      <c r="E84" s="1088"/>
      <c r="F84" s="1089"/>
      <c r="M84" s="49"/>
    </row>
    <row r="85" spans="2:15">
      <c r="B85" s="1087"/>
      <c r="C85" s="1088"/>
      <c r="D85" s="1088"/>
      <c r="E85" s="1088"/>
      <c r="F85" s="1089"/>
      <c r="M85" s="49"/>
    </row>
    <row r="86" spans="2:15">
      <c r="B86" s="1087"/>
      <c r="C86" s="1088"/>
      <c r="D86" s="1088"/>
      <c r="E86" s="1088"/>
      <c r="F86" s="1089"/>
      <c r="M86" s="49"/>
    </row>
    <row r="87" spans="2:15">
      <c r="B87" s="1087"/>
      <c r="C87" s="1088"/>
      <c r="D87" s="1088"/>
      <c r="E87" s="1088"/>
      <c r="F87" s="1089"/>
      <c r="M87" s="49"/>
    </row>
    <row r="88" spans="2:15">
      <c r="B88" s="1087"/>
      <c r="C88" s="1088"/>
      <c r="D88" s="1088"/>
      <c r="E88" s="1088"/>
      <c r="F88" s="1089"/>
      <c r="M88" s="49"/>
    </row>
    <row r="89" spans="2:15">
      <c r="B89" s="1087"/>
      <c r="C89" s="1088"/>
      <c r="D89" s="1088"/>
      <c r="E89" s="1088"/>
      <c r="F89" s="1089"/>
      <c r="M89" s="49"/>
    </row>
    <row r="90" spans="2:15">
      <c r="B90" s="1087"/>
      <c r="C90" s="1088"/>
      <c r="D90" s="1088"/>
      <c r="E90" s="1088"/>
      <c r="F90" s="1089"/>
      <c r="M90" s="49"/>
    </row>
    <row r="91" spans="2:15">
      <c r="B91" s="1087"/>
      <c r="C91" s="1088"/>
      <c r="D91" s="1088"/>
      <c r="E91" s="1088"/>
      <c r="F91" s="1089"/>
      <c r="M91" s="49"/>
      <c r="O91" t="s">
        <v>191</v>
      </c>
    </row>
    <row r="92" spans="2:15">
      <c r="B92" s="1087"/>
      <c r="C92" s="1088"/>
      <c r="D92" s="1088"/>
      <c r="E92" s="1088"/>
      <c r="F92" s="1089"/>
      <c r="M92" s="49"/>
    </row>
    <row r="93" spans="2:15">
      <c r="B93" s="1087"/>
      <c r="C93" s="1088"/>
      <c r="D93" s="1088"/>
      <c r="E93" s="1088"/>
      <c r="F93" s="1089"/>
      <c r="M93" s="49"/>
    </row>
    <row r="94" spans="2:15">
      <c r="B94" s="1087"/>
      <c r="C94" s="1088"/>
      <c r="D94" s="1088"/>
      <c r="E94" s="1088"/>
      <c r="F94" s="1089"/>
      <c r="M94" s="49"/>
    </row>
    <row r="95" spans="2:15">
      <c r="B95" s="1087"/>
      <c r="C95" s="1088"/>
      <c r="D95" s="1088"/>
      <c r="E95" s="1088"/>
      <c r="F95" s="1089"/>
      <c r="M95" s="49"/>
    </row>
    <row r="96" spans="2:15">
      <c r="B96" s="1087"/>
      <c r="C96" s="1088"/>
      <c r="D96" s="1088"/>
      <c r="E96" s="1088"/>
      <c r="F96" s="1089"/>
      <c r="M96" s="49"/>
    </row>
    <row r="97" spans="2:13">
      <c r="B97" s="1087"/>
      <c r="C97" s="1088"/>
      <c r="D97" s="1088"/>
      <c r="E97" s="1088"/>
      <c r="F97" s="1089"/>
      <c r="M97" s="49"/>
    </row>
    <row r="98" spans="2:13">
      <c r="B98" s="1087"/>
      <c r="C98" s="1088"/>
      <c r="D98" s="1088"/>
      <c r="E98" s="1088"/>
      <c r="F98" s="1089"/>
      <c r="M98" s="49"/>
    </row>
    <row r="99" spans="2:13">
      <c r="B99" s="1087"/>
      <c r="C99" s="1088"/>
      <c r="D99" s="1088"/>
      <c r="E99" s="1088"/>
      <c r="F99" s="1089"/>
      <c r="M99" s="49"/>
    </row>
    <row r="100" spans="2:13">
      <c r="B100" s="1087"/>
      <c r="C100" s="1088"/>
      <c r="D100" s="1088"/>
      <c r="E100" s="1088"/>
      <c r="F100" s="1089"/>
      <c r="M100" s="49"/>
    </row>
    <row r="101" spans="2:13">
      <c r="B101" s="1087"/>
      <c r="C101" s="1088"/>
      <c r="D101" s="1088"/>
      <c r="E101" s="1088"/>
      <c r="F101" s="1089"/>
      <c r="M101" s="49"/>
    </row>
    <row r="102" spans="2:13">
      <c r="B102" s="1087"/>
      <c r="C102" s="1088"/>
      <c r="D102" s="1088"/>
      <c r="E102" s="1088"/>
      <c r="F102" s="1089"/>
      <c r="M102" s="49"/>
    </row>
    <row r="103" spans="2:13">
      <c r="B103" s="1087"/>
      <c r="C103" s="1088"/>
      <c r="D103" s="1088"/>
      <c r="E103" s="1088"/>
      <c r="F103" s="1089"/>
      <c r="M103" s="49"/>
    </row>
    <row r="104" spans="2:13">
      <c r="B104" s="1087"/>
      <c r="C104" s="1088"/>
      <c r="D104" s="1088"/>
      <c r="E104" s="1088"/>
      <c r="F104" s="1089"/>
      <c r="M104" s="49"/>
    </row>
    <row r="105" spans="2:13">
      <c r="B105" s="1087"/>
      <c r="C105" s="1088"/>
      <c r="D105" s="1088"/>
      <c r="E105" s="1088"/>
      <c r="F105" s="1089"/>
      <c r="M105" s="49"/>
    </row>
    <row r="106" spans="2:13">
      <c r="B106" s="1087"/>
      <c r="C106" s="1088"/>
      <c r="D106" s="1088"/>
      <c r="E106" s="1088"/>
      <c r="F106" s="1089"/>
      <c r="M106" s="49"/>
    </row>
    <row r="107" spans="2:13">
      <c r="B107" s="1090"/>
      <c r="C107" s="1091"/>
      <c r="D107" s="1091"/>
      <c r="E107" s="1091"/>
      <c r="F107" s="1092"/>
      <c r="G107" s="1061" t="e" vm="1">
        <f>E2</f>
        <v>#VALUE!</v>
      </c>
      <c r="H107" s="1061"/>
      <c r="I107" s="609" t="e" vm="3">
        <f>Peers!C2</f>
        <v>#VALUE!</v>
      </c>
      <c r="J107" s="610" t="e" vm="4">
        <f>Peers!C3</f>
        <v>#VALUE!</v>
      </c>
      <c r="K107" s="611" t="e" vm="5">
        <f>Peers!C4</f>
        <v>#VALUE!</v>
      </c>
      <c r="L107" s="612" t="e" vm="6">
        <f>Peers!C5</f>
        <v>#VALUE!</v>
      </c>
      <c r="M107" s="613" t="e" vm="7">
        <f>Peers!C6</f>
        <v>#VALUE!</v>
      </c>
    </row>
  </sheetData>
  <mergeCells count="137">
    <mergeCell ref="G107:H107"/>
    <mergeCell ref="G82:M82"/>
    <mergeCell ref="E73:I81"/>
    <mergeCell ref="J61:L61"/>
    <mergeCell ref="E72:I72"/>
    <mergeCell ref="B73:D81"/>
    <mergeCell ref="J64:L64"/>
    <mergeCell ref="J65:L65"/>
    <mergeCell ref="J66:L66"/>
    <mergeCell ref="J67:L67"/>
    <mergeCell ref="J68:L68"/>
    <mergeCell ref="J69:L69"/>
    <mergeCell ref="J70:L70"/>
    <mergeCell ref="J62:L62"/>
    <mergeCell ref="J63:L63"/>
    <mergeCell ref="E61:I61"/>
    <mergeCell ref="J75:L75"/>
    <mergeCell ref="J77:L77"/>
    <mergeCell ref="J78:L78"/>
    <mergeCell ref="J79:L79"/>
    <mergeCell ref="J81:L81"/>
    <mergeCell ref="J80:L80"/>
    <mergeCell ref="B83:F107"/>
    <mergeCell ref="B82:F82"/>
    <mergeCell ref="B59:M59"/>
    <mergeCell ref="C36:G36"/>
    <mergeCell ref="J45:M45"/>
    <mergeCell ref="B44:M44"/>
    <mergeCell ref="I40:I41"/>
    <mergeCell ref="I42:I43"/>
    <mergeCell ref="J40:K41"/>
    <mergeCell ref="J42:K43"/>
    <mergeCell ref="L40:L41"/>
    <mergeCell ref="L42:L43"/>
    <mergeCell ref="M40:M41"/>
    <mergeCell ref="M42:M43"/>
    <mergeCell ref="J47:K47"/>
    <mergeCell ref="J48:K48"/>
    <mergeCell ref="J49:K49"/>
    <mergeCell ref="J50:K50"/>
    <mergeCell ref="J51:K51"/>
    <mergeCell ref="J52:K52"/>
    <mergeCell ref="J53:K53"/>
    <mergeCell ref="J54:K54"/>
    <mergeCell ref="J55:K55"/>
    <mergeCell ref="J56:K56"/>
    <mergeCell ref="J57:K57"/>
    <mergeCell ref="J58:K58"/>
    <mergeCell ref="C43:G43"/>
    <mergeCell ref="C42:G42"/>
    <mergeCell ref="I29:J29"/>
    <mergeCell ref="I30:J30"/>
    <mergeCell ref="I31:J31"/>
    <mergeCell ref="I34:M34"/>
    <mergeCell ref="B39:G39"/>
    <mergeCell ref="C40:G40"/>
    <mergeCell ref="C35:G35"/>
    <mergeCell ref="I35:M38"/>
    <mergeCell ref="I39:M39"/>
    <mergeCell ref="B34:G34"/>
    <mergeCell ref="F29:G29"/>
    <mergeCell ref="F30:G30"/>
    <mergeCell ref="H35:H38"/>
    <mergeCell ref="C37:G37"/>
    <mergeCell ref="C38:G38"/>
    <mergeCell ref="C41:G41"/>
    <mergeCell ref="J6:K6"/>
    <mergeCell ref="J7:K7"/>
    <mergeCell ref="J8:K8"/>
    <mergeCell ref="J9:K9"/>
    <mergeCell ref="J10:K10"/>
    <mergeCell ref="J11:K11"/>
    <mergeCell ref="I19:K19"/>
    <mergeCell ref="E2:K2"/>
    <mergeCell ref="F20:G20"/>
    <mergeCell ref="D4:G17"/>
    <mergeCell ref="D3:G3"/>
    <mergeCell ref="H3:M3"/>
    <mergeCell ref="F19:H19"/>
    <mergeCell ref="J4:K4"/>
    <mergeCell ref="J5:K5"/>
    <mergeCell ref="H16:M17"/>
    <mergeCell ref="L12:M12"/>
    <mergeCell ref="L13:M13"/>
    <mergeCell ref="L14:M14"/>
    <mergeCell ref="L15:M15"/>
    <mergeCell ref="F28:G28"/>
    <mergeCell ref="F26:G26"/>
    <mergeCell ref="J21:K21"/>
    <mergeCell ref="I22:J22"/>
    <mergeCell ref="I23:J23"/>
    <mergeCell ref="I24:J24"/>
    <mergeCell ref="I25:J25"/>
    <mergeCell ref="I26:J26"/>
    <mergeCell ref="I27:J27"/>
    <mergeCell ref="I28:J28"/>
    <mergeCell ref="F27:G27"/>
    <mergeCell ref="F22:G22"/>
    <mergeCell ref="F23:G23"/>
    <mergeCell ref="F24:G24"/>
    <mergeCell ref="F25:G25"/>
    <mergeCell ref="F21:G21"/>
    <mergeCell ref="J76:L76"/>
    <mergeCell ref="J71:L71"/>
    <mergeCell ref="J72:L72"/>
    <mergeCell ref="J73:L73"/>
    <mergeCell ref="J74:L74"/>
    <mergeCell ref="B61:D61"/>
    <mergeCell ref="B72:D72"/>
    <mergeCell ref="B62:D71"/>
    <mergeCell ref="J60:M60"/>
    <mergeCell ref="B60:I60"/>
    <mergeCell ref="E62:I71"/>
    <mergeCell ref="B17:C17"/>
    <mergeCell ref="B3:C16"/>
    <mergeCell ref="L19:M19"/>
    <mergeCell ref="B19:C19"/>
    <mergeCell ref="B29:C29"/>
    <mergeCell ref="D19:E19"/>
    <mergeCell ref="B18:M18"/>
    <mergeCell ref="B33:M33"/>
    <mergeCell ref="H40:H43"/>
    <mergeCell ref="J20:K20"/>
    <mergeCell ref="F32:G32"/>
    <mergeCell ref="F31:G31"/>
    <mergeCell ref="J12:K12"/>
    <mergeCell ref="J13:K13"/>
    <mergeCell ref="J14:K14"/>
    <mergeCell ref="J15:K15"/>
    <mergeCell ref="L4:M4"/>
    <mergeCell ref="L5:M5"/>
    <mergeCell ref="L6:M6"/>
    <mergeCell ref="L7:M7"/>
    <mergeCell ref="L8:M8"/>
    <mergeCell ref="L9:M9"/>
    <mergeCell ref="L10:M10"/>
    <mergeCell ref="L11:M11"/>
  </mergeCells>
  <phoneticPr fontId="0" type="noConversion"/>
  <conditionalFormatting sqref="C46:C54 D46:E46">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6:D54">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7:D54">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6:E54">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7:E54">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5:E58 G55:G58 I55:I58">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6:F54">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6:G54">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1:H25">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7:H31">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6:H54">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6:I54">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J42:K43">
    <cfRule type="cellIs" dxfId="62" priority="1" operator="lessThan">
      <formula>0</formula>
    </cfRule>
    <cfRule type="cellIs" dxfId="61" priority="2" operator="greaterThan">
      <formula>0</formula>
    </cfRule>
  </conditionalFormatting>
  <conditionalFormatting sqref="M40:M43">
    <cfRule type="cellIs" dxfId="60" priority="3" operator="lessThan">
      <formula>0</formula>
    </cfRule>
    <cfRule type="cellIs" dxfId="59"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7:S57"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C46:C54 D46:E46</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D46:D54</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D47:D54</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E46:E54</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E47:E54</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E55:E58 G55:G58 I55:I58</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F46:F54</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G46:G54</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H21:H25</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H27:H31</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H46:H54</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I46:I54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71"/>
  <sheetViews>
    <sheetView showGridLines="0" zoomScale="130" zoomScaleNormal="130" workbookViewId="0">
      <selection activeCell="Q27" sqref="Q27"/>
    </sheetView>
  </sheetViews>
  <sheetFormatPr defaultColWidth="11.42578125" defaultRowHeight="12.75"/>
  <cols>
    <col min="1" max="1" width="2.140625" customWidth="1"/>
    <col min="2" max="2" width="11.140625" customWidth="1"/>
    <col min="3" max="3" width="81" customWidth="1"/>
    <col min="4" max="4" width="15.42578125" style="2" customWidth="1"/>
    <col min="5" max="9" width="15.42578125" customWidth="1"/>
    <col min="10" max="10" width="11.42578125" bestFit="1" customWidth="1"/>
    <col min="11" max="11" width="14.140625" customWidth="1"/>
    <col min="12" max="12" width="14.42578125" customWidth="1"/>
    <col min="17" max="17" width="23.42578125" customWidth="1"/>
  </cols>
  <sheetData>
    <row r="1" spans="2:25" ht="7.5" customHeight="1"/>
    <row r="2" spans="2:25" ht="20.25">
      <c r="B2" s="1099" t="str">
        <f>"Regions "&amp;"("&amp;OP!$J$20&amp;")"</f>
        <v>Regions (2023)</v>
      </c>
      <c r="C2" s="1100"/>
      <c r="D2" s="1100"/>
      <c r="E2" s="1100"/>
      <c r="F2" s="1100"/>
      <c r="G2" s="1100"/>
      <c r="H2" s="1100"/>
      <c r="I2" s="1100"/>
      <c r="J2" s="1100"/>
      <c r="K2" s="1100"/>
      <c r="L2" s="1100"/>
      <c r="M2" s="1100"/>
      <c r="N2" s="1100"/>
      <c r="O2" s="1100"/>
      <c r="P2" s="1100"/>
      <c r="Q2" s="1095" t="s">
        <v>192</v>
      </c>
      <c r="R2" s="1096"/>
      <c r="S2" s="1096"/>
      <c r="T2" s="1096"/>
      <c r="U2" s="1096"/>
      <c r="V2" s="1096"/>
      <c r="W2" s="1096"/>
      <c r="X2" s="1096"/>
      <c r="Y2" s="1097"/>
    </row>
    <row r="3" spans="2:25" ht="18.75" thickBot="1">
      <c r="B3" s="165"/>
      <c r="C3" s="166"/>
      <c r="D3" s="1115" t="s">
        <v>193</v>
      </c>
      <c r="E3" s="1115"/>
      <c r="F3" s="1115"/>
      <c r="G3" s="1115"/>
      <c r="H3" s="1115"/>
      <c r="I3" s="1116"/>
      <c r="J3" s="146"/>
      <c r="K3" s="1098" t="s">
        <v>194</v>
      </c>
      <c r="L3" s="1098"/>
      <c r="M3" s="1098"/>
      <c r="N3" s="1098"/>
      <c r="O3" s="1098"/>
      <c r="P3" s="1098"/>
      <c r="Q3" s="137"/>
      <c r="Y3" s="160"/>
    </row>
    <row r="4" spans="2:25" ht="13.5" thickBot="1">
      <c r="B4" s="152" t="s">
        <v>195</v>
      </c>
      <c r="C4" s="153" t="s">
        <v>196</v>
      </c>
      <c r="D4" s="154">
        <f>OP!J20</f>
        <v>2023</v>
      </c>
      <c r="E4" s="154">
        <f>D4-1</f>
        <v>2022</v>
      </c>
      <c r="F4" s="154">
        <f>E4-1</f>
        <v>2021</v>
      </c>
      <c r="G4" s="154">
        <f>F4-1</f>
        <v>2020</v>
      </c>
      <c r="H4" s="154">
        <f>G4-1</f>
        <v>2019</v>
      </c>
      <c r="I4" s="154">
        <f>H4-1</f>
        <v>2018</v>
      </c>
      <c r="J4" s="147"/>
      <c r="K4" s="154">
        <f>OP!J20</f>
        <v>2023</v>
      </c>
      <c r="L4" s="154">
        <f t="shared" ref="L4:P4" si="0">K4-1</f>
        <v>2022</v>
      </c>
      <c r="M4" s="154">
        <f t="shared" si="0"/>
        <v>2021</v>
      </c>
      <c r="N4" s="154">
        <f t="shared" si="0"/>
        <v>2020</v>
      </c>
      <c r="O4" s="154">
        <f t="shared" si="0"/>
        <v>2019</v>
      </c>
      <c r="P4" s="167">
        <f t="shared" si="0"/>
        <v>2018</v>
      </c>
      <c r="Q4" s="137"/>
      <c r="Y4" s="160"/>
    </row>
    <row r="5" spans="2:25">
      <c r="B5" s="150">
        <f t="shared" ref="B5:B11" si="1">IFERROR(D5/$D$12,"")</f>
        <v>0.29461998194714345</v>
      </c>
      <c r="C5" s="151" t="s">
        <v>197</v>
      </c>
      <c r="D5" s="155">
        <v>9563108</v>
      </c>
      <c r="E5" s="155">
        <v>9201412</v>
      </c>
      <c r="F5" s="155">
        <v>6814578</v>
      </c>
      <c r="G5" s="155">
        <v>5689419</v>
      </c>
      <c r="H5" s="155">
        <v>7098937</v>
      </c>
      <c r="I5" s="155">
        <v>6249864</v>
      </c>
      <c r="J5" s="148"/>
      <c r="K5" s="288">
        <f>(D5-E5)/E5</f>
        <v>3.9308749570174661E-2</v>
      </c>
      <c r="L5" s="288">
        <f t="shared" ref="L5:O5" si="2">(E5-F5)/F5</f>
        <v>0.35025411698273906</v>
      </c>
      <c r="M5" s="288">
        <f t="shared" si="2"/>
        <v>0.19776342716189474</v>
      </c>
      <c r="N5" s="288">
        <f t="shared" si="2"/>
        <v>-0.1985533890496563</v>
      </c>
      <c r="O5" s="288">
        <f t="shared" si="2"/>
        <v>0.13585463619688365</v>
      </c>
      <c r="P5" s="288" t="s">
        <v>68</v>
      </c>
      <c r="Q5" s="137"/>
      <c r="Y5" s="160"/>
    </row>
    <row r="6" spans="2:25">
      <c r="B6" s="150">
        <f t="shared" si="1"/>
        <v>0.1887835006293607</v>
      </c>
      <c r="C6" s="151" t="s">
        <v>198</v>
      </c>
      <c r="D6" s="155">
        <v>6127748</v>
      </c>
      <c r="E6" s="155">
        <v>4532474</v>
      </c>
      <c r="F6" s="155">
        <v>4807194</v>
      </c>
      <c r="G6" s="155">
        <v>4084514</v>
      </c>
      <c r="H6" s="155">
        <v>2739006</v>
      </c>
      <c r="I6" s="155">
        <v>2290887</v>
      </c>
      <c r="J6" s="148"/>
      <c r="K6" s="288">
        <f t="shared" ref="K6:O9" si="3">(D6-E6)/E6</f>
        <v>0.35196539461671483</v>
      </c>
      <c r="L6" s="288">
        <f t="shared" si="3"/>
        <v>-5.7147683243072775E-2</v>
      </c>
      <c r="M6" s="288">
        <f t="shared" si="3"/>
        <v>0.17693169860600305</v>
      </c>
      <c r="N6" s="288">
        <f t="shared" si="3"/>
        <v>0.49123952265894999</v>
      </c>
      <c r="O6" s="288">
        <f t="shared" si="3"/>
        <v>0.19560938623336724</v>
      </c>
      <c r="P6" s="288" t="s">
        <v>68</v>
      </c>
      <c r="Q6" s="137"/>
      <c r="Y6" s="160"/>
    </row>
    <row r="7" spans="2:25">
      <c r="B7" s="150">
        <f t="shared" si="1"/>
        <v>0.14457892570068653</v>
      </c>
      <c r="C7" s="151" t="s">
        <v>199</v>
      </c>
      <c r="D7" s="155">
        <v>4692906</v>
      </c>
      <c r="E7" s="155">
        <v>2992532</v>
      </c>
      <c r="F7" s="155">
        <v>3204609</v>
      </c>
      <c r="G7" s="155">
        <v>2640762</v>
      </c>
      <c r="H7" s="155">
        <v>2578962</v>
      </c>
      <c r="I7" s="155">
        <v>2421399</v>
      </c>
      <c r="J7" s="148"/>
      <c r="K7" s="288">
        <f t="shared" si="3"/>
        <v>0.56820578693895341</v>
      </c>
      <c r="L7" s="288">
        <f t="shared" si="3"/>
        <v>-6.6178744427167244E-2</v>
      </c>
      <c r="M7" s="288">
        <f t="shared" si="3"/>
        <v>0.21351678038384375</v>
      </c>
      <c r="N7" s="288">
        <f t="shared" si="3"/>
        <v>2.3963129352041635E-2</v>
      </c>
      <c r="O7" s="288">
        <f t="shared" si="3"/>
        <v>6.5071060159849745E-2</v>
      </c>
      <c r="P7" s="288" t="s">
        <v>68</v>
      </c>
      <c r="Q7" s="137"/>
      <c r="Y7" s="160"/>
    </row>
    <row r="8" spans="2:25">
      <c r="B8" s="150">
        <f t="shared" si="1"/>
        <v>0.37130173764058794</v>
      </c>
      <c r="C8" s="151" t="s">
        <v>200</v>
      </c>
      <c r="D8" s="155">
        <v>12052131</v>
      </c>
      <c r="E8" s="155">
        <v>9114818</v>
      </c>
      <c r="F8" s="155">
        <v>10503305</v>
      </c>
      <c r="G8" s="155">
        <v>8400642</v>
      </c>
      <c r="H8" s="155">
        <v>8227304</v>
      </c>
      <c r="I8" s="155">
        <v>8059850</v>
      </c>
      <c r="J8" s="148"/>
      <c r="K8" s="288">
        <f t="shared" si="3"/>
        <v>0.32225690079604441</v>
      </c>
      <c r="L8" s="288">
        <f t="shared" si="3"/>
        <v>-0.13219524711507474</v>
      </c>
      <c r="M8" s="288">
        <f t="shared" si="3"/>
        <v>0.25029789389906154</v>
      </c>
      <c r="N8" s="288">
        <f t="shared" si="3"/>
        <v>2.1068627098257218E-2</v>
      </c>
      <c r="O8" s="288">
        <f t="shared" si="3"/>
        <v>2.077631717711868E-2</v>
      </c>
      <c r="P8" s="288" t="s">
        <v>68</v>
      </c>
      <c r="Q8" s="137"/>
      <c r="Y8" s="160"/>
    </row>
    <row r="9" spans="2:25" ht="13.5" thickBot="1">
      <c r="B9" s="150">
        <f t="shared" si="1"/>
        <v>7.1585408222136831E-4</v>
      </c>
      <c r="C9" s="151" t="s">
        <v>201</v>
      </c>
      <c r="D9" s="155">
        <v>23236</v>
      </c>
      <c r="E9" s="155">
        <v>44371</v>
      </c>
      <c r="F9" s="155">
        <v>39116</v>
      </c>
      <c r="G9" s="155">
        <v>24522</v>
      </c>
      <c r="H9" s="155">
        <v>149007</v>
      </c>
      <c r="I9" s="155">
        <v>55597</v>
      </c>
      <c r="J9" s="148"/>
      <c r="K9" s="288">
        <f t="shared" si="3"/>
        <v>-0.47632462644520068</v>
      </c>
      <c r="L9" s="288">
        <f t="shared" si="3"/>
        <v>0.13434400245423866</v>
      </c>
      <c r="M9" s="288">
        <f t="shared" si="3"/>
        <v>0.59513905880433893</v>
      </c>
      <c r="N9" s="288">
        <f t="shared" si="3"/>
        <v>-0.83543055024260604</v>
      </c>
      <c r="O9" s="288">
        <f t="shared" si="3"/>
        <v>1.680126625537349</v>
      </c>
      <c r="P9" s="288" t="s">
        <v>68</v>
      </c>
      <c r="Q9" s="137"/>
      <c r="Y9" s="160"/>
    </row>
    <row r="10" spans="2:25" hidden="1">
      <c r="B10" s="141">
        <f t="shared" si="1"/>
        <v>0</v>
      </c>
      <c r="C10" s="140"/>
      <c r="D10" s="144"/>
      <c r="E10" s="144"/>
      <c r="F10" s="144"/>
      <c r="G10" s="144"/>
      <c r="H10" s="144"/>
      <c r="I10" s="144"/>
      <c r="J10" s="148"/>
      <c r="K10" s="144"/>
      <c r="L10" s="144"/>
      <c r="M10" s="144"/>
      <c r="N10" s="144"/>
      <c r="O10" s="144"/>
      <c r="P10" s="168"/>
      <c r="Q10" s="137"/>
      <c r="Y10" s="160"/>
    </row>
    <row r="11" spans="2:25" hidden="1">
      <c r="B11" s="142">
        <f t="shared" si="1"/>
        <v>0</v>
      </c>
      <c r="C11" s="156"/>
      <c r="D11" s="643"/>
      <c r="E11" s="643"/>
      <c r="F11" s="643"/>
      <c r="G11" s="643"/>
      <c r="H11" s="643"/>
      <c r="I11" s="643"/>
      <c r="J11" s="148"/>
      <c r="K11" s="145"/>
      <c r="L11" s="145"/>
      <c r="M11" s="145"/>
      <c r="N11" s="145"/>
      <c r="O11" s="145"/>
      <c r="P11" s="169"/>
      <c r="Q11" s="137"/>
      <c r="Y11" s="160"/>
    </row>
    <row r="12" spans="2:25" ht="13.5" thickBot="1">
      <c r="B12" s="143">
        <f>SUM(B5:B11)</f>
        <v>1</v>
      </c>
      <c r="C12" s="641" t="s">
        <v>202</v>
      </c>
      <c r="D12" s="638">
        <f>SUM(D5:D11)</f>
        <v>32459129</v>
      </c>
      <c r="E12" s="639">
        <f t="shared" ref="E12:I12" si="4">SUM(E5:E11)</f>
        <v>25885607</v>
      </c>
      <c r="F12" s="639">
        <f t="shared" si="4"/>
        <v>25368802</v>
      </c>
      <c r="G12" s="639">
        <f t="shared" si="4"/>
        <v>20839859</v>
      </c>
      <c r="H12" s="639">
        <f t="shared" si="4"/>
        <v>20793216</v>
      </c>
      <c r="I12" s="640">
        <f t="shared" si="4"/>
        <v>19077597</v>
      </c>
      <c r="J12" s="642"/>
      <c r="K12" s="290">
        <f>(D12-E12)/E12</f>
        <v>0.25394505912107834</v>
      </c>
      <c r="L12" s="290">
        <f>(E12-F12)/F12</f>
        <v>2.0371675414550518E-2</v>
      </c>
      <c r="M12" s="290">
        <f>(F12-G12)/G12</f>
        <v>0.2173211920483723</v>
      </c>
      <c r="N12" s="290">
        <f t="shared" ref="N12:O12" si="5">(G12-H12)/H12</f>
        <v>2.2431835460180859E-3</v>
      </c>
      <c r="O12" s="290">
        <f t="shared" si="5"/>
        <v>8.9928464260986329E-2</v>
      </c>
      <c r="P12" s="290" t="s">
        <v>68</v>
      </c>
      <c r="Q12" s="137"/>
      <c r="Y12" s="160"/>
    </row>
    <row r="13" spans="2:25">
      <c r="B13" s="163"/>
      <c r="C13" s="6"/>
      <c r="D13" s="14"/>
      <c r="E13" s="14"/>
      <c r="F13" s="14"/>
      <c r="G13" s="14"/>
      <c r="H13" s="14"/>
      <c r="I13" s="14"/>
      <c r="J13" s="14"/>
      <c r="K13" s="14"/>
      <c r="L13" s="14"/>
      <c r="M13" s="14"/>
      <c r="N13" s="14"/>
      <c r="O13" s="14"/>
      <c r="P13" s="14"/>
      <c r="Q13" s="137"/>
      <c r="Y13" s="160"/>
    </row>
    <row r="14" spans="2:25" ht="21" thickBot="1">
      <c r="B14" s="1099" t="str">
        <f>"Categories "&amp;"("&amp;OP!$J$20&amp;")"</f>
        <v>Categories (2023)</v>
      </c>
      <c r="C14" s="1100"/>
      <c r="D14" s="1100"/>
      <c r="E14" s="1100"/>
      <c r="F14" s="1100"/>
      <c r="G14" s="1100"/>
      <c r="H14" s="1100"/>
      <c r="I14" s="1100"/>
      <c r="J14" s="1100"/>
      <c r="K14" s="1100"/>
      <c r="L14" s="1100"/>
      <c r="M14" s="1100"/>
      <c r="N14" s="1100"/>
      <c r="O14" s="1100"/>
      <c r="P14" s="1100"/>
      <c r="Q14" s="137"/>
      <c r="S14" s="293"/>
      <c r="Y14" s="160"/>
    </row>
    <row r="15" spans="2:25" ht="20.25">
      <c r="B15" s="165"/>
      <c r="C15" s="166"/>
      <c r="D15" s="1105" t="s">
        <v>193</v>
      </c>
      <c r="E15" s="1106"/>
      <c r="F15" s="1106"/>
      <c r="G15" s="1106"/>
      <c r="H15" s="1106"/>
      <c r="I15" s="1107"/>
      <c r="J15" s="146"/>
      <c r="K15" s="1101" t="s">
        <v>194</v>
      </c>
      <c r="L15" s="1102"/>
      <c r="M15" s="1102"/>
      <c r="N15" s="1102"/>
      <c r="O15" s="1102"/>
      <c r="P15" s="1102"/>
      <c r="Q15" s="137"/>
      <c r="Y15" s="160"/>
    </row>
    <row r="16" spans="2:25">
      <c r="B16" s="164" t="s">
        <v>195</v>
      </c>
      <c r="C16" s="136" t="s">
        <v>203</v>
      </c>
      <c r="D16" s="154">
        <f>OP!J20</f>
        <v>2023</v>
      </c>
      <c r="E16" s="154">
        <f>D16-1</f>
        <v>2022</v>
      </c>
      <c r="F16" s="154">
        <f>E16-1</f>
        <v>2021</v>
      </c>
      <c r="G16" s="154">
        <f>F16-1</f>
        <v>2020</v>
      </c>
      <c r="H16" s="154">
        <f>G16-1</f>
        <v>2019</v>
      </c>
      <c r="I16" s="154">
        <f>H16-1</f>
        <v>2018</v>
      </c>
      <c r="J16" s="147"/>
      <c r="K16" s="149">
        <f>OP!J20</f>
        <v>2023</v>
      </c>
      <c r="L16" s="149">
        <f t="shared" ref="L16:P16" si="6">K16-1</f>
        <v>2022</v>
      </c>
      <c r="M16" s="149">
        <f t="shared" si="6"/>
        <v>2021</v>
      </c>
      <c r="N16" s="149">
        <f t="shared" si="6"/>
        <v>2020</v>
      </c>
      <c r="O16" s="149">
        <f t="shared" si="6"/>
        <v>2019</v>
      </c>
      <c r="P16" s="170">
        <f t="shared" si="6"/>
        <v>2018</v>
      </c>
      <c r="Q16" s="137"/>
      <c r="Y16" s="160"/>
    </row>
    <row r="17" spans="2:25">
      <c r="B17" s="150">
        <f>IFERROR(D17/$D$21,"")</f>
        <v>0.9540688169547803</v>
      </c>
      <c r="C17" s="139" t="s">
        <v>204</v>
      </c>
      <c r="D17" s="155">
        <v>32660987</v>
      </c>
      <c r="E17" s="155">
        <v>31951335</v>
      </c>
      <c r="F17" s="155">
        <v>25545242</v>
      </c>
      <c r="G17" s="155">
        <v>20981136</v>
      </c>
      <c r="H17" s="155">
        <v>20793216</v>
      </c>
      <c r="I17" s="155">
        <v>19077597</v>
      </c>
      <c r="J17" s="148"/>
      <c r="K17" s="291">
        <f>(D17-E17)/E17</f>
        <v>2.2210402163164701E-2</v>
      </c>
      <c r="L17" s="291">
        <f t="shared" ref="L17:O21" si="7">(E17-F17)/F17</f>
        <v>0.25077441035790538</v>
      </c>
      <c r="M17" s="291">
        <f t="shared" si="7"/>
        <v>0.21753378844691726</v>
      </c>
      <c r="N17" s="291">
        <f t="shared" si="7"/>
        <v>9.0375630205543969E-3</v>
      </c>
      <c r="O17" s="291">
        <f t="shared" si="7"/>
        <v>8.9928464260986329E-2</v>
      </c>
      <c r="P17" s="291" t="s">
        <v>68</v>
      </c>
      <c r="Q17" s="137"/>
      <c r="Y17" s="160"/>
    </row>
    <row r="18" spans="2:25">
      <c r="B18" s="150">
        <f>IFERROR(D18/$D$21,"")</f>
        <v>2.8535289226306288E-2</v>
      </c>
      <c r="C18" s="538" t="s">
        <v>205</v>
      </c>
      <c r="D18" s="155">
        <v>976859</v>
      </c>
      <c r="E18" s="155">
        <v>809680</v>
      </c>
      <c r="F18" s="155">
        <v>898745</v>
      </c>
      <c r="G18" s="155">
        <v>890311</v>
      </c>
      <c r="H18" s="155">
        <v>824810</v>
      </c>
      <c r="I18" s="155">
        <v>954631</v>
      </c>
      <c r="J18" s="148"/>
      <c r="K18" s="291">
        <f>(D18-E18)/E18</f>
        <v>0.20647539768797549</v>
      </c>
      <c r="L18" s="291">
        <f t="shared" ref="L18" si="8">(E18-F18)/F18</f>
        <v>-9.9099299578857186E-2</v>
      </c>
      <c r="M18" s="291">
        <f t="shared" ref="M18" si="9">(F18-G18)/G18</f>
        <v>9.4730942333633977E-3</v>
      </c>
      <c r="N18" s="291">
        <f t="shared" ref="N18" si="10">(G18-H18)/H18</f>
        <v>7.9413440671184873E-2</v>
      </c>
      <c r="O18" s="291">
        <f t="shared" ref="O18" si="11">(H18-I18)/I18</f>
        <v>-0.13599076501810647</v>
      </c>
      <c r="P18" s="539" t="s">
        <v>68</v>
      </c>
      <c r="Q18" s="137"/>
      <c r="Y18" s="160"/>
    </row>
    <row r="19" spans="2:25">
      <c r="B19" s="150">
        <f>IFERROR(D19/$D$21,"")</f>
        <v>1.6752223547050558E-2</v>
      </c>
      <c r="C19" s="140" t="s">
        <v>206</v>
      </c>
      <c r="D19" s="155">
        <v>573485</v>
      </c>
      <c r="E19" s="155">
        <v>865603</v>
      </c>
      <c r="F19" s="155">
        <v>665232</v>
      </c>
      <c r="G19" s="155">
        <v>576328</v>
      </c>
      <c r="H19" s="155">
        <v>604700</v>
      </c>
      <c r="I19" s="155">
        <v>421132</v>
      </c>
      <c r="J19" s="148"/>
      <c r="K19" s="292">
        <f t="shared" ref="K19:K20" si="12">(D19-E19)/E19</f>
        <v>-0.33747341448677975</v>
      </c>
      <c r="L19" s="292">
        <f t="shared" si="7"/>
        <v>0.30120469249825627</v>
      </c>
      <c r="M19" s="292">
        <f t="shared" si="7"/>
        <v>0.15425938007523493</v>
      </c>
      <c r="N19" s="292">
        <f t="shared" si="7"/>
        <v>-4.6919133454605591E-2</v>
      </c>
      <c r="O19" s="292">
        <f t="shared" si="7"/>
        <v>0.43589183438921764</v>
      </c>
      <c r="P19" s="292" t="s">
        <v>68</v>
      </c>
      <c r="Q19" s="137"/>
      <c r="Y19" s="160"/>
    </row>
    <row r="20" spans="2:25">
      <c r="B20" s="150">
        <f>IFERROR(D20/$D$21,"")</f>
        <v>6.4367027186283698E-4</v>
      </c>
      <c r="C20" s="140" t="s">
        <v>207</v>
      </c>
      <c r="D20" s="155">
        <v>22035</v>
      </c>
      <c r="E20" s="155">
        <v>44392</v>
      </c>
      <c r="F20" s="155">
        <v>21457</v>
      </c>
      <c r="G20" s="155">
        <v>41079</v>
      </c>
      <c r="H20" s="155">
        <v>36835</v>
      </c>
      <c r="I20" s="155">
        <v>118271</v>
      </c>
      <c r="J20" s="148"/>
      <c r="K20" s="292">
        <f t="shared" si="12"/>
        <v>-0.50362677959992797</v>
      </c>
      <c r="L20" s="292">
        <f t="shared" si="7"/>
        <v>1.0688819499464044</v>
      </c>
      <c r="M20" s="292">
        <f t="shared" si="7"/>
        <v>-0.47766498697631393</v>
      </c>
      <c r="N20" s="292">
        <f t="shared" si="7"/>
        <v>0.11521650604045065</v>
      </c>
      <c r="O20" s="292">
        <f t="shared" si="7"/>
        <v>-0.68855425252175084</v>
      </c>
      <c r="P20" s="292" t="s">
        <v>68</v>
      </c>
      <c r="Q20" s="137"/>
      <c r="Y20" s="160"/>
    </row>
    <row r="21" spans="2:25">
      <c r="B21" s="143">
        <f>SUM(B17:B20)</f>
        <v>1</v>
      </c>
      <c r="C21" s="641" t="s">
        <v>202</v>
      </c>
      <c r="D21" s="638">
        <f t="shared" ref="D21:I21" si="13">SUM(D17:D20)</f>
        <v>34233366</v>
      </c>
      <c r="E21" s="639">
        <f t="shared" si="13"/>
        <v>33671010</v>
      </c>
      <c r="F21" s="639">
        <f t="shared" si="13"/>
        <v>27130676</v>
      </c>
      <c r="G21" s="639">
        <f t="shared" si="13"/>
        <v>22488854</v>
      </c>
      <c r="H21" s="639">
        <f t="shared" si="13"/>
        <v>22259561</v>
      </c>
      <c r="I21" s="640">
        <f t="shared" si="13"/>
        <v>20571631</v>
      </c>
      <c r="J21" s="642"/>
      <c r="K21" s="289">
        <f>(D21-E21)/E21</f>
        <v>1.6701488906926167E-2</v>
      </c>
      <c r="L21" s="290">
        <f t="shared" si="7"/>
        <v>0.24106785986460491</v>
      </c>
      <c r="M21" s="290">
        <f t="shared" ref="M21" si="14">(F21-G21)/G21</f>
        <v>0.20640544867248459</v>
      </c>
      <c r="N21" s="290">
        <f t="shared" ref="N21" si="15">(G21-H21)/H21</f>
        <v>1.0300877002920228E-2</v>
      </c>
      <c r="O21" s="290">
        <f t="shared" ref="O21" si="16">(H21-I21)/I21</f>
        <v>8.20513453697473E-2</v>
      </c>
      <c r="P21" s="290" t="s">
        <v>68</v>
      </c>
      <c r="Q21" s="137"/>
      <c r="Y21" s="160"/>
    </row>
    <row r="22" spans="2:25">
      <c r="C22" s="13"/>
      <c r="D22" s="14"/>
      <c r="E22" s="15"/>
      <c r="F22" s="14"/>
      <c r="G22" s="15"/>
      <c r="H22" s="14"/>
      <c r="I22" s="15"/>
      <c r="Q22" s="137"/>
      <c r="Y22" s="160"/>
    </row>
    <row r="23" spans="2:25" ht="20.25">
      <c r="B23" s="1105" t="s">
        <v>70</v>
      </c>
      <c r="C23" s="1107"/>
      <c r="D23" s="1105" t="s">
        <v>208</v>
      </c>
      <c r="E23" s="1106"/>
      <c r="F23" s="1106"/>
      <c r="G23" s="1106"/>
      <c r="H23" s="1106"/>
      <c r="I23" s="1113" t="s">
        <v>209</v>
      </c>
      <c r="J23" s="1114"/>
      <c r="K23" s="1114"/>
      <c r="L23" s="1114"/>
      <c r="M23" s="1114"/>
      <c r="N23" s="1114"/>
      <c r="O23" s="1114"/>
      <c r="P23" s="1114"/>
      <c r="Q23" s="137"/>
      <c r="Y23" s="160"/>
    </row>
    <row r="24" spans="2:25" ht="58.5" customHeight="1">
      <c r="B24" s="1103" t="s">
        <v>204</v>
      </c>
      <c r="C24" s="1104"/>
      <c r="D24" s="1108" t="s">
        <v>210</v>
      </c>
      <c r="E24" s="1109"/>
      <c r="F24" s="1109"/>
      <c r="G24" s="1109"/>
      <c r="H24" s="1109"/>
      <c r="I24" s="137"/>
      <c r="Q24" s="137"/>
      <c r="Y24" s="160"/>
    </row>
    <row r="25" spans="2:25" ht="62.25" customHeight="1">
      <c r="B25" s="1103" t="s">
        <v>205</v>
      </c>
      <c r="C25" s="1104"/>
      <c r="D25" s="1108" t="s">
        <v>211</v>
      </c>
      <c r="E25" s="1109"/>
      <c r="F25" s="1109"/>
      <c r="G25" s="1109"/>
      <c r="H25" s="1109"/>
      <c r="I25" s="137"/>
      <c r="Q25" s="137"/>
      <c r="Y25" s="160"/>
    </row>
    <row r="26" spans="2:25" ht="84" customHeight="1">
      <c r="B26" s="1103" t="s">
        <v>206</v>
      </c>
      <c r="C26" s="1104"/>
      <c r="D26" s="1110" t="s">
        <v>212</v>
      </c>
      <c r="E26" s="1109"/>
      <c r="F26" s="1109"/>
      <c r="G26" s="1109"/>
      <c r="H26" s="1109"/>
      <c r="I26" s="137"/>
      <c r="Q26" s="137"/>
      <c r="Y26" s="160"/>
    </row>
    <row r="27" spans="2:25" ht="56.25" customHeight="1" thickBot="1">
      <c r="B27" s="1103" t="s">
        <v>207</v>
      </c>
      <c r="C27" s="1104"/>
      <c r="D27" s="1110" t="s">
        <v>213</v>
      </c>
      <c r="E27" s="1109"/>
      <c r="F27" s="1109"/>
      <c r="G27" s="1109"/>
      <c r="H27" s="1109"/>
      <c r="I27" s="137"/>
      <c r="Q27" s="137"/>
      <c r="Y27" s="160"/>
    </row>
    <row r="28" spans="2:25" ht="28.35" hidden="1" customHeight="1">
      <c r="B28" s="1103"/>
      <c r="C28" s="1104"/>
      <c r="D28" s="1111"/>
      <c r="E28" s="1112"/>
      <c r="F28" s="1112"/>
      <c r="G28" s="1112"/>
      <c r="H28" s="1112"/>
      <c r="I28" s="137"/>
      <c r="Q28" s="137"/>
      <c r="Y28" s="160"/>
    </row>
    <row r="29" spans="2:25" ht="56.25" customHeight="1" thickBot="1">
      <c r="I29" s="138"/>
      <c r="J29" s="161"/>
      <c r="K29" s="161"/>
      <c r="L29" s="161"/>
      <c r="M29" s="161"/>
      <c r="N29" s="161"/>
      <c r="O29" s="161"/>
      <c r="P29" s="161"/>
      <c r="Q29" s="138"/>
      <c r="R29" s="161"/>
      <c r="S29" s="161"/>
      <c r="T29" s="161"/>
      <c r="U29" s="161"/>
      <c r="V29" s="161"/>
      <c r="W29" s="161"/>
      <c r="X29" s="161"/>
      <c r="Y29" s="162"/>
    </row>
    <row r="30" spans="2:25" ht="21" thickBot="1">
      <c r="B30" s="1105" t="s">
        <v>214</v>
      </c>
      <c r="C30" s="1106"/>
      <c r="D30" s="1106"/>
      <c r="E30" s="1106"/>
      <c r="F30" s="1106"/>
      <c r="G30" s="1106"/>
      <c r="H30" s="1106"/>
      <c r="I30" s="1107"/>
      <c r="J30" s="1145" t="s">
        <v>215</v>
      </c>
      <c r="K30" s="1146"/>
      <c r="L30" s="1146"/>
      <c r="M30" s="1146"/>
      <c r="N30" s="1146"/>
      <c r="O30" s="1146"/>
      <c r="P30" s="1146"/>
      <c r="Q30" s="1147"/>
    </row>
    <row r="31" spans="2:25">
      <c r="B31" s="1160" t="s">
        <v>216</v>
      </c>
      <c r="C31" s="1162"/>
      <c r="D31" s="1160" t="s">
        <v>208</v>
      </c>
      <c r="E31" s="1161"/>
      <c r="F31" s="1161"/>
      <c r="G31" s="1161"/>
      <c r="H31" s="1161"/>
      <c r="I31" s="1162"/>
      <c r="J31" s="157"/>
      <c r="K31" s="158"/>
      <c r="L31" s="158"/>
      <c r="M31" s="158"/>
      <c r="N31" s="158"/>
      <c r="O31" s="158"/>
      <c r="P31" s="158"/>
      <c r="Q31" s="159"/>
    </row>
    <row r="32" spans="2:25" ht="33.75" customHeight="1">
      <c r="B32" s="1168" t="s">
        <v>217</v>
      </c>
      <c r="C32" s="1169"/>
      <c r="D32" s="1121" t="s">
        <v>218</v>
      </c>
      <c r="E32" s="1122"/>
      <c r="F32" s="1122"/>
      <c r="G32" s="1122"/>
      <c r="H32" s="1122"/>
      <c r="I32" s="1123"/>
      <c r="J32" s="137"/>
      <c r="Q32" s="160"/>
    </row>
    <row r="33" spans="2:21" ht="48" customHeight="1">
      <c r="B33" s="1132" t="s">
        <v>219</v>
      </c>
      <c r="C33" s="1133"/>
      <c r="D33" s="1124" t="s">
        <v>220</v>
      </c>
      <c r="E33" s="1125"/>
      <c r="F33" s="1125"/>
      <c r="G33" s="1125"/>
      <c r="H33" s="1125"/>
      <c r="I33" s="1126"/>
      <c r="J33" s="137"/>
      <c r="Q33" s="160"/>
    </row>
    <row r="34" spans="2:21">
      <c r="B34" s="1160" t="s">
        <v>221</v>
      </c>
      <c r="C34" s="1161"/>
      <c r="D34" s="1161"/>
      <c r="E34" s="1161"/>
      <c r="F34" s="1161"/>
      <c r="G34" s="1161"/>
      <c r="H34" s="1161"/>
      <c r="I34" s="1162"/>
      <c r="J34" s="137"/>
      <c r="Q34" s="160"/>
    </row>
    <row r="35" spans="2:21" ht="13.5" customHeight="1">
      <c r="B35" s="1163" t="s">
        <v>222</v>
      </c>
      <c r="C35" s="1164"/>
      <c r="D35" s="1129" t="s">
        <v>223</v>
      </c>
      <c r="E35" s="1130"/>
      <c r="F35" s="1131"/>
      <c r="G35" s="1129" t="s">
        <v>224</v>
      </c>
      <c r="H35" s="1130"/>
      <c r="I35" s="1131"/>
      <c r="J35" s="137"/>
      <c r="Q35" s="160"/>
      <c r="T35" s="10"/>
      <c r="U35" s="10"/>
    </row>
    <row r="36" spans="2:21">
      <c r="B36" s="1134" t="s">
        <v>225</v>
      </c>
      <c r="C36" s="1135"/>
      <c r="D36" s="1154">
        <v>5.1999999999999998E-2</v>
      </c>
      <c r="E36" s="1155"/>
      <c r="F36" s="1156"/>
      <c r="G36" s="1148" t="s">
        <v>226</v>
      </c>
      <c r="H36" s="1149"/>
      <c r="I36" s="1150"/>
      <c r="J36" s="137"/>
      <c r="Q36" s="160"/>
      <c r="T36" s="10"/>
      <c r="U36" s="10"/>
    </row>
    <row r="37" spans="2:21">
      <c r="B37" s="1134" t="s">
        <v>227</v>
      </c>
      <c r="C37" s="1135"/>
      <c r="D37" s="1154">
        <v>0.15</v>
      </c>
      <c r="E37" s="1155"/>
      <c r="F37" s="1156"/>
      <c r="G37" s="1148" t="s">
        <v>228</v>
      </c>
      <c r="H37" s="1149"/>
      <c r="I37" s="1150"/>
      <c r="J37" s="137"/>
      <c r="Q37" s="160"/>
      <c r="T37" s="10"/>
      <c r="U37" s="10"/>
    </row>
    <row r="38" spans="2:21">
      <c r="B38" s="1117" t="s">
        <v>229</v>
      </c>
      <c r="C38" s="1118"/>
      <c r="D38" s="1157">
        <v>0.03</v>
      </c>
      <c r="E38" s="1158"/>
      <c r="F38" s="1159"/>
      <c r="G38" s="1151" t="s">
        <v>230</v>
      </c>
      <c r="H38" s="1152"/>
      <c r="I38" s="1153"/>
      <c r="J38" s="137"/>
      <c r="Q38" s="160"/>
      <c r="T38" s="10"/>
      <c r="U38" s="10"/>
    </row>
    <row r="39" spans="2:21" ht="12.6" customHeight="1">
      <c r="B39" s="1119" t="s">
        <v>231</v>
      </c>
      <c r="C39" s="1120"/>
      <c r="D39" s="1127">
        <f>AVERAGE(D36:F38)</f>
        <v>7.7333333333333323E-2</v>
      </c>
      <c r="E39" s="1127"/>
      <c r="F39" s="1127"/>
      <c r="G39" s="1127"/>
      <c r="H39" s="1127"/>
      <c r="I39" s="1128"/>
      <c r="Q39" s="160"/>
      <c r="T39" s="10"/>
      <c r="U39" s="10"/>
    </row>
    <row r="40" spans="2:21" ht="20.25">
      <c r="B40" s="1165" t="s">
        <v>232</v>
      </c>
      <c r="C40" s="1166"/>
      <c r="D40" s="1166"/>
      <c r="E40" s="1166"/>
      <c r="F40" s="1166"/>
      <c r="G40" s="1166"/>
      <c r="H40" s="1166"/>
      <c r="I40" s="1167"/>
      <c r="J40" s="137"/>
      <c r="Q40" s="160"/>
      <c r="T40" s="10"/>
      <c r="U40" s="10"/>
    </row>
    <row r="41" spans="2:21">
      <c r="B41" s="1136" t="s">
        <v>233</v>
      </c>
      <c r="C41" s="1137"/>
      <c r="D41" s="1137"/>
      <c r="E41" s="1137"/>
      <c r="F41" s="1137"/>
      <c r="G41" s="1137"/>
      <c r="H41" s="1137"/>
      <c r="I41" s="1138"/>
      <c r="J41" s="137"/>
      <c r="Q41" s="160"/>
      <c r="T41" s="10"/>
      <c r="U41" s="10"/>
    </row>
    <row r="42" spans="2:21" ht="12.75" customHeight="1">
      <c r="B42" s="1139"/>
      <c r="C42" s="1140"/>
      <c r="D42" s="1140"/>
      <c r="E42" s="1140"/>
      <c r="F42" s="1140"/>
      <c r="G42" s="1140"/>
      <c r="H42" s="1140"/>
      <c r="I42" s="1141"/>
      <c r="J42" s="137"/>
      <c r="Q42" s="160"/>
      <c r="T42" s="10"/>
      <c r="U42" s="10"/>
    </row>
    <row r="43" spans="2:21" ht="12.75" customHeight="1">
      <c r="B43" s="1139"/>
      <c r="C43" s="1140"/>
      <c r="D43" s="1140"/>
      <c r="E43" s="1140"/>
      <c r="F43" s="1140"/>
      <c r="G43" s="1140"/>
      <c r="H43" s="1140"/>
      <c r="I43" s="1141"/>
      <c r="J43" s="137"/>
      <c r="Q43" s="160"/>
      <c r="T43" s="10"/>
      <c r="U43" s="10"/>
    </row>
    <row r="44" spans="2:21" ht="12.75" customHeight="1">
      <c r="B44" s="1139"/>
      <c r="C44" s="1140"/>
      <c r="D44" s="1140"/>
      <c r="E44" s="1140"/>
      <c r="F44" s="1140"/>
      <c r="G44" s="1140"/>
      <c r="H44" s="1140"/>
      <c r="I44" s="1141"/>
      <c r="J44" s="137"/>
      <c r="Q44" s="160"/>
      <c r="T44" s="10"/>
      <c r="U44" s="10"/>
    </row>
    <row r="45" spans="2:21" ht="12.75" customHeight="1">
      <c r="B45" s="1139"/>
      <c r="C45" s="1140"/>
      <c r="D45" s="1140"/>
      <c r="E45" s="1140"/>
      <c r="F45" s="1140"/>
      <c r="G45" s="1140"/>
      <c r="H45" s="1140"/>
      <c r="I45" s="1141"/>
      <c r="J45" s="137"/>
      <c r="Q45" s="160"/>
      <c r="T45" s="10"/>
      <c r="U45" s="10"/>
    </row>
    <row r="46" spans="2:21" ht="12.75" customHeight="1">
      <c r="B46" s="1139"/>
      <c r="C46" s="1140"/>
      <c r="D46" s="1140"/>
      <c r="E46" s="1140"/>
      <c r="F46" s="1140"/>
      <c r="G46" s="1140"/>
      <c r="H46" s="1140"/>
      <c r="I46" s="1141"/>
      <c r="J46" s="137"/>
      <c r="Q46" s="160"/>
      <c r="T46" s="10"/>
      <c r="U46" s="10"/>
    </row>
    <row r="47" spans="2:21" ht="12.75" customHeight="1">
      <c r="B47" s="1139"/>
      <c r="C47" s="1140"/>
      <c r="D47" s="1140"/>
      <c r="E47" s="1140"/>
      <c r="F47" s="1140"/>
      <c r="G47" s="1140"/>
      <c r="H47" s="1140"/>
      <c r="I47" s="1141"/>
      <c r="J47" s="137"/>
      <c r="Q47" s="160"/>
      <c r="T47" s="10"/>
      <c r="U47" s="10"/>
    </row>
    <row r="48" spans="2:21" ht="12.75" customHeight="1">
      <c r="B48" s="1139"/>
      <c r="C48" s="1140"/>
      <c r="D48" s="1140"/>
      <c r="E48" s="1140"/>
      <c r="F48" s="1140"/>
      <c r="G48" s="1140"/>
      <c r="H48" s="1140"/>
      <c r="I48" s="1141"/>
      <c r="J48" s="137"/>
      <c r="Q48" s="160"/>
      <c r="T48" s="10"/>
      <c r="U48" s="10"/>
    </row>
    <row r="49" spans="2:21" ht="12.75" customHeight="1">
      <c r="B49" s="1139"/>
      <c r="C49" s="1140"/>
      <c r="D49" s="1140"/>
      <c r="E49" s="1140"/>
      <c r="F49" s="1140"/>
      <c r="G49" s="1140"/>
      <c r="H49" s="1140"/>
      <c r="I49" s="1141"/>
      <c r="J49" s="137"/>
      <c r="Q49" s="160"/>
      <c r="T49" s="10"/>
      <c r="U49" s="10"/>
    </row>
    <row r="50" spans="2:21" ht="12.75" customHeight="1">
      <c r="B50" s="1139"/>
      <c r="C50" s="1140"/>
      <c r="D50" s="1140"/>
      <c r="E50" s="1140"/>
      <c r="F50" s="1140"/>
      <c r="G50" s="1140"/>
      <c r="H50" s="1140"/>
      <c r="I50" s="1141"/>
      <c r="J50" s="137"/>
      <c r="Q50" s="160"/>
      <c r="T50" s="10"/>
      <c r="U50" s="10"/>
    </row>
    <row r="51" spans="2:21" ht="12.75" customHeight="1">
      <c r="B51" s="1139"/>
      <c r="C51" s="1140"/>
      <c r="D51" s="1140"/>
      <c r="E51" s="1140"/>
      <c r="F51" s="1140"/>
      <c r="G51" s="1140"/>
      <c r="H51" s="1140"/>
      <c r="I51" s="1141"/>
      <c r="J51" s="137"/>
      <c r="Q51" s="160"/>
      <c r="T51" s="10"/>
      <c r="U51" s="10"/>
    </row>
    <row r="52" spans="2:21" ht="12.75" customHeight="1">
      <c r="B52" s="1139"/>
      <c r="C52" s="1140"/>
      <c r="D52" s="1140"/>
      <c r="E52" s="1140"/>
      <c r="F52" s="1140"/>
      <c r="G52" s="1140"/>
      <c r="H52" s="1140"/>
      <c r="I52" s="1141"/>
      <c r="J52" s="137"/>
      <c r="Q52" s="160"/>
      <c r="T52" s="10"/>
      <c r="U52" s="10"/>
    </row>
    <row r="53" spans="2:21" ht="12.75" customHeight="1">
      <c r="B53" s="1139"/>
      <c r="C53" s="1140"/>
      <c r="D53" s="1140"/>
      <c r="E53" s="1140"/>
      <c r="F53" s="1140"/>
      <c r="G53" s="1140"/>
      <c r="H53" s="1140"/>
      <c r="I53" s="1141"/>
      <c r="J53" s="137"/>
      <c r="Q53" s="160"/>
      <c r="T53" s="10"/>
      <c r="U53" s="10"/>
    </row>
    <row r="54" spans="2:21" ht="12.75" customHeight="1">
      <c r="B54" s="1139"/>
      <c r="C54" s="1140"/>
      <c r="D54" s="1140"/>
      <c r="E54" s="1140"/>
      <c r="F54" s="1140"/>
      <c r="G54" s="1140"/>
      <c r="H54" s="1140"/>
      <c r="I54" s="1141"/>
      <c r="J54" s="137"/>
      <c r="L54" t="s">
        <v>234</v>
      </c>
      <c r="Q54" s="160"/>
      <c r="T54" s="10"/>
      <c r="U54" s="10"/>
    </row>
    <row r="55" spans="2:21" ht="12.75" customHeight="1">
      <c r="B55" s="1139"/>
      <c r="C55" s="1140"/>
      <c r="D55" s="1140"/>
      <c r="E55" s="1140"/>
      <c r="F55" s="1140"/>
      <c r="G55" s="1140"/>
      <c r="H55" s="1140"/>
      <c r="I55" s="1141"/>
      <c r="J55" s="137"/>
      <c r="Q55" s="160"/>
      <c r="T55" s="10"/>
      <c r="U55" s="10"/>
    </row>
    <row r="56" spans="2:21" ht="12.75" customHeight="1">
      <c r="B56" s="1139"/>
      <c r="C56" s="1140"/>
      <c r="D56" s="1140"/>
      <c r="E56" s="1140"/>
      <c r="F56" s="1140"/>
      <c r="G56" s="1140"/>
      <c r="H56" s="1140"/>
      <c r="I56" s="1141"/>
      <c r="J56" s="137"/>
      <c r="Q56" s="160"/>
      <c r="T56" s="10"/>
      <c r="U56" s="10"/>
    </row>
    <row r="57" spans="2:21" ht="13.5" customHeight="1">
      <c r="B57" s="1142"/>
      <c r="C57" s="1143"/>
      <c r="D57" s="1143"/>
      <c r="E57" s="1143"/>
      <c r="F57" s="1143"/>
      <c r="G57" s="1143"/>
      <c r="H57" s="1143"/>
      <c r="I57" s="1144"/>
      <c r="J57" s="138"/>
      <c r="K57" s="161"/>
      <c r="L57" s="161"/>
      <c r="M57" s="161"/>
      <c r="N57" s="161"/>
      <c r="O57" s="161"/>
      <c r="P57" s="161"/>
      <c r="Q57" s="162"/>
      <c r="T57" s="10"/>
      <c r="U57" s="10"/>
    </row>
    <row r="58" spans="2:21">
      <c r="T58" s="10"/>
      <c r="U58" s="10"/>
    </row>
    <row r="59" spans="2:21">
      <c r="T59" s="10"/>
      <c r="U59" s="10"/>
    </row>
    <row r="60" spans="2:21">
      <c r="T60" s="10"/>
      <c r="U60" s="10"/>
    </row>
    <row r="61" spans="2:21">
      <c r="T61" s="10"/>
      <c r="U61" s="10"/>
    </row>
    <row r="62" spans="2:21">
      <c r="O62" s="294"/>
      <c r="T62" s="10"/>
      <c r="U62" s="10"/>
    </row>
    <row r="63" spans="2:21">
      <c r="O63" s="294"/>
      <c r="T63" s="10"/>
      <c r="U63" s="10"/>
    </row>
    <row r="64" spans="2:21">
      <c r="O64" s="294"/>
      <c r="T64" s="10"/>
      <c r="U64" s="10"/>
    </row>
    <row r="65" spans="20:21">
      <c r="T65" s="10"/>
      <c r="U65" s="10"/>
    </row>
    <row r="66" spans="20:21">
      <c r="T66" s="10"/>
      <c r="U66" s="10"/>
    </row>
    <row r="67" spans="20:21">
      <c r="T67" s="10"/>
      <c r="U67" s="10"/>
    </row>
    <row r="68" spans="20:21">
      <c r="T68" s="10"/>
      <c r="U68" s="10"/>
    </row>
    <row r="69" spans="20:21">
      <c r="T69" s="10"/>
      <c r="U69" s="10"/>
    </row>
    <row r="70" spans="20:21">
      <c r="T70" s="10"/>
      <c r="U70" s="10"/>
    </row>
    <row r="71" spans="20:21">
      <c r="T71" s="10"/>
      <c r="U71" s="10"/>
    </row>
  </sheetData>
  <mergeCells count="45">
    <mergeCell ref="B41:I57"/>
    <mergeCell ref="J30:Q30"/>
    <mergeCell ref="G37:I37"/>
    <mergeCell ref="G38:I38"/>
    <mergeCell ref="D36:F36"/>
    <mergeCell ref="D37:F37"/>
    <mergeCell ref="D38:F38"/>
    <mergeCell ref="B34:I34"/>
    <mergeCell ref="B35:C35"/>
    <mergeCell ref="B36:C36"/>
    <mergeCell ref="G36:I36"/>
    <mergeCell ref="B30:I30"/>
    <mergeCell ref="B40:I40"/>
    <mergeCell ref="B31:C31"/>
    <mergeCell ref="B32:C32"/>
    <mergeCell ref="D31:I31"/>
    <mergeCell ref="B39:C39"/>
    <mergeCell ref="D32:I32"/>
    <mergeCell ref="D33:I33"/>
    <mergeCell ref="D39:I39"/>
    <mergeCell ref="D35:F35"/>
    <mergeCell ref="G35:I35"/>
    <mergeCell ref="B33:C33"/>
    <mergeCell ref="B37:C37"/>
    <mergeCell ref="B27:C27"/>
    <mergeCell ref="B23:C23"/>
    <mergeCell ref="B26:C26"/>
    <mergeCell ref="B25:C25"/>
    <mergeCell ref="B38:C38"/>
    <mergeCell ref="Q2:Y2"/>
    <mergeCell ref="K3:P3"/>
    <mergeCell ref="B2:P2"/>
    <mergeCell ref="K15:P15"/>
    <mergeCell ref="B28:C28"/>
    <mergeCell ref="B14:P14"/>
    <mergeCell ref="D15:I15"/>
    <mergeCell ref="D23:H23"/>
    <mergeCell ref="D24:H24"/>
    <mergeCell ref="D25:H25"/>
    <mergeCell ref="D26:H26"/>
    <mergeCell ref="D27:H27"/>
    <mergeCell ref="D28:H28"/>
    <mergeCell ref="I23:P23"/>
    <mergeCell ref="D3:I3"/>
    <mergeCell ref="B24:C24"/>
  </mergeCells>
  <phoneticPr fontId="0" type="noConversion"/>
  <conditionalFormatting sqref="B5:B11">
    <cfRule type="dataBar" priority="100">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7:B20">
    <cfRule type="dataBar" priority="89">
      <dataBar>
        <cfvo type="min"/>
        <cfvo type="max"/>
        <color rgb="FF638EC6"/>
      </dataBar>
      <extLst>
        <ext xmlns:x14="http://schemas.microsoft.com/office/spreadsheetml/2009/9/main" uri="{B025F937-C7B1-47D3-B67F-A62EFF666E3E}">
          <x14:id>{070902CC-8EB6-43DB-B9AD-5811F17D394B}</x14:id>
        </ext>
      </extLst>
    </cfRule>
  </conditionalFormatting>
  <conditionalFormatting sqref="D5:D11">
    <cfRule type="dataBar" priority="102">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7:D20">
    <cfRule type="dataBar" priority="90">
      <dataBar>
        <cfvo type="min"/>
        <cfvo type="max"/>
        <color rgb="FF63C384"/>
      </dataBar>
      <extLst>
        <ext xmlns:x14="http://schemas.microsoft.com/office/spreadsheetml/2009/9/main" uri="{B025F937-C7B1-47D3-B67F-A62EFF666E3E}">
          <x14:id>{3F107DCC-63A1-497B-B919-528218A545C1}</x14:id>
        </ext>
      </extLst>
    </cfRule>
  </conditionalFormatting>
  <conditionalFormatting sqref="D5:I9">
    <cfRule type="dataBar" priority="104">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7:I20">
    <cfRule type="dataBar" priority="91">
      <dataBar>
        <cfvo type="min"/>
        <cfvo type="max"/>
        <color rgb="FF63C384"/>
      </dataBar>
      <extLst>
        <ext xmlns:x14="http://schemas.microsoft.com/office/spreadsheetml/2009/9/main" uri="{B025F937-C7B1-47D3-B67F-A62EFF666E3E}">
          <x14:id>{5BBC426E-7FA9-4F5C-AC78-B3996BA8F931}</x14:id>
        </ext>
      </extLst>
    </cfRule>
  </conditionalFormatting>
  <conditionalFormatting sqref="E5:E11">
    <cfRule type="dataBar" priority="105">
      <dataBar>
        <cfvo type="min"/>
        <cfvo type="max"/>
        <color rgb="FF63C384"/>
      </dataBar>
      <extLst>
        <ext xmlns:x14="http://schemas.microsoft.com/office/spreadsheetml/2009/9/main" uri="{B025F937-C7B1-47D3-B67F-A62EFF666E3E}">
          <x14:id>{740A2B96-C6E5-4177-AC04-9573B81E30EC}</x14:id>
        </ext>
      </extLst>
    </cfRule>
  </conditionalFormatting>
  <conditionalFormatting sqref="E17:E20">
    <cfRule type="dataBar" priority="92">
      <dataBar>
        <cfvo type="min"/>
        <cfvo type="max"/>
        <color rgb="FF63C384"/>
      </dataBar>
      <extLst>
        <ext xmlns:x14="http://schemas.microsoft.com/office/spreadsheetml/2009/9/main" uri="{B025F937-C7B1-47D3-B67F-A62EFF666E3E}">
          <x14:id>{5AA7A103-2149-42E1-9BBB-48A01258D43D}</x14:id>
        </ext>
      </extLst>
    </cfRule>
  </conditionalFormatting>
  <conditionalFormatting sqref="F5:F11">
    <cfRule type="dataBar" priority="107">
      <dataBar>
        <cfvo type="min"/>
        <cfvo type="max"/>
        <color rgb="FF63C384"/>
      </dataBar>
      <extLst>
        <ext xmlns:x14="http://schemas.microsoft.com/office/spreadsheetml/2009/9/main" uri="{B025F937-C7B1-47D3-B67F-A62EFF666E3E}">
          <x14:id>{5EFE30C4-0901-404E-9108-731E3BE4821E}</x14:id>
        </ext>
      </extLst>
    </cfRule>
  </conditionalFormatting>
  <conditionalFormatting sqref="F17:F20">
    <cfRule type="dataBar" priority="93">
      <dataBar>
        <cfvo type="min"/>
        <cfvo type="max"/>
        <color rgb="FF63C384"/>
      </dataBar>
      <extLst>
        <ext xmlns:x14="http://schemas.microsoft.com/office/spreadsheetml/2009/9/main" uri="{B025F937-C7B1-47D3-B67F-A62EFF666E3E}">
          <x14:id>{5EE1521A-2483-44CA-9CCA-E5FC63E6246F}</x14:id>
        </ext>
      </extLst>
    </cfRule>
  </conditionalFormatting>
  <conditionalFormatting sqref="G5:G11">
    <cfRule type="dataBar" priority="109">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7:G20">
    <cfRule type="dataBar" priority="94">
      <dataBar>
        <cfvo type="min"/>
        <cfvo type="max"/>
        <color rgb="FF63C384"/>
      </dataBar>
      <extLst>
        <ext xmlns:x14="http://schemas.microsoft.com/office/spreadsheetml/2009/9/main" uri="{B025F937-C7B1-47D3-B67F-A62EFF666E3E}">
          <x14:id>{00DC50B7-1706-4DFB-A90F-9F95CB19CA6D}</x14:id>
        </ext>
      </extLst>
    </cfRule>
  </conditionalFormatting>
  <conditionalFormatting sqref="H5:H11">
    <cfRule type="dataBar" priority="111">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7:H20">
    <cfRule type="dataBar" priority="95">
      <dataBar>
        <cfvo type="min"/>
        <cfvo type="max"/>
        <color rgb="FF63C384"/>
      </dataBar>
      <extLst>
        <ext xmlns:x14="http://schemas.microsoft.com/office/spreadsheetml/2009/9/main" uri="{B025F937-C7B1-47D3-B67F-A62EFF666E3E}">
          <x14:id>{EED505F4-1AE5-4E85-A25F-1DAC1EADC97D}</x14:id>
        </ext>
      </extLst>
    </cfRule>
  </conditionalFormatting>
  <conditionalFormatting sqref="I5:I11">
    <cfRule type="dataBar" priority="113">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7:I20">
    <cfRule type="dataBar" priority="96">
      <dataBar>
        <cfvo type="min"/>
        <cfvo type="max"/>
        <color rgb="FF63C384"/>
      </dataBar>
      <extLst>
        <ext xmlns:x14="http://schemas.microsoft.com/office/spreadsheetml/2009/9/main" uri="{B025F937-C7B1-47D3-B67F-A62EFF666E3E}">
          <x14:id>{A192D211-7CF8-4DE2-A7D7-7E84CEAE76AC}</x14:id>
        </ext>
      </extLst>
    </cfRule>
  </conditionalFormatting>
  <conditionalFormatting sqref="K5:K11">
    <cfRule type="dataBar" priority="115">
      <dataBar>
        <cfvo type="min"/>
        <cfvo type="max"/>
        <color rgb="FF63C384"/>
      </dataBar>
      <extLst>
        <ext xmlns:x14="http://schemas.microsoft.com/office/spreadsheetml/2009/9/main" uri="{B025F937-C7B1-47D3-B67F-A62EFF666E3E}">
          <x14:id>{5A27FB5F-AC6D-40FD-B152-7630C251B9C8}</x14:id>
        </ext>
      </extLst>
    </cfRule>
  </conditionalFormatting>
  <conditionalFormatting sqref="K17:K20">
    <cfRule type="dataBar" priority="78">
      <dataBar>
        <cfvo type="min"/>
        <cfvo type="max"/>
        <color rgb="FF63C384"/>
      </dataBar>
      <extLst>
        <ext xmlns:x14="http://schemas.microsoft.com/office/spreadsheetml/2009/9/main" uri="{B025F937-C7B1-47D3-B67F-A62EFF666E3E}">
          <x14:id>{60785AC6-7D44-400D-A2D8-9BBBDC5C548B}</x14:id>
        </ext>
      </extLst>
    </cfRule>
  </conditionalFormatting>
  <conditionalFormatting sqref="K17:O20">
    <cfRule type="dataBar" priority="98">
      <dataBar>
        <cfvo type="min"/>
        <cfvo type="max"/>
        <color rgb="FF63C384"/>
      </dataBar>
      <extLst>
        <ext xmlns:x14="http://schemas.microsoft.com/office/spreadsheetml/2009/9/main" uri="{B025F937-C7B1-47D3-B67F-A62EFF666E3E}">
          <x14:id>{589E11FE-E342-4D21-9EB3-CB0F15AE87A6}</x14:id>
        </ext>
      </extLst>
    </cfRule>
    <cfRule type="dataBar" priority="97">
      <dataBar>
        <cfvo type="min"/>
        <cfvo type="max"/>
        <color rgb="FF63C384"/>
      </dataBar>
      <extLst>
        <ext xmlns:x14="http://schemas.microsoft.com/office/spreadsheetml/2009/9/main" uri="{B025F937-C7B1-47D3-B67F-A62EFF666E3E}">
          <x14:id>{CBC457F7-3DB8-46A0-988B-11CCF8FF31E5}</x14:id>
        </ext>
      </extLst>
    </cfRule>
    <cfRule type="dataBar" priority="79">
      <dataBar>
        <cfvo type="min"/>
        <cfvo type="max"/>
        <color rgb="FF63C384"/>
      </dataBar>
      <extLst>
        <ext xmlns:x14="http://schemas.microsoft.com/office/spreadsheetml/2009/9/main" uri="{B025F937-C7B1-47D3-B67F-A62EFF666E3E}">
          <x14:id>{BE9D279A-ADD8-46F4-B26E-577DEFFA037B}</x14:id>
        </ext>
      </extLst>
    </cfRule>
  </conditionalFormatting>
  <conditionalFormatting sqref="K5:P9">
    <cfRule type="dataBar" priority="117">
      <dataBar>
        <cfvo type="min"/>
        <cfvo type="max"/>
        <color rgb="FF63C384"/>
      </dataBar>
      <extLst>
        <ext xmlns:x14="http://schemas.microsoft.com/office/spreadsheetml/2009/9/main" uri="{B025F937-C7B1-47D3-B67F-A62EFF666E3E}">
          <x14:id>{1642E512-5328-4DB9-81F4-5A67EFFA2D7A}</x14:id>
        </ext>
      </extLst>
    </cfRule>
    <cfRule type="dataBar" priority="118">
      <dataBar>
        <cfvo type="min"/>
        <cfvo type="max"/>
        <color rgb="FF63C384"/>
      </dataBar>
      <extLst>
        <ext xmlns:x14="http://schemas.microsoft.com/office/spreadsheetml/2009/9/main" uri="{B025F937-C7B1-47D3-B67F-A62EFF666E3E}">
          <x14:id>{5832A442-CC22-41FC-AD17-86122538435B}</x14:id>
        </ext>
      </extLst>
    </cfRule>
  </conditionalFormatting>
  <conditionalFormatting sqref="K17:P20">
    <cfRule type="dataBar" priority="80">
      <dataBar>
        <cfvo type="min"/>
        <cfvo type="max"/>
        <color rgb="FF63C384"/>
      </dataBar>
      <extLst>
        <ext xmlns:x14="http://schemas.microsoft.com/office/spreadsheetml/2009/9/main" uri="{B025F937-C7B1-47D3-B67F-A62EFF666E3E}">
          <x14:id>{A85696C3-3FD4-4347-BBC8-6CEF041D9BC2}</x14:id>
        </ext>
      </extLst>
    </cfRule>
    <cfRule type="dataBar" priority="81">
      <dataBar>
        <cfvo type="min"/>
        <cfvo type="max"/>
        <color rgb="FF63C384"/>
      </dataBar>
      <extLst>
        <ext xmlns:x14="http://schemas.microsoft.com/office/spreadsheetml/2009/9/main" uri="{B025F937-C7B1-47D3-B67F-A62EFF666E3E}">
          <x14:id>{4CBCF4A4-EFBB-41F0-984E-0C4EF2D8C81C}</x14:id>
        </ext>
      </extLst>
    </cfRule>
    <cfRule type="dataBar" priority="82">
      <dataBar>
        <cfvo type="min"/>
        <cfvo type="max"/>
        <color rgb="FF63C384"/>
      </dataBar>
      <extLst>
        <ext xmlns:x14="http://schemas.microsoft.com/office/spreadsheetml/2009/9/main" uri="{B025F937-C7B1-47D3-B67F-A62EFF666E3E}">
          <x14:id>{9095667E-69EE-4811-BEDE-AFA010708C3B}</x14:id>
        </ext>
      </extLst>
    </cfRule>
    <cfRule type="dataBar" priority="83">
      <dataBar>
        <cfvo type="min"/>
        <cfvo type="max"/>
        <color rgb="FF63C384"/>
      </dataBar>
      <extLst>
        <ext xmlns:x14="http://schemas.microsoft.com/office/spreadsheetml/2009/9/main" uri="{B025F937-C7B1-47D3-B67F-A62EFF666E3E}">
          <x14:id>{00030478-9DDE-4C48-B970-8BFEEA7887D7}</x14:id>
        </ext>
      </extLst>
    </cfRule>
    <cfRule type="dataBar" priority="99">
      <dataBar>
        <cfvo type="min"/>
        <cfvo type="max"/>
        <color rgb="FF63C384"/>
      </dataBar>
      <extLst>
        <ext xmlns:x14="http://schemas.microsoft.com/office/spreadsheetml/2009/9/main" uri="{B025F937-C7B1-47D3-B67F-A62EFF666E3E}">
          <x14:id>{EC7F1560-4E75-4756-AE37-09B82982D1AB}</x14:id>
        </ext>
      </extLst>
    </cfRule>
  </conditionalFormatting>
  <conditionalFormatting sqref="L5:L11">
    <cfRule type="dataBar" priority="119">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7:L20">
    <cfRule type="dataBar" priority="84">
      <dataBar>
        <cfvo type="min"/>
        <cfvo type="max"/>
        <color rgb="FF63C384"/>
      </dataBar>
      <extLst>
        <ext xmlns:x14="http://schemas.microsoft.com/office/spreadsheetml/2009/9/main" uri="{B025F937-C7B1-47D3-B67F-A62EFF666E3E}">
          <x14:id>{4BEF7755-0998-42F9-BE2B-3DDE71DD6879}</x14:id>
        </ext>
      </extLst>
    </cfRule>
  </conditionalFormatting>
  <conditionalFormatting sqref="M10:M11">
    <cfRule type="dataBar" priority="53">
      <dataBar>
        <cfvo type="min"/>
        <cfvo type="max"/>
        <color rgb="FF63C384"/>
      </dataBar>
      <extLst>
        <ext xmlns:x14="http://schemas.microsoft.com/office/spreadsheetml/2009/9/main" uri="{B025F937-C7B1-47D3-B67F-A62EFF666E3E}">
          <x14:id>{CF921376-951B-44A1-A35C-F489AA25CABD}</x14:id>
        </ext>
      </extLst>
    </cfRule>
  </conditionalFormatting>
  <conditionalFormatting sqref="M19:M20">
    <cfRule type="dataBar" priority="85">
      <dataBar>
        <cfvo type="min"/>
        <cfvo type="max"/>
        <color rgb="FF63C384"/>
      </dataBar>
      <extLst>
        <ext xmlns:x14="http://schemas.microsoft.com/office/spreadsheetml/2009/9/main" uri="{B025F937-C7B1-47D3-B67F-A62EFF666E3E}">
          <x14:id>{56FDBD16-DDEB-4D7A-98AA-9D8D76CB1BBA}</x14:id>
        </ext>
      </extLst>
    </cfRule>
  </conditionalFormatting>
  <conditionalFormatting sqref="M5:P9">
    <cfRule type="dataBar" priority="121">
      <dataBar>
        <cfvo type="min"/>
        <cfvo type="max"/>
        <color rgb="FF63C384"/>
      </dataBar>
      <extLst>
        <ext xmlns:x14="http://schemas.microsoft.com/office/spreadsheetml/2009/9/main" uri="{B025F937-C7B1-47D3-B67F-A62EFF666E3E}">
          <x14:id>{418255D3-2B96-41A9-9582-87939D7FAE81}</x14:id>
        </ext>
      </extLst>
    </cfRule>
  </conditionalFormatting>
  <conditionalFormatting sqref="N10:N11">
    <cfRule type="dataBar" priority="52">
      <dataBar>
        <cfvo type="min"/>
        <cfvo type="max"/>
        <color rgb="FF63C384"/>
      </dataBar>
      <extLst>
        <ext xmlns:x14="http://schemas.microsoft.com/office/spreadsheetml/2009/9/main" uri="{B025F937-C7B1-47D3-B67F-A62EFF666E3E}">
          <x14:id>{13101FF6-2EA7-4030-B4D6-DA0DA1C2F6A6}</x14:id>
        </ext>
      </extLst>
    </cfRule>
  </conditionalFormatting>
  <conditionalFormatting sqref="N17:N20">
    <cfRule type="dataBar" priority="86">
      <dataBar>
        <cfvo type="min"/>
        <cfvo type="max"/>
        <color rgb="FF63C384"/>
      </dataBar>
      <extLst>
        <ext xmlns:x14="http://schemas.microsoft.com/office/spreadsheetml/2009/9/main" uri="{B025F937-C7B1-47D3-B67F-A62EFF666E3E}">
          <x14:id>{E359D2BF-B4C7-4D3A-9103-4CBEE70A31B4}</x14:id>
        </ext>
      </extLst>
    </cfRule>
  </conditionalFormatting>
  <conditionalFormatting sqref="O10:O11">
    <cfRule type="dataBar" priority="51">
      <dataBar>
        <cfvo type="min"/>
        <cfvo type="max"/>
        <color rgb="FF63C384"/>
      </dataBar>
      <extLst>
        <ext xmlns:x14="http://schemas.microsoft.com/office/spreadsheetml/2009/9/main" uri="{B025F937-C7B1-47D3-B67F-A62EFF666E3E}">
          <x14:id>{1F18C40A-A33A-4D0B-B57F-47D9D6CF0D64}</x14:id>
        </ext>
      </extLst>
    </cfRule>
  </conditionalFormatting>
  <conditionalFormatting sqref="O17:O20">
    <cfRule type="dataBar" priority="87">
      <dataBar>
        <cfvo type="min"/>
        <cfvo type="max"/>
        <color rgb="FF63C384"/>
      </dataBar>
      <extLst>
        <ext xmlns:x14="http://schemas.microsoft.com/office/spreadsheetml/2009/9/main" uri="{B025F937-C7B1-47D3-B67F-A62EFF666E3E}">
          <x14:id>{26AC0999-7FF4-4431-B91F-7A7C0E85B670}</x14:id>
        </ext>
      </extLst>
    </cfRule>
  </conditionalFormatting>
  <conditionalFormatting sqref="P10:P11">
    <cfRule type="dataBar" priority="50">
      <dataBar>
        <cfvo type="min"/>
        <cfvo type="max"/>
        <color rgb="FF63C384"/>
      </dataBar>
      <extLst>
        <ext xmlns:x14="http://schemas.microsoft.com/office/spreadsheetml/2009/9/main" uri="{B025F937-C7B1-47D3-B67F-A62EFF666E3E}">
          <x14:id>{BA11135A-0895-4A01-87D0-A486C9D5843C}</x14:id>
        </ext>
      </extLst>
    </cfRule>
  </conditionalFormatting>
  <conditionalFormatting sqref="P17:P20">
    <cfRule type="dataBar" priority="88">
      <dataBar>
        <cfvo type="min"/>
        <cfvo type="max"/>
        <color rgb="FF63C384"/>
      </dataBar>
      <extLst>
        <ext xmlns:x14="http://schemas.microsoft.com/office/spreadsheetml/2009/9/main" uri="{B025F937-C7B1-47D3-B67F-A62EFF666E3E}">
          <x14:id>{00154FAC-2C70-4EF2-A308-BA8404420986}</x14:id>
        </ext>
      </extLst>
    </cfRule>
  </conditionalFormatting>
  <hyperlinks>
    <hyperlink ref="B36:C36" r:id="rId1" display="Real Estate Market" xr:uid="{2BE51A66-4E41-4DA7-B002-E969321EA034}"/>
    <hyperlink ref="B37:C37" r:id="rId2" display="Home Rental Market" xr:uid="{73A4D5B0-614C-415B-8CA2-656521F31F5E}"/>
    <hyperlink ref="B38:C38" r:id="rId3" location=":~:text=The%20size%20of%20the%20United%20States%20Residential%20Construction,CAGR%20of%20over%203%25%20during%20the%20forecast%20period." display="US Residencial Construction" xr:uid="{67D81FCC-076D-41DF-A7A5-585AC8200387}"/>
  </hyperlinks>
  <pageMargins left="0.75" right="0.75" top="1" bottom="1" header="0" footer="0"/>
  <pageSetup orientation="landscape" r:id="rId4"/>
  <headerFooter alignWithMargins="0"/>
  <drawing r:id="rId5"/>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B5:B11</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B17:B20</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D5:D11</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D17:D20</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D5:I9</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D17:I20</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E5:E11</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E17:E20</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F5:F11</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F17:F20</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G5:G11</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G17:G20</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H5:H11</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H17:H20</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I5:I11</xm:sqref>
        </x14:conditionalFormatting>
        <x14:conditionalFormatting xmlns:xm="http://schemas.microsoft.com/office/excel/2006/main">
          <x14:cfRule type="dataBar" id="{A192D211-7CF8-4DE2-A7D7-7E84CEAE76AC}">
            <x14:dataBar minLength="0" maxLength="100" gradient="0">
              <x14:cfvo type="autoMin"/>
              <x14:cfvo type="autoMax"/>
              <x14:negativeFillColor rgb="FFFF0000"/>
              <x14:axisColor rgb="FF000000"/>
            </x14:dataBar>
          </x14:cfRule>
          <xm:sqref>I17:I20</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K5:K11</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K17:K20</xm:sqref>
        </x14:conditionalFormatting>
        <x14:conditionalFormatting xmlns:xm="http://schemas.microsoft.com/office/excel/2006/main">
          <x14:cfRule type="dataBar" id="{589E11FE-E342-4D21-9EB3-CB0F15AE87A6}">
            <x14:dataBar minLength="0" maxLength="100" gradient="0">
              <x14:cfvo type="autoMin"/>
              <x14:cfvo type="autoMax"/>
              <x14:negativeFillColor rgb="FFFF0000"/>
              <x14:axisColor rgb="FF000000"/>
            </x14:dataBar>
          </x14:cfRule>
          <x14:cfRule type="dataBar" id="{CBC457F7-3DB8-46A0-988B-11CCF8FF31E5}">
            <x14:dataBar minLength="0" maxLength="100" gradient="0">
              <x14:cfvo type="autoMin"/>
              <x14:cfvo type="autoMax"/>
              <x14:negativeFillColor rgb="FFFF0000"/>
              <x14:axisColor rgb="FF000000"/>
            </x14:dataBar>
          </x14:cfRule>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m:sqref>K17:O20</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K5:P9</xm:sqref>
        </x14:conditionalFormatting>
        <x14:conditionalFormatting xmlns:xm="http://schemas.microsoft.com/office/excel/2006/main">
          <x14:cfRule type="dataBar" id="{A85696C3-3FD4-4347-BBC8-6CEF041D9BC2}">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EC7F1560-4E75-4756-AE37-09B82982D1AB}">
            <x14:dataBar minLength="0" maxLength="100" gradient="0">
              <x14:cfvo type="autoMin"/>
              <x14:cfvo type="autoMax"/>
              <x14:negativeFillColor rgb="FFFF0000"/>
              <x14:axisColor rgb="FF000000"/>
            </x14:dataBar>
          </x14:cfRule>
          <xm:sqref>K17:P20</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L5:L11</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L17:L20</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M10:M11</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M19:M20</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M5:P9</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N10:N11</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N17:N20</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O10:O11</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O17:O20</xm:sqref>
        </x14:conditionalFormatting>
        <x14:conditionalFormatting xmlns:xm="http://schemas.microsoft.com/office/excel/2006/main">
          <x14:cfRule type="dataBar" id="{BA11135A-0895-4A01-87D0-A486C9D5843C}">
            <x14:dataBar minLength="0" maxLength="100" gradient="0">
              <x14:cfvo type="autoMin"/>
              <x14:cfvo type="autoMax"/>
              <x14:negativeFillColor rgb="FFFF0000"/>
              <x14:axisColor rgb="FF000000"/>
            </x14:dataBar>
          </x14:cfRule>
          <xm:sqref>P10:P11</xm:sqref>
        </x14:conditionalFormatting>
        <x14:conditionalFormatting xmlns:xm="http://schemas.microsoft.com/office/excel/2006/main">
          <x14:cfRule type="dataBar" id="{00154FAC-2C70-4EF2-A308-BA8404420986}">
            <x14:dataBar minLength="0" maxLength="100" gradient="0">
              <x14:cfvo type="autoMin"/>
              <x14:cfvo type="autoMax"/>
              <x14:negativeFillColor rgb="FFFF0000"/>
              <x14:axisColor rgb="FF000000"/>
            </x14:dataBar>
          </x14:cfRule>
          <xm:sqref>P17:P20</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
  <sheetViews>
    <sheetView workbookViewId="0"/>
  </sheetViews>
  <sheetFormatPr defaultColWidth="11.42578125" defaultRowHeight="12.75"/>
  <cols>
    <col min="1" max="1" width="27.140625" bestFit="1" customWidth="1"/>
  </cols>
  <sheetData>
    <row r="1" spans="1:1">
      <c r="A1" t="s">
        <v>235</v>
      </c>
    </row>
    <row r="2" spans="1:1">
      <c r="A2" t="s">
        <v>236</v>
      </c>
    </row>
    <row r="3" spans="1:1">
      <c r="A3" t="s">
        <v>237</v>
      </c>
    </row>
    <row r="4" spans="1:1">
      <c r="A4" t="s">
        <v>238</v>
      </c>
    </row>
    <row r="5" spans="1:1">
      <c r="A5" t="s">
        <v>239</v>
      </c>
    </row>
    <row r="6" spans="1:1">
      <c r="A6" s="10" t="s">
        <v>240</v>
      </c>
    </row>
  </sheetData>
  <phoneticPr fontId="82"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N112"/>
  <sheetViews>
    <sheetView showGridLines="0" topLeftCell="A4" zoomScale="119" zoomScaleNormal="100" workbookViewId="0">
      <selection activeCell="V68" sqref="V68"/>
    </sheetView>
  </sheetViews>
  <sheetFormatPr defaultColWidth="11.42578125" defaultRowHeight="12.75"/>
  <cols>
    <col min="1" max="1" width="0.42578125" customWidth="1"/>
    <col min="2" max="2" width="31.7109375" bestFit="1" customWidth="1"/>
    <col min="3" max="4" width="32.140625" customWidth="1"/>
    <col min="5" max="5" width="33.42578125" customWidth="1"/>
    <col min="6" max="6" width="33.85546875" customWidth="1"/>
    <col min="7" max="7" width="32.140625" customWidth="1"/>
    <col min="8" max="8" width="33.140625" customWidth="1"/>
    <col min="9" max="9" width="15.42578125" customWidth="1"/>
    <col min="10" max="10" width="10.7109375" customWidth="1"/>
  </cols>
  <sheetData>
    <row r="1" spans="2:14" ht="15">
      <c r="B1" s="196" t="s">
        <v>241</v>
      </c>
      <c r="C1" s="197" t="s">
        <v>242</v>
      </c>
      <c r="D1" s="1173" t="s">
        <v>208</v>
      </c>
      <c r="E1" s="1173"/>
      <c r="F1" s="1173"/>
      <c r="G1" s="1173"/>
      <c r="H1" s="1173"/>
    </row>
    <row r="2" spans="2:14" ht="81.75" customHeight="1">
      <c r="B2" s="2" t="e" vm="8">
        <v>#VALUE!</v>
      </c>
      <c r="C2" s="378" t="e" vm="3">
        <v>#VALUE!</v>
      </c>
      <c r="D2" s="1170" t="s">
        <v>243</v>
      </c>
      <c r="E2" s="1171"/>
      <c r="F2" s="1171"/>
      <c r="G2" s="1171"/>
      <c r="H2" s="1172"/>
    </row>
    <row r="3" spans="2:14" ht="97.5" customHeight="1">
      <c r="B3" s="826" t="e" vm="9">
        <v>#VALUE!</v>
      </c>
      <c r="C3" s="379" t="e" vm="4">
        <v>#VALUE!</v>
      </c>
      <c r="D3" s="1170" t="s">
        <v>244</v>
      </c>
      <c r="E3" s="1171"/>
      <c r="F3" s="1171"/>
      <c r="G3" s="1171"/>
      <c r="H3" s="1172"/>
    </row>
    <row r="4" spans="2:14" ht="81.75" customHeight="1">
      <c r="B4" s="827" t="e" vm="10">
        <v>#VALUE!</v>
      </c>
      <c r="C4" s="380" t="e" vm="5">
        <v>#VALUE!</v>
      </c>
      <c r="D4" s="1170" t="s">
        <v>245</v>
      </c>
      <c r="E4" s="1171"/>
      <c r="F4" s="1171"/>
      <c r="G4" s="1171"/>
      <c r="H4" s="1172"/>
    </row>
    <row r="5" spans="2:14" ht="81.75" customHeight="1">
      <c r="B5" s="198" t="e" vm="11">
        <v>#VALUE!</v>
      </c>
      <c r="C5" s="381" t="e" vm="6">
        <v>#VALUE!</v>
      </c>
      <c r="D5" s="1170" t="s">
        <v>246</v>
      </c>
      <c r="E5" s="1171"/>
      <c r="F5" s="1171"/>
      <c r="G5" s="1171"/>
      <c r="H5" s="1172"/>
    </row>
    <row r="6" spans="2:14" ht="81.75" customHeight="1">
      <c r="B6" s="826" t="e" vm="12">
        <v>#VALUE!</v>
      </c>
      <c r="C6" s="382" t="e" vm="7">
        <v>#VALUE!</v>
      </c>
      <c r="D6" s="1170" t="s">
        <v>247</v>
      </c>
      <c r="E6" s="1171"/>
      <c r="F6" s="1171"/>
      <c r="G6" s="1171"/>
      <c r="H6" s="1172"/>
      <c r="L6" s="2"/>
    </row>
    <row r="7" spans="2:14" ht="13.5" thickBot="1">
      <c r="B7" s="10"/>
    </row>
    <row r="8" spans="2:14" ht="36" customHeight="1" thickBot="1">
      <c r="B8" s="195" t="s">
        <v>248</v>
      </c>
      <c r="C8" s="372" t="e" vm="1">
        <f>OP!E2</f>
        <v>#VALUE!</v>
      </c>
      <c r="D8" s="373" t="e" vm="3">
        <f>C2</f>
        <v>#VALUE!</v>
      </c>
      <c r="E8" s="374" t="e" vm="4">
        <f>C3</f>
        <v>#VALUE!</v>
      </c>
      <c r="F8" s="375" t="e" vm="5">
        <f>C4</f>
        <v>#VALUE!</v>
      </c>
      <c r="G8" s="622" t="e" vm="6">
        <f>C5</f>
        <v>#VALUE!</v>
      </c>
      <c r="H8" s="377" t="e" vm="7">
        <f>C6</f>
        <v>#VALUE!</v>
      </c>
      <c r="I8" s="191" t="s">
        <v>249</v>
      </c>
      <c r="J8" s="586" t="s">
        <v>250</v>
      </c>
    </row>
    <row r="9" spans="2:14" ht="16.5" customHeight="1" thickBot="1">
      <c r="B9" s="189" t="s">
        <v>251</v>
      </c>
      <c r="C9" s="173"/>
      <c r="D9" s="174"/>
      <c r="E9" s="174"/>
      <c r="F9" s="174"/>
      <c r="G9" s="174"/>
      <c r="H9" s="175"/>
      <c r="I9" s="176" t="str">
        <f>IFERROR(AVERAGE(C9:H9),"")</f>
        <v/>
      </c>
      <c r="J9" s="561"/>
      <c r="L9" s="1177" t="s">
        <v>252</v>
      </c>
      <c r="M9" s="1178"/>
      <c r="N9" s="1179"/>
    </row>
    <row r="10" spans="2:14" ht="13.5" customHeight="1" thickBot="1">
      <c r="B10" s="188" t="s">
        <v>253</v>
      </c>
      <c r="C10" s="171" cm="1">
        <f t="array" aca="1" ref="C10" ca="1">_FV(C8,"Capitalização de mercado",TRUE)/1000000</f>
        <v>26997.46</v>
      </c>
      <c r="D10" s="171" cm="1">
        <f t="array" aca="1" ref="D10" ca="1">_FV(D8,"Market cap",TRUE)/1000000</f>
        <v>18350.318962000001</v>
      </c>
      <c r="E10" s="171" cm="1">
        <f t="array" aca="1" ref="E10" ca="1">_FV(E8,"Market cap",TRUE)/1000000</f>
        <v>8976.4265820000001</v>
      </c>
      <c r="F10" s="171" cm="1">
        <f t="array" aca="1" ref="F10" ca="1">_FV(F8,"Market cap",TRUE)/1000000</f>
        <v>36287.931487000002</v>
      </c>
      <c r="G10" s="171" cm="1">
        <f t="array" aca="1" ref="G10" ca="1">_FV(G8,"Market cap",TRUE)/1000000</f>
        <v>19892.330000000002</v>
      </c>
      <c r="H10" s="171" cm="1">
        <f t="array" aca="1" ref="H10" ca="1">_FV(H8,"Market cap",TRUE)/1000000</f>
        <v>3659.884356</v>
      </c>
      <c r="I10" s="522">
        <f ca="1">IFERROR(AVERAGE(C10:H10),"")</f>
        <v>19027.391897833331</v>
      </c>
      <c r="J10" s="562">
        <f ca="1">SQRT((C10-I10)^2)</f>
        <v>7970.0681021666678</v>
      </c>
      <c r="L10" s="1180"/>
      <c r="M10" s="1175" t="s">
        <v>254</v>
      </c>
      <c r="N10" s="1176"/>
    </row>
    <row r="11" spans="2:14" ht="13.5" thickBot="1">
      <c r="B11" s="493" t="s">
        <v>255</v>
      </c>
      <c r="C11" s="494">
        <f>C56</f>
        <v>34233.366000000002</v>
      </c>
      <c r="D11" s="494">
        <f t="shared" ref="D11:H11" si="0">D56</f>
        <v>16845.999</v>
      </c>
      <c r="E11" s="494">
        <f t="shared" si="0"/>
        <v>9994.9470000000001</v>
      </c>
      <c r="F11" s="494">
        <f t="shared" si="0"/>
        <v>35460.400000000001</v>
      </c>
      <c r="G11" s="494">
        <f t="shared" si="0"/>
        <v>9534.8889999999992</v>
      </c>
      <c r="H11" s="494">
        <f t="shared" si="0"/>
        <v>6410.6289999999999</v>
      </c>
      <c r="I11" s="523">
        <f t="shared" ref="I11:I40" si="1">IFERROR(AVERAGE(C11:H11),"")</f>
        <v>18746.704999999998</v>
      </c>
      <c r="J11" s="563">
        <f t="shared" ref="J11:J50" si="2">SQRT((C11-I11)^2)</f>
        <v>15486.661000000004</v>
      </c>
      <c r="L11" s="1180"/>
      <c r="M11" s="1175"/>
      <c r="N11" s="1176"/>
    </row>
    <row r="12" spans="2:14" ht="16.5" customHeight="1" thickBot="1">
      <c r="B12" s="189" t="s">
        <v>256</v>
      </c>
      <c r="C12" s="194"/>
      <c r="D12" s="194"/>
      <c r="E12" s="194"/>
      <c r="F12" s="194"/>
      <c r="G12" s="194"/>
      <c r="H12" s="194"/>
      <c r="I12" s="524" t="str">
        <f t="shared" si="1"/>
        <v/>
      </c>
      <c r="J12" s="564"/>
      <c r="L12" s="1174"/>
      <c r="M12" s="1175" t="s">
        <v>257</v>
      </c>
      <c r="N12" s="1176"/>
    </row>
    <row r="13" spans="2:14" ht="13.5" thickBot="1">
      <c r="B13" s="188" t="s">
        <v>258</v>
      </c>
      <c r="C13" s="503">
        <f>C56/C55-1</f>
        <v>1.6701488906926132E-2</v>
      </c>
      <c r="D13" s="503">
        <f>D56/D55-1</f>
        <v>5.267894183951638E-2</v>
      </c>
      <c r="E13" s="503">
        <f t="shared" ref="E13:H13" si="3">E56/E55-1</f>
        <v>-2.7308589956866691E-2</v>
      </c>
      <c r="F13" s="503">
        <f t="shared" si="3"/>
        <v>5.915173237753879E-2</v>
      </c>
      <c r="G13" s="503">
        <f t="shared" si="3"/>
        <v>-9.5214525852256759E-2</v>
      </c>
      <c r="H13" s="503">
        <f t="shared" si="3"/>
        <v>-7.1431489086552058E-2</v>
      </c>
      <c r="I13" s="525">
        <f t="shared" si="1"/>
        <v>-1.0903740295282368E-2</v>
      </c>
      <c r="J13" s="565">
        <f t="shared" si="2"/>
        <v>2.7605229202208502E-2</v>
      </c>
      <c r="L13" s="1174"/>
      <c r="M13" s="1175"/>
      <c r="N13" s="1176"/>
    </row>
    <row r="14" spans="2:14" ht="13.5" thickBot="1">
      <c r="B14" s="495" t="s">
        <v>259</v>
      </c>
      <c r="C14" s="496">
        <f>C56/C54-1</f>
        <v>0.52222713326515202</v>
      </c>
      <c r="D14" s="496">
        <f>D56/D54-1</f>
        <v>0.22632344264520721</v>
      </c>
      <c r="E14" s="496">
        <f t="shared" ref="E14:H14" si="4">E56/E54-1</f>
        <v>0.41218261574907755</v>
      </c>
      <c r="F14" s="496">
        <f t="shared" si="4"/>
        <v>0.74586309948747265</v>
      </c>
      <c r="G14" s="496">
        <f t="shared" si="4"/>
        <v>0.26359326109321235</v>
      </c>
      <c r="H14" s="496">
        <f t="shared" si="4"/>
        <v>0.53247964344777432</v>
      </c>
      <c r="I14" s="526">
        <f t="shared" si="1"/>
        <v>0.45044486594798272</v>
      </c>
      <c r="J14" s="566">
        <f t="shared" si="2"/>
        <v>7.1782267317169302E-2</v>
      </c>
      <c r="L14" s="1181"/>
      <c r="M14" s="1175" t="s">
        <v>260</v>
      </c>
      <c r="N14" s="1176"/>
    </row>
    <row r="15" spans="2:14" ht="13.5" thickBot="1">
      <c r="B15" s="504" t="s">
        <v>125</v>
      </c>
      <c r="C15" s="882">
        <f>C59/C56</f>
        <v>0.16473810959751956</v>
      </c>
      <c r="D15" s="505">
        <f t="shared" ref="D15:H15" si="5">D59/D56</f>
        <v>0.20160899926445441</v>
      </c>
      <c r="E15" s="505">
        <f t="shared" si="5"/>
        <v>0.17256269593025356</v>
      </c>
      <c r="F15" s="505">
        <f t="shared" si="5"/>
        <v>0.17206799697690947</v>
      </c>
      <c r="G15" s="505">
        <f t="shared" si="5"/>
        <v>0.20468659886863919</v>
      </c>
      <c r="H15" s="505">
        <f t="shared" si="5"/>
        <v>0.11582857158010548</v>
      </c>
      <c r="I15" s="526">
        <f>IFERROR(AVERAGE(C15:H15),"")</f>
        <v>0.17191549536964693</v>
      </c>
      <c r="J15" s="567">
        <f t="shared" si="2"/>
        <v>7.1773857721273704E-3</v>
      </c>
      <c r="L15" s="1182"/>
      <c r="M15" s="1183"/>
      <c r="N15" s="1184"/>
    </row>
    <row r="16" spans="2:14" ht="13.5" thickBot="1">
      <c r="B16" s="495" t="s">
        <v>261</v>
      </c>
      <c r="C16" s="496">
        <f>C62/C56</f>
        <v>0.11571430048684081</v>
      </c>
      <c r="D16" s="496">
        <f t="shared" ref="D16:H16" si="6">D62/D56</f>
        <v>0.15391613165832435</v>
      </c>
      <c r="E16" s="496">
        <f t="shared" si="6"/>
        <v>0.1372764657981678</v>
      </c>
      <c r="F16" s="496">
        <f t="shared" si="6"/>
        <v>0.13383097765394636</v>
      </c>
      <c r="G16" s="496">
        <f t="shared" si="6"/>
        <v>0.1669249636781299</v>
      </c>
      <c r="H16" s="496">
        <f t="shared" si="6"/>
        <v>9.1395555724719066E-2</v>
      </c>
      <c r="I16" s="526">
        <f t="shared" si="1"/>
        <v>0.13317639916668803</v>
      </c>
      <c r="J16" s="566">
        <f t="shared" si="2"/>
        <v>1.7462098679847216E-2</v>
      </c>
    </row>
    <row r="17" spans="1:10" ht="13.5" thickBot="1">
      <c r="B17" s="504" t="s">
        <v>262</v>
      </c>
      <c r="C17" s="505">
        <f>C62/C74</f>
        <v>0.14902903088185168</v>
      </c>
      <c r="D17" s="505">
        <f t="shared" ref="D17:H17" si="7">D62/D74</f>
        <v>0.24971653884710743</v>
      </c>
      <c r="E17" s="505">
        <f t="shared" si="7"/>
        <v>0.20138416562432757</v>
      </c>
      <c r="F17" s="505">
        <f t="shared" si="7"/>
        <v>0.2051050441051262</v>
      </c>
      <c r="G17" s="505">
        <f t="shared" si="7"/>
        <v>0.364653214120019</v>
      </c>
      <c r="H17" s="505">
        <f t="shared" si="7"/>
        <v>0.15377466444802554</v>
      </c>
      <c r="I17" s="526">
        <f t="shared" si="1"/>
        <v>0.22061044300440957</v>
      </c>
      <c r="J17" s="567">
        <f t="shared" si="2"/>
        <v>7.1581412122557891E-2</v>
      </c>
    </row>
    <row r="18" spans="1:10" ht="13.5" thickBot="1">
      <c r="B18" s="493" t="s">
        <v>263</v>
      </c>
      <c r="C18" s="825">
        <f>(1+C61/(C59+C60))*C59/(C73+C74-C65)</f>
        <v>0.17268841031454107</v>
      </c>
      <c r="D18" s="497">
        <f t="shared" ref="D18:H18" si="8">(1+D61/(D59+D60))*D59/(D73+D74-D65)</f>
        <v>0.3987403011194578</v>
      </c>
      <c r="E18" s="497">
        <f t="shared" si="8"/>
        <v>0.25721386220194375</v>
      </c>
      <c r="F18" s="497">
        <f t="shared" si="8"/>
        <v>0.31175086000922192</v>
      </c>
      <c r="G18" s="497">
        <f t="shared" si="8"/>
        <v>1.034813655204887</v>
      </c>
      <c r="H18" s="497">
        <f t="shared" si="8"/>
        <v>0.19176823784795705</v>
      </c>
      <c r="I18" s="527">
        <f t="shared" si="1"/>
        <v>0.39449588778300143</v>
      </c>
      <c r="J18" s="568">
        <f t="shared" si="2"/>
        <v>0.22180747746846036</v>
      </c>
    </row>
    <row r="19" spans="1:10" ht="16.5" thickBot="1">
      <c r="B19" s="189" t="s">
        <v>264</v>
      </c>
      <c r="C19" s="194"/>
      <c r="D19" s="194"/>
      <c r="E19" s="194"/>
      <c r="F19" s="194"/>
      <c r="G19" s="194"/>
      <c r="H19" s="194"/>
      <c r="I19" s="528" t="str">
        <f t="shared" si="1"/>
        <v/>
      </c>
      <c r="J19" s="564"/>
    </row>
    <row r="20" spans="1:10" ht="13.5" thickBot="1">
      <c r="B20" s="188" t="s">
        <v>69</v>
      </c>
      <c r="C20" s="877">
        <f>C73/C70</f>
        <v>0.13096448770591038</v>
      </c>
      <c r="D20" s="506">
        <f t="shared" ref="D20:H20" si="9">D73/D70</f>
        <v>0.15872332093205405</v>
      </c>
      <c r="E20" s="506">
        <f t="shared" si="9"/>
        <v>0.23823171643882049</v>
      </c>
      <c r="F20" s="506">
        <f t="shared" si="9"/>
        <v>0.15783367707719506</v>
      </c>
      <c r="G20" s="506">
        <f t="shared" si="9"/>
        <v>0.15364076563254297</v>
      </c>
      <c r="H20" s="506">
        <f t="shared" si="9"/>
        <v>0.25817321619971956</v>
      </c>
      <c r="I20" s="529">
        <f>IFERROR(AVERAGE(C20:H20),"")</f>
        <v>0.18292786399770708</v>
      </c>
      <c r="J20" s="569">
        <f t="shared" si="2"/>
        <v>5.1963376291796703E-2</v>
      </c>
    </row>
    <row r="21" spans="1:10" ht="13.5" thickBot="1">
      <c r="B21" s="495" t="s">
        <v>265</v>
      </c>
      <c r="C21" s="498">
        <f>(C73-C65)/C58</f>
        <v>-0.24099709477884476</v>
      </c>
      <c r="D21" s="499">
        <f t="shared" ref="D21:H21" si="10">(D73-D65)/D58</f>
        <v>6.2523509018399329E-2</v>
      </c>
      <c r="E21" s="499">
        <f t="shared" si="10"/>
        <v>0.93506485575396348</v>
      </c>
      <c r="F21" s="499">
        <f t="shared" si="10"/>
        <v>0.20490215074597953</v>
      </c>
      <c r="G21" s="499">
        <f>(G73-G65)/G58</f>
        <v>-1.0889829799764725</v>
      </c>
      <c r="H21" s="499">
        <f t="shared" si="10"/>
        <v>1.2697744519203491</v>
      </c>
      <c r="I21" s="529">
        <f t="shared" si="1"/>
        <v>0.19038081544722898</v>
      </c>
      <c r="J21" s="570">
        <f t="shared" si="2"/>
        <v>0.43137791022607375</v>
      </c>
    </row>
    <row r="22" spans="1:10" ht="13.5" thickBot="1">
      <c r="B22" s="507" t="s">
        <v>266</v>
      </c>
      <c r="C22" s="519">
        <f>-C58/C60</f>
        <v>24.517322444939371</v>
      </c>
      <c r="D22" s="519">
        <f t="shared" ref="D22:H22" si="11">-D58/D60</f>
        <v>-57.817371937639194</v>
      </c>
      <c r="E22" s="519">
        <f t="shared" si="11"/>
        <v>-51.268835567699881</v>
      </c>
      <c r="F22" s="519">
        <f>-F58/F60</f>
        <v>-125.11515151515151</v>
      </c>
      <c r="G22" s="519">
        <f t="shared" si="11"/>
        <v>71.125775054073543</v>
      </c>
      <c r="H22" s="519">
        <f t="shared" si="11"/>
        <v>-56.613634711824986</v>
      </c>
      <c r="I22" s="530">
        <f t="shared" si="1"/>
        <v>-32.52864937221711</v>
      </c>
      <c r="J22" s="571">
        <f t="shared" si="2"/>
        <v>57.045971817156484</v>
      </c>
    </row>
    <row r="23" spans="1:10" ht="16.5" thickBot="1">
      <c r="B23" s="189" t="s">
        <v>267</v>
      </c>
      <c r="C23" s="194"/>
      <c r="D23" s="194"/>
      <c r="E23" s="194"/>
      <c r="F23" s="194"/>
      <c r="G23" s="194"/>
      <c r="H23" s="194"/>
      <c r="I23" s="531"/>
      <c r="J23" s="564"/>
    </row>
    <row r="24" spans="1:10" ht="13.5" thickBot="1">
      <c r="B24" s="500" t="s">
        <v>268</v>
      </c>
      <c r="C24" s="501">
        <f>C68/C72</f>
        <v>4.6880434870142942</v>
      </c>
      <c r="D24" s="501">
        <f t="shared" ref="D24:H24" si="12">D68/D72</f>
        <v>9.8690552173081088</v>
      </c>
      <c r="E24" s="501">
        <f t="shared" si="12"/>
        <v>4.2819255729202048</v>
      </c>
      <c r="F24" s="501">
        <f t="shared" si="12"/>
        <v>14.961747060235181</v>
      </c>
      <c r="G24" s="501">
        <f t="shared" si="12"/>
        <v>4.901891909353882</v>
      </c>
      <c r="H24" s="501">
        <f t="shared" si="12"/>
        <v>7.7035641171102283</v>
      </c>
      <c r="I24" s="532">
        <f t="shared" si="1"/>
        <v>7.73437122732365</v>
      </c>
      <c r="J24" s="572">
        <f t="shared" si="2"/>
        <v>3.0463277403093558</v>
      </c>
    </row>
    <row r="25" spans="1:10" ht="13.5" thickBot="1">
      <c r="B25" s="507" t="s">
        <v>269</v>
      </c>
      <c r="C25" s="508">
        <f>(C65+C66)/C72</f>
        <v>1.3315256694181599</v>
      </c>
      <c r="D25" s="508">
        <f t="shared" ref="D25:H25" si="13">(D65+D66)/D72</f>
        <v>1.6494265346666888</v>
      </c>
      <c r="E25" s="508">
        <f t="shared" si="13"/>
        <v>0.57058469905622178</v>
      </c>
      <c r="F25" s="508">
        <f t="shared" si="13"/>
        <v>2.0640748740100792</v>
      </c>
      <c r="G25" s="508">
        <f t="shared" si="13"/>
        <v>2.6104587019406527</v>
      </c>
      <c r="H25" s="508">
        <f t="shared" si="13"/>
        <v>1.3528685593074021</v>
      </c>
      <c r="I25" s="530">
        <f t="shared" si="1"/>
        <v>1.596489839733201</v>
      </c>
      <c r="J25" s="573">
        <f t="shared" si="2"/>
        <v>0.26496417031504116</v>
      </c>
    </row>
    <row r="26" spans="1:10" ht="16.5" thickBot="1">
      <c r="B26" s="189" t="s">
        <v>270</v>
      </c>
      <c r="C26" s="194"/>
      <c r="D26" s="194"/>
      <c r="E26" s="194"/>
      <c r="F26" s="194"/>
      <c r="G26" s="194"/>
      <c r="H26" s="194"/>
      <c r="I26" s="531" t="str">
        <f t="shared" si="1"/>
        <v/>
      </c>
      <c r="J26" s="564"/>
    </row>
    <row r="27" spans="1:10" ht="13.5" thickBot="1">
      <c r="B27" s="500" t="s">
        <v>271</v>
      </c>
      <c r="C27" s="878">
        <f>C57/C67</f>
        <v>1.5130873806135892</v>
      </c>
      <c r="D27" s="501">
        <f t="shared" ref="D27:H27" si="14">D57/D67</f>
        <v>0.92368420829528874</v>
      </c>
      <c r="E27" s="501">
        <f t="shared" si="14"/>
        <v>0.81266051476454304</v>
      </c>
      <c r="F27" s="501">
        <f t="shared" si="14"/>
        <v>1.1670160414422548</v>
      </c>
      <c r="G27" s="501">
        <f t="shared" si="14"/>
        <v>3.6157208419865139</v>
      </c>
      <c r="H27" s="501">
        <f t="shared" si="14"/>
        <v>0.98097940528037975</v>
      </c>
      <c r="I27" s="532">
        <f t="shared" si="1"/>
        <v>1.5021913987304281</v>
      </c>
      <c r="J27" s="572">
        <f t="shared" si="2"/>
        <v>1.0895981883161099E-2</v>
      </c>
    </row>
    <row r="28" spans="1:10" ht="13.5" thickBot="1">
      <c r="B28" s="504" t="s">
        <v>272</v>
      </c>
      <c r="C28" s="508">
        <f>C56/C66</f>
        <v>20.182268704936298</v>
      </c>
      <c r="D28" s="508">
        <f t="shared" ref="D28:H28" si="15">D56/D66</f>
        <v>71.342959509077744</v>
      </c>
      <c r="E28" s="508">
        <f>E56/E66</f>
        <v>73.503607174637253</v>
      </c>
      <c r="F28" s="508">
        <f t="shared" si="15"/>
        <v>83.064886390255339</v>
      </c>
      <c r="G28" s="508">
        <f>G56/G66</f>
        <v>328.78927586206896</v>
      </c>
      <c r="H28" s="508">
        <f t="shared" si="15"/>
        <v>17.342663907262374</v>
      </c>
      <c r="I28" s="529">
        <f t="shared" si="1"/>
        <v>99.037610258039663</v>
      </c>
      <c r="J28" s="573">
        <f t="shared" si="2"/>
        <v>78.855341553103358</v>
      </c>
    </row>
    <row r="29" spans="1:10" ht="13.5" thickBot="1">
      <c r="A29" s="10" t="s">
        <v>273</v>
      </c>
      <c r="B29" s="495" t="s">
        <v>274</v>
      </c>
      <c r="C29" s="879">
        <f>C57/C71</f>
        <v>17.52717052838053</v>
      </c>
      <c r="D29" s="499">
        <f t="shared" ref="D29:H29" si="16">D57/D71</f>
        <v>14.302644792789341</v>
      </c>
      <c r="E29" s="499">
        <f t="shared" si="16"/>
        <v>3.8273895133773648</v>
      </c>
      <c r="F29" s="499">
        <f t="shared" si="16"/>
        <v>13.483784342078083</v>
      </c>
      <c r="G29" s="499">
        <f t="shared" si="16"/>
        <v>7.9379280686981311</v>
      </c>
      <c r="H29" s="499">
        <f t="shared" si="16"/>
        <v>7.1306915608367092</v>
      </c>
      <c r="I29" s="529">
        <f t="shared" si="1"/>
        <v>10.70160146769336</v>
      </c>
      <c r="J29" s="570">
        <f t="shared" si="2"/>
        <v>6.8255690606871706</v>
      </c>
    </row>
    <row r="30" spans="1:10" ht="13.5" thickBot="1">
      <c r="B30" s="504" t="s">
        <v>275</v>
      </c>
      <c r="C30" s="508">
        <f>C56/C69</f>
        <v>31.833146736098193</v>
      </c>
      <c r="D30" s="508">
        <f t="shared" ref="D30:H30" si="17">D56/D69</f>
        <v>56.362246058724345</v>
      </c>
      <c r="E30" s="508">
        <f t="shared" si="17"/>
        <v>23.419600868837826</v>
      </c>
      <c r="F30" s="508">
        <f t="shared" si="17"/>
        <v>548.92260061919512</v>
      </c>
      <c r="G30" s="508">
        <f t="shared" si="17"/>
        <v>95.13009079118028</v>
      </c>
      <c r="H30" s="508">
        <f t="shared" si="17"/>
        <v>56.714165649273667</v>
      </c>
      <c r="I30" s="529">
        <f t="shared" si="1"/>
        <v>135.39697512055156</v>
      </c>
      <c r="J30" s="573">
        <f t="shared" si="2"/>
        <v>103.56382838445336</v>
      </c>
    </row>
    <row r="31" spans="1:10" ht="13.5" thickBot="1">
      <c r="B31" s="493" t="s">
        <v>276</v>
      </c>
      <c r="C31" s="881">
        <f>C56/C70</f>
        <v>0.87253668346319413</v>
      </c>
      <c r="D31" s="509">
        <f t="shared" ref="D31:H31" si="18">D56/D70</f>
        <v>1.0471776366704897</v>
      </c>
      <c r="E31" s="509">
        <f t="shared" si="18"/>
        <v>0.79787120925347121</v>
      </c>
      <c r="F31" s="509">
        <f t="shared" si="18"/>
        <v>1.0883298958947161</v>
      </c>
      <c r="G31" s="509">
        <f t="shared" si="18"/>
        <v>1.4442956625031791</v>
      </c>
      <c r="H31" s="509">
        <f t="shared" si="18"/>
        <v>0.96424186889943719</v>
      </c>
      <c r="I31" s="529">
        <f t="shared" si="1"/>
        <v>1.0357421594474145</v>
      </c>
      <c r="J31" s="574">
        <f t="shared" si="2"/>
        <v>0.16320547598422042</v>
      </c>
    </row>
    <row r="32" spans="1:10" ht="16.5" thickBot="1">
      <c r="B32" s="190" t="s">
        <v>110</v>
      </c>
      <c r="C32" s="194"/>
      <c r="D32" s="194"/>
      <c r="E32" s="194"/>
      <c r="F32" s="194"/>
      <c r="G32" s="194"/>
      <c r="H32" s="194"/>
      <c r="I32" s="533" t="str">
        <f t="shared" si="1"/>
        <v/>
      </c>
      <c r="J32" s="564"/>
    </row>
    <row r="33" spans="2:11" ht="13.5" thickBot="1">
      <c r="B33" s="188" t="s">
        <v>277</v>
      </c>
      <c r="C33" s="517">
        <f ca="1">C10/C62</f>
        <v>6.8153202618338975</v>
      </c>
      <c r="D33" s="518">
        <f t="shared" ref="D33:H33" ca="1" si="19">D10/D62</f>
        <v>7.0772201787130946</v>
      </c>
      <c r="E33" s="518">
        <f t="shared" ca="1" si="19"/>
        <v>6.5422464158195899</v>
      </c>
      <c r="F33" s="518">
        <f t="shared" ca="1" si="19"/>
        <v>7.6464866061908685</v>
      </c>
      <c r="G33" s="518">
        <f t="shared" ca="1" si="19"/>
        <v>12.498236063962866</v>
      </c>
      <c r="H33" s="518">
        <f t="shared" ca="1" si="19"/>
        <v>6.2465704323070543</v>
      </c>
      <c r="I33" s="532">
        <f t="shared" ca="1" si="1"/>
        <v>7.8043466598045619</v>
      </c>
      <c r="J33" s="575">
        <f t="shared" ca="1" si="2"/>
        <v>0.98902639797066438</v>
      </c>
    </row>
    <row r="34" spans="2:11" ht="13.5" thickBot="1">
      <c r="B34" s="495" t="s">
        <v>273</v>
      </c>
      <c r="C34" s="880">
        <f ca="1">C10/C56</f>
        <v>0.78863001669190225</v>
      </c>
      <c r="D34" s="502">
        <f t="shared" ref="D34:H34" ca="1" si="20">D10/D56</f>
        <v>1.0892983528017544</v>
      </c>
      <c r="E34" s="502">
        <f t="shared" ca="1" si="20"/>
        <v>0.89809646634444384</v>
      </c>
      <c r="F34" s="502">
        <f t="shared" ca="1" si="20"/>
        <v>1.0233367781243303</v>
      </c>
      <c r="G34" s="502">
        <f t="shared" ca="1" si="20"/>
        <v>2.0862676010176946</v>
      </c>
      <c r="H34" s="502">
        <f t="shared" ca="1" si="20"/>
        <v>0.57090877603430179</v>
      </c>
      <c r="I34" s="529">
        <f t="shared" ca="1" si="1"/>
        <v>1.0760896651690712</v>
      </c>
      <c r="J34" s="576">
        <f t="shared" ca="1" si="2"/>
        <v>0.28745964847716898</v>
      </c>
    </row>
    <row r="35" spans="2:11" ht="13.5" thickBot="1">
      <c r="B35" s="504" t="s">
        <v>278</v>
      </c>
      <c r="C35" s="520">
        <f ca="1">C10/C74</f>
        <v>1.0156805737705532</v>
      </c>
      <c r="D35" s="520">
        <f t="shared" ref="D35:H35" ca="1" si="21">D10/D74</f>
        <v>1.7672989276871411</v>
      </c>
      <c r="E35" s="520">
        <f t="shared" ca="1" si="21"/>
        <v>1.3175048357585757</v>
      </c>
      <c r="F35" s="520">
        <f t="shared" ca="1" si="21"/>
        <v>1.5683329726120347</v>
      </c>
      <c r="G35" s="520">
        <f t="shared" ca="1" si="21"/>
        <v>4.5575219515547944</v>
      </c>
      <c r="H35" s="520">
        <f t="shared" ca="1" si="21"/>
        <v>0.96056427217897511</v>
      </c>
      <c r="I35" s="529">
        <f t="shared" ca="1" si="1"/>
        <v>1.8644839222603455</v>
      </c>
      <c r="J35" s="577">
        <f t="shared" ca="1" si="2"/>
        <v>0.84880334848979233</v>
      </c>
    </row>
    <row r="36" spans="2:11" ht="13.5" thickBot="1">
      <c r="B36" s="495" t="s">
        <v>279</v>
      </c>
      <c r="C36" s="880">
        <f ca="1">(C73+C10-C65)/C56</f>
        <v>0.74678195535899095</v>
      </c>
      <c r="D36" s="502">
        <f t="shared" ref="D36:G36" ca="1" si="22">(D73+D10-D65)/D56</f>
        <v>1.1024019390004713</v>
      </c>
      <c r="E36" s="502">
        <f t="shared" ca="1" si="22"/>
        <v>1.0666081152806515</v>
      </c>
      <c r="F36" s="502">
        <f t="shared" ca="1" si="22"/>
        <v>1.0591231764729105</v>
      </c>
      <c r="G36" s="502">
        <f t="shared" ca="1" si="22"/>
        <v>1.8609272745597776</v>
      </c>
      <c r="H36" s="502">
        <f ca="1">(H73+H10-H65)/H56</f>
        <v>0.72519738016347557</v>
      </c>
      <c r="I36" s="529">
        <f t="shared" ca="1" si="1"/>
        <v>1.0935066401393796</v>
      </c>
      <c r="J36" s="576">
        <f t="shared" ca="1" si="2"/>
        <v>0.34672468478038865</v>
      </c>
    </row>
    <row r="37" spans="2:11" ht="13.5" thickBot="1">
      <c r="B37" s="507" t="s">
        <v>280</v>
      </c>
      <c r="C37" s="516">
        <f ca="1">(C73+C10-C65)/C58</f>
        <v>4.3006121655925593</v>
      </c>
      <c r="D37" s="516">
        <f t="shared" ref="D37:H37" ca="1" si="23">(D73+D10-D65)/D58</f>
        <v>5.2600896067479379</v>
      </c>
      <c r="E37" s="516">
        <f t="shared" ca="1" si="23"/>
        <v>5.9185686553839938</v>
      </c>
      <c r="F37" s="516">
        <f t="shared" ca="1" si="23"/>
        <v>6.0642206754182011</v>
      </c>
      <c r="G37" s="516">
        <f t="shared" ca="1" si="23"/>
        <v>8.9931445508403574</v>
      </c>
      <c r="H37" s="516">
        <f t="shared" ca="1" si="23"/>
        <v>5.96827686094176</v>
      </c>
      <c r="I37" s="530">
        <f t="shared" ca="1" si="1"/>
        <v>6.0841520858208016</v>
      </c>
      <c r="J37" s="578">
        <f t="shared" ca="1" si="2"/>
        <v>1.7835399202282423</v>
      </c>
    </row>
    <row r="38" spans="2:11" ht="16.5" thickBot="1">
      <c r="B38" s="190" t="s">
        <v>281</v>
      </c>
      <c r="C38" s="194"/>
      <c r="D38" s="194"/>
      <c r="E38" s="194"/>
      <c r="F38" s="194"/>
      <c r="G38" s="194"/>
      <c r="H38" s="194"/>
      <c r="I38" s="534" t="str">
        <f t="shared" si="1"/>
        <v/>
      </c>
      <c r="J38" s="564"/>
    </row>
    <row r="39" spans="2:11" ht="13.5" thickBot="1">
      <c r="B39" s="188" t="s">
        <v>46</v>
      </c>
      <c r="C39" s="521">
        <f>OP!M20</f>
        <v>0.997</v>
      </c>
      <c r="D39" s="521">
        <v>0.99156699999999998</v>
      </c>
      <c r="E39" s="521">
        <v>0.98791700000000005</v>
      </c>
      <c r="F39" s="521">
        <f>321.14/325.84</f>
        <v>0.98557574269580162</v>
      </c>
      <c r="G39" s="521">
        <f>3.03/3.08</f>
        <v>0.98376623376623373</v>
      </c>
      <c r="H39" s="521">
        <f>72.44/75.2</f>
        <v>0.96329787234042552</v>
      </c>
      <c r="I39" s="525">
        <f t="shared" si="1"/>
        <v>0.98485397480041026</v>
      </c>
      <c r="J39" s="579">
        <f t="shared" si="2"/>
        <v>1.2146025199589738E-2</v>
      </c>
    </row>
    <row r="40" spans="2:11" ht="13.5" thickBot="1">
      <c r="B40" s="510" t="s">
        <v>282</v>
      </c>
      <c r="C40" s="511">
        <f ca="1">OP!M22</f>
        <v>1.5242</v>
      </c>
      <c r="D40" s="511">
        <v>1.63</v>
      </c>
      <c r="E40" s="511">
        <v>1.66</v>
      </c>
      <c r="F40" s="511">
        <v>1.73</v>
      </c>
      <c r="G40" s="511">
        <v>1.19</v>
      </c>
      <c r="H40" s="511">
        <v>1.81</v>
      </c>
      <c r="I40" s="535">
        <f t="shared" ca="1" si="1"/>
        <v>1.5907</v>
      </c>
      <c r="J40" s="580">
        <f t="shared" ca="1" si="2"/>
        <v>6.6500000000000004E-2</v>
      </c>
    </row>
    <row r="41" spans="2:11" ht="13.5" thickBot="1">
      <c r="B41" s="507" t="s">
        <v>283</v>
      </c>
      <c r="C41" s="514">
        <f ca="1">OP!M32</f>
        <v>8.7700538945558182E-3</v>
      </c>
      <c r="D41" s="515">
        <v>8.0000000000000002E-3</v>
      </c>
      <c r="E41" s="515">
        <v>6.0000000000000001E-3</v>
      </c>
      <c r="F41" s="515">
        <v>6.1999999999999998E-3</v>
      </c>
      <c r="G41" s="515">
        <v>0</v>
      </c>
      <c r="H41" s="515">
        <v>1.1299999999999999E-2</v>
      </c>
      <c r="I41" s="526">
        <f ca="1">IFERROR(AVERAGE(C41:H41),"")</f>
        <v>6.7116756490926367E-3</v>
      </c>
      <c r="J41" s="581">
        <f t="shared" ca="1" si="2"/>
        <v>2.0583782454631815E-3</v>
      </c>
    </row>
    <row r="42" spans="2:11" ht="16.5" thickBot="1">
      <c r="B42" s="190" t="s">
        <v>284</v>
      </c>
      <c r="C42" s="194"/>
      <c r="D42" s="194"/>
      <c r="E42" s="194"/>
      <c r="F42" s="194"/>
      <c r="G42" s="194"/>
      <c r="H42" s="194"/>
      <c r="I42" s="536"/>
      <c r="J42" s="564"/>
    </row>
    <row r="43" spans="2:11" ht="13.5" thickBot="1">
      <c r="B43" s="192" t="s">
        <v>285</v>
      </c>
      <c r="C43" s="627">
        <v>0.65980000000000005</v>
      </c>
      <c r="D43" s="627">
        <v>0.91879999999999995</v>
      </c>
      <c r="E43" s="627">
        <v>1.1140000000000001</v>
      </c>
      <c r="F43" s="627">
        <v>0.80030000000000001</v>
      </c>
      <c r="G43" s="627">
        <v>0.64800000000000002</v>
      </c>
      <c r="H43" s="627">
        <v>0.93969999999999998</v>
      </c>
      <c r="I43" s="525">
        <f>IFERROR(AVERAGE(C43:H43),"")</f>
        <v>0.84676666666666678</v>
      </c>
      <c r="J43" s="556">
        <f t="shared" si="2"/>
        <v>0.18696666666666673</v>
      </c>
    </row>
    <row r="44" spans="2:11" ht="13.5" thickBot="1">
      <c r="B44" s="495" t="s">
        <v>286</v>
      </c>
      <c r="C44" s="628">
        <v>1.4367000000000001</v>
      </c>
      <c r="D44" s="628">
        <v>2.0371999999999999</v>
      </c>
      <c r="E44" s="628">
        <v>1.7275100000000001</v>
      </c>
      <c r="F44" s="628">
        <f>193.01/84.29-1</f>
        <v>1.2898327203701503</v>
      </c>
      <c r="G44" s="628">
        <f>9510.35/4810</f>
        <v>1.9772037422037423</v>
      </c>
      <c r="H44" s="628">
        <f>88.47/38.96</f>
        <v>2.2707905544147842</v>
      </c>
      <c r="I44" s="525">
        <f t="shared" ref="I44:I47" si="24">IFERROR(AVERAGE(C44:H44),"")</f>
        <v>1.7898728361647798</v>
      </c>
      <c r="J44" s="582">
        <f t="shared" si="2"/>
        <v>0.35317283616477968</v>
      </c>
    </row>
    <row r="45" spans="2:11" ht="13.5" thickBot="1">
      <c r="B45" s="193" t="s">
        <v>287</v>
      </c>
      <c r="C45" s="644" cm="1">
        <f t="array" aca="1" ref="C45" ca="1">_FV(C8,"Preço")</f>
        <v>97.251000000000005</v>
      </c>
      <c r="D45" s="644" cm="1">
        <f t="array" aca="1" ref="D45" ca="1">_FV(D8,"Price")</f>
        <v>91.03</v>
      </c>
      <c r="E45" s="644" cm="1">
        <f t="array" aca="1" ref="E45" ca="1">_FV(E8,"Price")</f>
        <v>90.272499999999994</v>
      </c>
      <c r="F45" s="644" cm="1">
        <f t="array" aca="1" ref="F45" ca="1">_FV(F8,"Price")</f>
        <v>115.155</v>
      </c>
      <c r="G45" s="644" cm="1">
        <f t="array" aca="1" ref="G45" ca="1">_FV(G8,"Price")</f>
        <v>6733.22</v>
      </c>
      <c r="H45" s="644" cm="1">
        <f t="array" aca="1" ref="H45" ca="1">_FV(H8,"Price")</f>
        <v>51.225000000000001</v>
      </c>
      <c r="I45" s="525">
        <f t="shared" ca="1" si="24"/>
        <v>1196.3589166666668</v>
      </c>
      <c r="J45" s="583">
        <f t="shared" ca="1" si="2"/>
        <v>1099.1079166666668</v>
      </c>
    </row>
    <row r="46" spans="2:11" ht="13.5" thickBot="1">
      <c r="B46" s="495" t="s">
        <v>288</v>
      </c>
      <c r="C46" s="824">
        <v>198.47</v>
      </c>
      <c r="D46" s="824">
        <v>143.75</v>
      </c>
      <c r="E46" s="824">
        <v>154.59</v>
      </c>
      <c r="F46" s="824">
        <v>189.21</v>
      </c>
      <c r="G46" s="824">
        <v>9216.67</v>
      </c>
      <c r="H46" s="824">
        <v>78.17</v>
      </c>
      <c r="I46" s="525">
        <f t="shared" si="24"/>
        <v>1663.4766666666667</v>
      </c>
      <c r="J46" s="584">
        <f t="shared" si="2"/>
        <v>1465.0066666666667</v>
      </c>
    </row>
    <row r="47" spans="2:11" ht="13.5" thickBot="1">
      <c r="B47" s="512" t="s">
        <v>289</v>
      </c>
      <c r="C47" s="513">
        <f ca="1">C46/C45-1</f>
        <v>1.0408016370011617</v>
      </c>
      <c r="D47" s="513">
        <f ca="1">D46/D45-1</f>
        <v>0.57914973085795896</v>
      </c>
      <c r="E47" s="513">
        <f t="shared" ref="E47:H47" ca="1" si="25">E46/E45-1</f>
        <v>0.71248165277354691</v>
      </c>
      <c r="F47" s="513">
        <f t="shared" ca="1" si="25"/>
        <v>0.64308974859971357</v>
      </c>
      <c r="G47" s="513">
        <f t="shared" ca="1" si="25"/>
        <v>0.36883541604165604</v>
      </c>
      <c r="H47" s="513">
        <f t="shared" ca="1" si="25"/>
        <v>0.52601268911664234</v>
      </c>
      <c r="I47" s="537">
        <f t="shared" ca="1" si="24"/>
        <v>0.64506181239844651</v>
      </c>
      <c r="J47" s="585">
        <f t="shared" ca="1" si="2"/>
        <v>0.39573982460271517</v>
      </c>
    </row>
    <row r="48" spans="2:11" ht="16.5" thickBot="1">
      <c r="B48" s="190" t="s">
        <v>290</v>
      </c>
      <c r="C48" s="190"/>
      <c r="D48" s="190"/>
      <c r="E48" s="190"/>
      <c r="F48" s="190"/>
      <c r="G48" s="190"/>
      <c r="H48" s="190"/>
      <c r="I48" s="190" t="str">
        <f>IFERROR(AVERAGE(C48:H48),"")</f>
        <v/>
      </c>
      <c r="J48" s="555"/>
      <c r="K48" s="559"/>
    </row>
    <row r="49" spans="2:11" ht="13.5" thickBot="1">
      <c r="B49" s="192" t="s">
        <v>291</v>
      </c>
      <c r="C49" s="587">
        <f>(Inputs!B58-Inputs!E58)/Inputs!E58</f>
        <v>0.23597291222242905</v>
      </c>
      <c r="D49" s="429">
        <v>0.23113</v>
      </c>
      <c r="E49" s="429">
        <v>0.25623299999999999</v>
      </c>
      <c r="F49" s="429">
        <f>4304.1/1421.6-1</f>
        <v>2.0276449071468772</v>
      </c>
      <c r="G49" s="429">
        <f>1497.933/925.269</f>
        <v>1.618916228685928</v>
      </c>
      <c r="H49" s="429">
        <f>1082.699/310.678</f>
        <v>3.484955484456576</v>
      </c>
      <c r="I49" s="537">
        <f>IFERROR(AVERAGE(C49:H49),"")</f>
        <v>1.3091420887519682</v>
      </c>
      <c r="J49" s="556">
        <f t="shared" si="2"/>
        <v>1.0731691765295392</v>
      </c>
      <c r="K49" s="429"/>
    </row>
    <row r="50" spans="2:11">
      <c r="B50" s="557" t="s">
        <v>292</v>
      </c>
      <c r="C50" s="172" t="s">
        <v>293</v>
      </c>
      <c r="D50" s="172" t="s">
        <v>293</v>
      </c>
      <c r="E50" s="172" t="s">
        <v>293</v>
      </c>
      <c r="F50" s="172" t="s">
        <v>293</v>
      </c>
      <c r="G50" s="172" t="s">
        <v>293</v>
      </c>
      <c r="H50" s="172" t="s">
        <v>293</v>
      </c>
      <c r="I50" s="537" t="str">
        <f>IFERROR(AVERAGE(C50:H50),"")</f>
        <v/>
      </c>
      <c r="J50" s="558" t="e">
        <f t="shared" si="2"/>
        <v>#VALUE!</v>
      </c>
      <c r="K50" s="560"/>
    </row>
    <row r="51" spans="2:11" ht="13.5" thickBot="1"/>
    <row r="52" spans="2:11" ht="16.5" thickBot="1">
      <c r="B52" s="481" t="s">
        <v>294</v>
      </c>
      <c r="C52" s="480" t="e" vm="1">
        <f>OP!E2</f>
        <v>#VALUE!</v>
      </c>
      <c r="D52" s="373" t="e" vm="3">
        <f>D8</f>
        <v>#VALUE!</v>
      </c>
      <c r="E52" s="374" t="e" vm="4">
        <f>E8</f>
        <v>#VALUE!</v>
      </c>
      <c r="F52" s="375" t="e" vm="5">
        <f>F8</f>
        <v>#VALUE!</v>
      </c>
      <c r="G52" s="376" t="e" vm="6">
        <f>G8</f>
        <v>#VALUE!</v>
      </c>
      <c r="H52" s="623" t="e" vm="7">
        <f>H8</f>
        <v>#VALUE!</v>
      </c>
    </row>
    <row r="53" spans="2:11" ht="13.5" thickBot="1">
      <c r="B53" s="182" t="s">
        <v>295</v>
      </c>
      <c r="C53" s="183"/>
      <c r="D53" s="183"/>
      <c r="E53" s="183"/>
      <c r="F53" s="183"/>
      <c r="G53" s="183"/>
      <c r="H53" s="184"/>
    </row>
    <row r="54" spans="2:11" ht="13.5" thickBot="1">
      <c r="B54" s="177" t="s">
        <v>296</v>
      </c>
      <c r="C54" s="199">
        <f>'Fin. Data'!E5</f>
        <v>22489</v>
      </c>
      <c r="D54" s="172">
        <v>13736.995000000001</v>
      </c>
      <c r="E54" s="172">
        <v>7077.6589999999997</v>
      </c>
      <c r="F54" s="172">
        <v>20311.099999999999</v>
      </c>
      <c r="G54" s="172">
        <v>7545.8530000000001</v>
      </c>
      <c r="H54" s="180">
        <v>4183.174</v>
      </c>
    </row>
    <row r="55" spans="2:11">
      <c r="B55" s="177" t="s">
        <v>297</v>
      </c>
      <c r="C55" s="199">
        <f>'Fin. Data'!C5</f>
        <v>33671.01</v>
      </c>
      <c r="D55" s="172">
        <v>16002.978999999999</v>
      </c>
      <c r="E55" s="172">
        <v>10275.558000000001</v>
      </c>
      <c r="F55" s="172">
        <v>33480</v>
      </c>
      <c r="G55" s="172">
        <v>10538.287</v>
      </c>
      <c r="H55" s="180">
        <v>6903.7759999999998</v>
      </c>
    </row>
    <row r="56" spans="2:11">
      <c r="B56" s="177" t="s">
        <v>255</v>
      </c>
      <c r="C56" s="199">
        <f>'Fin. Data'!B5</f>
        <v>34233.366000000002</v>
      </c>
      <c r="D56" s="172">
        <v>16845.999</v>
      </c>
      <c r="E56" s="172">
        <v>9994.9470000000001</v>
      </c>
      <c r="F56" s="172">
        <v>35460.400000000001</v>
      </c>
      <c r="G56" s="172">
        <v>9534.8889999999992</v>
      </c>
      <c r="H56" s="180">
        <v>6410.6289999999999</v>
      </c>
    </row>
    <row r="57" spans="2:11">
      <c r="B57" s="177" t="s">
        <v>298</v>
      </c>
      <c r="C57" s="199">
        <f>'Fin. Data'!B5-'Fin. Data'!B8</f>
        <v>28593.826000000001</v>
      </c>
      <c r="D57" s="172">
        <v>10895.197</v>
      </c>
      <c r="E57" s="172">
        <v>7360.7359999999999</v>
      </c>
      <c r="F57" s="172">
        <v>26110</v>
      </c>
      <c r="G57" s="172">
        <v>7051.1980000000003</v>
      </c>
      <c r="H57" s="180">
        <v>5036.0010000000002</v>
      </c>
    </row>
    <row r="58" spans="2:11" ht="13.5" thickBot="1">
      <c r="B58" s="177" t="s">
        <v>53</v>
      </c>
      <c r="C58" s="199">
        <f>'Fin. Data'!B16</f>
        <v>5944.47</v>
      </c>
      <c r="D58" s="172">
        <v>3530.56</v>
      </c>
      <c r="E58" s="172">
        <v>1801.2280000000001</v>
      </c>
      <c r="F58" s="172">
        <v>6193.2</v>
      </c>
      <c r="G58" s="172">
        <v>1973.029</v>
      </c>
      <c r="H58" s="180">
        <v>778.947</v>
      </c>
    </row>
    <row r="59" spans="2:11" ht="13.5" thickBot="1">
      <c r="B59" s="177" t="s">
        <v>299</v>
      </c>
      <c r="C59" s="479">
        <f>'Fin. Data'!B8</f>
        <v>5639.54</v>
      </c>
      <c r="D59" s="172">
        <v>3396.3049999999998</v>
      </c>
      <c r="E59" s="172">
        <v>1724.7550000000001</v>
      </c>
      <c r="F59" s="172">
        <v>6101.6</v>
      </c>
      <c r="G59" s="172">
        <v>1951.664</v>
      </c>
      <c r="H59" s="180">
        <v>742.53399999999999</v>
      </c>
    </row>
    <row r="60" spans="2:11" ht="13.5" thickBot="1">
      <c r="B60" s="177" t="s">
        <v>300</v>
      </c>
      <c r="C60" s="479">
        <f>'Fin. Data'!B11</f>
        <v>-242.46</v>
      </c>
      <c r="D60" s="172">
        <v>61.064</v>
      </c>
      <c r="E60" s="172">
        <v>35.133000000000003</v>
      </c>
      <c r="F60" s="371">
        <v>49.5</v>
      </c>
      <c r="G60" s="172">
        <v>-27.74</v>
      </c>
      <c r="H60" s="180">
        <v>13.759</v>
      </c>
    </row>
    <row r="61" spans="2:11" ht="13.5" thickBot="1">
      <c r="B61" s="177" t="s">
        <v>301</v>
      </c>
      <c r="C61" s="479">
        <f>'Fin. Data'!B18</f>
        <v>-1241.01</v>
      </c>
      <c r="D61" s="172">
        <v>846.89499999999998</v>
      </c>
      <c r="E61" s="172">
        <v>470.3</v>
      </c>
      <c r="F61" s="172">
        <v>1519.5</v>
      </c>
      <c r="G61" s="172">
        <v>336.762</v>
      </c>
      <c r="H61" s="180">
        <v>181.1</v>
      </c>
    </row>
    <row r="62" spans="2:11" ht="13.5" thickBot="1">
      <c r="B62" s="177" t="s">
        <v>65</v>
      </c>
      <c r="C62" s="479">
        <f>'Fin. Data'!B20</f>
        <v>3961.29</v>
      </c>
      <c r="D62" s="172">
        <v>2592.8710000000001</v>
      </c>
      <c r="E62" s="172">
        <v>1372.0709999999999</v>
      </c>
      <c r="F62" s="172">
        <v>4745.7</v>
      </c>
      <c r="G62" s="172">
        <v>1591.6110000000001</v>
      </c>
      <c r="H62" s="180">
        <v>585.90300000000002</v>
      </c>
    </row>
    <row r="63" spans="2:11" ht="13.5" thickBot="1">
      <c r="B63" s="177" t="s">
        <v>302</v>
      </c>
      <c r="C63" s="479" t="s">
        <v>293</v>
      </c>
      <c r="D63" s="172" t="s">
        <v>293</v>
      </c>
      <c r="E63" s="172" t="s">
        <v>293</v>
      </c>
      <c r="F63" s="172" t="s">
        <v>293</v>
      </c>
      <c r="G63" s="172" t="s">
        <v>293</v>
      </c>
      <c r="H63" s="172" t="s">
        <v>293</v>
      </c>
    </row>
    <row r="64" spans="2:11" ht="13.5" thickBot="1">
      <c r="B64" s="185" t="s">
        <v>303</v>
      </c>
      <c r="C64" s="186"/>
      <c r="D64" s="186"/>
      <c r="E64" s="186"/>
      <c r="F64" s="186"/>
      <c r="G64" s="186"/>
      <c r="H64" s="187"/>
    </row>
    <row r="65" spans="2:8" ht="13.5" thickBot="1">
      <c r="B65" s="177" t="s">
        <v>304</v>
      </c>
      <c r="C65" s="199">
        <f>'Fin. Data'!B36</f>
        <v>6570.9</v>
      </c>
      <c r="D65" s="172">
        <v>2332.6469999999999</v>
      </c>
      <c r="E65" s="172">
        <v>1300.068</v>
      </c>
      <c r="F65" s="172">
        <v>3873.6</v>
      </c>
      <c r="G65" s="172">
        <v>3162.8939999999998</v>
      </c>
      <c r="H65" s="180">
        <v>727.34199999999998</v>
      </c>
    </row>
    <row r="66" spans="2:8" ht="13.5" thickBot="1">
      <c r="B66" s="177" t="s">
        <v>305</v>
      </c>
      <c r="C66" s="199">
        <f>'Fin. Data'!B37</f>
        <v>1696.21</v>
      </c>
      <c r="D66" s="172">
        <v>236.12700000000001</v>
      </c>
      <c r="E66" s="172">
        <v>135.97900000000001</v>
      </c>
      <c r="F66" s="172">
        <v>426.9</v>
      </c>
      <c r="G66" s="172">
        <v>29</v>
      </c>
      <c r="H66" s="180">
        <v>369.64499999999998</v>
      </c>
    </row>
    <row r="67" spans="2:8" ht="13.5" thickBot="1">
      <c r="B67" s="177" t="s">
        <v>306</v>
      </c>
      <c r="C67" s="199">
        <f>'Fin. Data'!B38</f>
        <v>18897.669999999998</v>
      </c>
      <c r="D67" s="172">
        <v>11795.37</v>
      </c>
      <c r="E67" s="172">
        <v>9057.5779999999995</v>
      </c>
      <c r="F67" s="172">
        <v>22373.3</v>
      </c>
      <c r="G67" s="172">
        <v>1950.15</v>
      </c>
      <c r="H67" s="180">
        <v>5133.6459999999997</v>
      </c>
    </row>
    <row r="68" spans="2:8" ht="13.5" thickBot="1">
      <c r="B68" s="177" t="s">
        <v>307</v>
      </c>
      <c r="C68" s="199">
        <f>Inputs!B26</f>
        <v>29106.89</v>
      </c>
      <c r="D68" s="172">
        <v>15369.81</v>
      </c>
      <c r="E68" s="172">
        <v>10776.745999999999</v>
      </c>
      <c r="F68" s="172">
        <v>31172.799999999999</v>
      </c>
      <c r="G68" s="172">
        <v>5993.7049999999999</v>
      </c>
      <c r="H68" s="180">
        <v>6246.5119999999997</v>
      </c>
    </row>
    <row r="69" spans="2:8" ht="13.5" thickBot="1">
      <c r="B69" s="177" t="s">
        <v>308</v>
      </c>
      <c r="C69" s="199">
        <f>'Fin. Data'!B39</f>
        <v>1075.4000000000001</v>
      </c>
      <c r="D69" s="172">
        <v>298.88799999999998</v>
      </c>
      <c r="E69" s="172">
        <v>426.77699999999999</v>
      </c>
      <c r="F69" s="172">
        <v>64.599999999999994</v>
      </c>
      <c r="G69" s="172">
        <v>100.23</v>
      </c>
      <c r="H69" s="180">
        <v>113.03400000000001</v>
      </c>
    </row>
    <row r="70" spans="2:8" ht="13.5" thickBot="1">
      <c r="B70" s="177" t="s">
        <v>42</v>
      </c>
      <c r="C70" s="199">
        <f>'Fin. Data'!B41</f>
        <v>39234.300000000003</v>
      </c>
      <c r="D70" s="172">
        <v>16087.05</v>
      </c>
      <c r="E70" s="172">
        <v>12527.018</v>
      </c>
      <c r="F70" s="172">
        <v>32582.400000000001</v>
      </c>
      <c r="G70" s="172">
        <v>6601.7569999999996</v>
      </c>
      <c r="H70" s="180">
        <v>6648.3620000000001</v>
      </c>
    </row>
    <row r="71" spans="2:8" ht="13.5" thickBot="1">
      <c r="B71" s="177" t="s">
        <v>309</v>
      </c>
      <c r="C71" s="199">
        <f>Inputs!B42</f>
        <v>1631.4</v>
      </c>
      <c r="D71" s="172">
        <v>761.76099999999997</v>
      </c>
      <c r="E71" s="172">
        <v>1923.174</v>
      </c>
      <c r="F71" s="172">
        <v>1936.4</v>
      </c>
      <c r="G71" s="172">
        <v>888.29200000000003</v>
      </c>
      <c r="H71" s="180">
        <v>706.24300000000005</v>
      </c>
    </row>
    <row r="72" spans="2:8" ht="13.5" thickBot="1">
      <c r="B72" s="177" t="s">
        <v>310</v>
      </c>
      <c r="C72" s="199">
        <f>Inputs!B41</f>
        <v>6208.75</v>
      </c>
      <c r="D72" s="172">
        <v>1557.374</v>
      </c>
      <c r="E72" s="172">
        <v>2516.799</v>
      </c>
      <c r="F72" s="172">
        <v>2083.5</v>
      </c>
      <c r="G72" s="172">
        <v>1222.7329999999999</v>
      </c>
      <c r="H72" s="180">
        <v>810.86</v>
      </c>
    </row>
    <row r="73" spans="2:8" ht="13.5" thickBot="1">
      <c r="B73" s="177" t="s">
        <v>311</v>
      </c>
      <c r="C73" s="199">
        <f>'Fin. Data'!B55</f>
        <v>5138.3</v>
      </c>
      <c r="D73" s="172">
        <v>2553.39</v>
      </c>
      <c r="E73" s="172">
        <v>2984.3330000000001</v>
      </c>
      <c r="F73" s="172">
        <v>5142.6000000000004</v>
      </c>
      <c r="G73" s="172">
        <v>1014.299</v>
      </c>
      <c r="H73" s="180">
        <v>1716.4290000000001</v>
      </c>
    </row>
    <row r="74" spans="2:8" ht="13.5" thickBot="1">
      <c r="B74" s="178" t="s">
        <v>312</v>
      </c>
      <c r="C74" s="200">
        <f>'Fin. Data'!B61</f>
        <v>26580.660000000003</v>
      </c>
      <c r="D74" s="179">
        <v>10383.257</v>
      </c>
      <c r="E74" s="179">
        <v>6813.2020000000002</v>
      </c>
      <c r="F74" s="179">
        <v>23137.9</v>
      </c>
      <c r="G74" s="179">
        <v>4364.7250000000004</v>
      </c>
      <c r="H74" s="181">
        <v>3810.14</v>
      </c>
    </row>
    <row r="90" spans="2:6">
      <c r="D90" s="469"/>
      <c r="E90" s="469"/>
      <c r="F90" s="469"/>
    </row>
    <row r="91" spans="2:6">
      <c r="D91" s="469"/>
      <c r="E91" s="469"/>
      <c r="F91" s="469"/>
    </row>
    <row r="92" spans="2:6">
      <c r="D92" s="469"/>
      <c r="E92" s="469"/>
      <c r="F92" s="469"/>
    </row>
    <row r="93" spans="2:6">
      <c r="B93" s="469"/>
      <c r="C93" s="469"/>
      <c r="D93" s="469"/>
      <c r="E93" s="469"/>
      <c r="F93" s="469"/>
    </row>
    <row r="94" spans="2:6">
      <c r="B94" s="469"/>
      <c r="C94" s="469"/>
      <c r="D94" s="469"/>
      <c r="E94" s="469"/>
      <c r="F94" s="469"/>
    </row>
    <row r="95" spans="2:6">
      <c r="B95" s="469"/>
      <c r="C95" s="469"/>
      <c r="D95" s="469"/>
      <c r="E95" s="469"/>
      <c r="F95" s="469"/>
    </row>
    <row r="96" spans="2:6">
      <c r="B96" s="469"/>
      <c r="C96" s="469"/>
      <c r="D96" s="469"/>
      <c r="E96" s="469"/>
      <c r="F96" s="469"/>
    </row>
    <row r="97" spans="2:6">
      <c r="B97" s="469"/>
      <c r="C97" s="469"/>
      <c r="D97" s="469"/>
      <c r="E97" s="469"/>
      <c r="F97" s="469"/>
    </row>
    <row r="98" spans="2:6">
      <c r="B98" s="469"/>
      <c r="C98" s="469"/>
      <c r="D98" s="469"/>
      <c r="E98" s="469"/>
      <c r="F98" s="469"/>
    </row>
    <row r="99" spans="2:6">
      <c r="B99" s="469"/>
      <c r="C99" s="469"/>
      <c r="D99" s="469"/>
      <c r="E99" s="469"/>
      <c r="F99" s="469"/>
    </row>
    <row r="100" spans="2:6">
      <c r="B100" s="469"/>
      <c r="C100" s="469"/>
      <c r="D100" s="469"/>
      <c r="E100" s="469"/>
      <c r="F100" s="469"/>
    </row>
    <row r="101" spans="2:6">
      <c r="B101" s="469"/>
      <c r="C101" s="469"/>
      <c r="D101" s="469"/>
      <c r="E101" s="469"/>
      <c r="F101" s="469"/>
    </row>
    <row r="102" spans="2:6">
      <c r="B102" s="469"/>
      <c r="C102" s="469"/>
      <c r="D102" s="469"/>
      <c r="E102" s="469"/>
      <c r="F102" s="469"/>
    </row>
    <row r="103" spans="2:6">
      <c r="B103" s="469"/>
      <c r="C103" s="469"/>
      <c r="D103" s="469"/>
      <c r="E103" s="469"/>
      <c r="F103" s="469"/>
    </row>
    <row r="104" spans="2:6">
      <c r="B104" s="469"/>
      <c r="C104" s="469"/>
      <c r="D104" s="469"/>
      <c r="E104" s="469"/>
      <c r="F104" s="469"/>
    </row>
    <row r="105" spans="2:6">
      <c r="B105" s="469"/>
      <c r="C105" s="469"/>
      <c r="D105" s="469"/>
      <c r="E105" s="469"/>
      <c r="F105" s="469"/>
    </row>
    <row r="106" spans="2:6">
      <c r="B106" s="469"/>
      <c r="C106" s="469"/>
      <c r="D106" s="469"/>
      <c r="E106" s="469"/>
      <c r="F106" s="469"/>
    </row>
    <row r="107" spans="2:6">
      <c r="B107" s="469"/>
      <c r="C107" s="469"/>
      <c r="D107" s="469"/>
      <c r="E107" s="469"/>
      <c r="F107" s="469"/>
    </row>
    <row r="108" spans="2:6">
      <c r="B108" s="469"/>
      <c r="C108" s="469"/>
      <c r="D108" s="469"/>
      <c r="E108" s="469"/>
      <c r="F108" s="469"/>
    </row>
    <row r="109" spans="2:6">
      <c r="B109" s="469"/>
      <c r="C109" s="469"/>
      <c r="D109" s="469"/>
      <c r="E109" s="469"/>
      <c r="F109" s="469"/>
    </row>
    <row r="110" spans="2:6">
      <c r="B110" s="469"/>
      <c r="C110" s="469"/>
      <c r="D110" s="469"/>
      <c r="E110" s="469"/>
      <c r="F110" s="469"/>
    </row>
    <row r="111" spans="2:6">
      <c r="B111" s="469"/>
      <c r="C111" s="469"/>
      <c r="D111" s="469"/>
      <c r="E111" s="469"/>
      <c r="F111" s="469"/>
    </row>
    <row r="112" spans="2:6">
      <c r="B112" s="469"/>
      <c r="C112" s="469"/>
      <c r="D112" s="469"/>
      <c r="E112" s="469"/>
      <c r="F112" s="469"/>
    </row>
  </sheetData>
  <mergeCells count="13">
    <mergeCell ref="L12:L13"/>
    <mergeCell ref="M12:N13"/>
    <mergeCell ref="L9:N9"/>
    <mergeCell ref="L10:L11"/>
    <mergeCell ref="L14:L15"/>
    <mergeCell ref="M14:N15"/>
    <mergeCell ref="M10:N11"/>
    <mergeCell ref="D6:H6"/>
    <mergeCell ref="D4:H4"/>
    <mergeCell ref="D1:H1"/>
    <mergeCell ref="D2:H2"/>
    <mergeCell ref="D3:H3"/>
    <mergeCell ref="D5:H5"/>
  </mergeCells>
  <phoneticPr fontId="82" type="noConversion"/>
  <pageMargins left="0.7" right="0.7" top="0.75" bottom="0.75" header="0.3" footer="0.3"/>
  <pageSetup orientation="portrait" r:id="rId1"/>
  <ignoredErrors>
    <ignoredError sqref="J46" evalError="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0"/>
  <sheetViews>
    <sheetView showGridLines="0" zoomScale="80" zoomScaleNormal="80" workbookViewId="0">
      <selection activeCell="E6" sqref="E6"/>
    </sheetView>
  </sheetViews>
  <sheetFormatPr defaultColWidth="11.42578125" defaultRowHeight="12.75"/>
  <cols>
    <col min="1" max="1" width="1.140625" style="73" customWidth="1"/>
    <col min="2" max="2" width="59.42578125" style="73" customWidth="1"/>
    <col min="3" max="4" width="12.85546875" style="73" customWidth="1"/>
    <col min="5" max="5" width="11.42578125" style="73" bestFit="1" customWidth="1"/>
    <col min="6" max="6" width="11" style="73" customWidth="1"/>
    <col min="7" max="7" width="10.42578125" style="73" customWidth="1"/>
    <col min="8" max="8" width="20.28515625" style="468" customWidth="1"/>
    <col min="9" max="9" width="22.42578125" style="468" customWidth="1"/>
    <col min="10" max="10" width="64.140625" style="73" customWidth="1"/>
    <col min="11" max="11" width="34.7109375" style="73" bestFit="1" customWidth="1"/>
    <col min="12" max="12" width="21.28515625" style="73" customWidth="1"/>
    <col min="13" max="13" width="19.85546875" style="73" customWidth="1"/>
    <col min="14" max="14" width="20.85546875" style="73" bestFit="1" customWidth="1"/>
    <col min="15" max="15" width="19.85546875" style="73" bestFit="1" customWidth="1"/>
    <col min="16" max="16" width="19.85546875" style="73" customWidth="1"/>
    <col min="17" max="17" width="22.28515625" style="73" bestFit="1" customWidth="1"/>
    <col min="18" max="18" width="11.42578125" style="73" customWidth="1"/>
    <col min="19" max="19" width="10.42578125" style="73" customWidth="1"/>
    <col min="20" max="20" width="12.28515625" style="73" bestFit="1" customWidth="1"/>
    <col min="21" max="21" width="15.42578125" style="73" customWidth="1"/>
    <col min="22" max="22" width="18.140625" style="73" bestFit="1" customWidth="1"/>
    <col min="23" max="23" width="18.28515625" style="73" bestFit="1" customWidth="1"/>
    <col min="24" max="24" width="17.28515625" style="73" bestFit="1" customWidth="1"/>
    <col min="25" max="30" width="11.42578125" style="73"/>
    <col min="31" max="31" width="13" style="73" bestFit="1" customWidth="1"/>
    <col min="32" max="16384" width="11.42578125" style="73"/>
  </cols>
  <sheetData>
    <row r="1" spans="1:24">
      <c r="B1" s="216" t="s">
        <v>313</v>
      </c>
      <c r="C1" s="77"/>
      <c r="D1" s="77"/>
      <c r="E1" s="77"/>
      <c r="F1" s="77"/>
      <c r="G1" s="77"/>
      <c r="H1" s="464"/>
      <c r="I1" s="464"/>
      <c r="J1" s="77"/>
      <c r="T1" s="87" t="s">
        <v>314</v>
      </c>
    </row>
    <row r="2" spans="1:24" ht="13.5" thickBot="1">
      <c r="B2" s="83" t="s">
        <v>315</v>
      </c>
      <c r="C2" s="217" t="s">
        <v>316</v>
      </c>
      <c r="D2" s="77"/>
      <c r="E2" s="77"/>
      <c r="F2" s="77"/>
      <c r="G2" s="77"/>
      <c r="H2" s="464"/>
      <c r="I2" s="464"/>
      <c r="J2" s="77"/>
      <c r="T2" s="87" t="s">
        <v>317</v>
      </c>
    </row>
    <row r="3" spans="1:24" ht="21" thickBot="1">
      <c r="B3" s="1186" t="s">
        <v>318</v>
      </c>
      <c r="C3" s="1186"/>
      <c r="D3" s="1186"/>
      <c r="E3" s="1186"/>
      <c r="F3" s="1186"/>
      <c r="G3" s="1186"/>
      <c r="H3" s="1186"/>
      <c r="I3" s="1186"/>
      <c r="J3" s="1186"/>
      <c r="K3" s="1187" t="s">
        <v>319</v>
      </c>
      <c r="L3" s="1187"/>
      <c r="M3" s="1187"/>
      <c r="N3" s="1187"/>
      <c r="O3" s="1187"/>
      <c r="P3" s="1187"/>
      <c r="Q3" s="1187"/>
    </row>
    <row r="4" spans="1:24" ht="32.25" thickBot="1">
      <c r="B4" s="207" t="s">
        <v>320</v>
      </c>
      <c r="C4" s="237" t="s">
        <v>321</v>
      </c>
      <c r="D4" s="237" t="s">
        <v>322</v>
      </c>
      <c r="E4" s="237" t="s">
        <v>323</v>
      </c>
      <c r="F4" s="237" t="s">
        <v>324</v>
      </c>
      <c r="G4" s="237" t="s">
        <v>325</v>
      </c>
      <c r="H4" s="208" t="s">
        <v>326</v>
      </c>
      <c r="I4" s="208" t="s">
        <v>327</v>
      </c>
      <c r="J4" s="209" t="s">
        <v>328</v>
      </c>
      <c r="K4" s="207" t="s">
        <v>320</v>
      </c>
      <c r="L4" s="240" t="e" vm="1">
        <f>Peers!C8</f>
        <v>#VALUE!</v>
      </c>
      <c r="M4" s="240" t="e" vm="3">
        <f>Peers!D8</f>
        <v>#VALUE!</v>
      </c>
      <c r="N4" s="240" t="e" vm="4">
        <f>Peers!E8</f>
        <v>#VALUE!</v>
      </c>
      <c r="O4" s="240" t="e" vm="5">
        <f>Peers!F8</f>
        <v>#VALUE!</v>
      </c>
      <c r="P4" s="240" t="e" vm="6">
        <f>Peers!G8</f>
        <v>#VALUE!</v>
      </c>
      <c r="Q4" s="240" t="e" vm="7">
        <f>Peers!H8</f>
        <v>#VALUE!</v>
      </c>
      <c r="R4" s="621" t="s">
        <v>249</v>
      </c>
    </row>
    <row r="5" spans="1:24" ht="15">
      <c r="B5" s="218" t="s">
        <v>329</v>
      </c>
      <c r="C5" s="219"/>
      <c r="D5" s="220"/>
      <c r="E5" s="220"/>
      <c r="F5" s="220"/>
      <c r="G5" s="220"/>
      <c r="H5" s="465"/>
      <c r="I5" s="465"/>
      <c r="J5" s="221"/>
      <c r="K5" s="218" t="s">
        <v>330</v>
      </c>
      <c r="L5" s="220"/>
      <c r="M5" s="220"/>
      <c r="N5" s="220"/>
      <c r="O5" s="220"/>
      <c r="P5" s="221"/>
      <c r="Q5" s="221"/>
      <c r="R5" s="221"/>
    </row>
    <row r="6" spans="1:24" ht="38.25">
      <c r="A6" s="73">
        <v>1</v>
      </c>
      <c r="B6" s="212" t="s">
        <v>331</v>
      </c>
      <c r="C6" s="210" t="str">
        <f>VLOOKUP($B$2,'Sector Impact'!$K$4:$AA$16,A6+1,FALSE)</f>
        <v>Very High</v>
      </c>
      <c r="D6" s="210" t="s">
        <v>314</v>
      </c>
      <c r="E6" s="210"/>
      <c r="F6" s="222" t="s">
        <v>314</v>
      </c>
      <c r="G6" s="298"/>
      <c r="H6" s="872" t="s">
        <v>314</v>
      </c>
      <c r="I6" s="211" t="s">
        <v>332</v>
      </c>
      <c r="J6" t="s">
        <v>333</v>
      </c>
      <c r="K6" s="212" t="s">
        <v>334</v>
      </c>
      <c r="L6" s="447">
        <f>L12/L$11</f>
        <v>433.12502556013203</v>
      </c>
      <c r="M6" s="447">
        <f t="shared" ref="M6:O6" si="0">M12/M$11</f>
        <v>409.96856250000002</v>
      </c>
      <c r="N6" s="447">
        <f t="shared" si="0"/>
        <v>0</v>
      </c>
      <c r="O6" s="447">
        <f t="shared" si="0"/>
        <v>18.708676470588234</v>
      </c>
      <c r="P6" s="447">
        <f t="shared" ref="P6:Q9" si="1">P12/P$11</f>
        <v>0</v>
      </c>
      <c r="Q6" s="447">
        <f t="shared" si="1"/>
        <v>576.37325038880249</v>
      </c>
      <c r="R6" s="525">
        <f t="shared" ref="R6:R9" si="2">IFERROR(AVERAGE(L6:Q6),"")</f>
        <v>239.69591915325381</v>
      </c>
    </row>
    <row r="7" spans="1:24" s="77" customFormat="1" ht="38.25">
      <c r="A7" s="77">
        <v>2</v>
      </c>
      <c r="B7" s="212" t="s">
        <v>335</v>
      </c>
      <c r="C7" s="210" t="str">
        <f>VLOOKUP($B$2,'Sector Impact'!$K$4:$AA$16,A7+1,FALSE)</f>
        <v>Very High</v>
      </c>
      <c r="D7" s="210" t="s">
        <v>317</v>
      </c>
      <c r="E7" s="210"/>
      <c r="F7" s="222" t="s">
        <v>314</v>
      </c>
      <c r="G7" s="298"/>
      <c r="H7" s="872" t="s">
        <v>314</v>
      </c>
      <c r="I7" s="211" t="s">
        <v>336</v>
      </c>
      <c r="J7" t="s">
        <v>337</v>
      </c>
      <c r="K7" s="212" t="s">
        <v>338</v>
      </c>
      <c r="L7" s="447">
        <f t="shared" ref="L7:O9" si="3">L13/L$11</f>
        <v>0</v>
      </c>
      <c r="M7" s="447">
        <f t="shared" si="3"/>
        <v>0</v>
      </c>
      <c r="N7" s="447">
        <f t="shared" si="3"/>
        <v>0</v>
      </c>
      <c r="O7" s="447">
        <f t="shared" si="3"/>
        <v>0</v>
      </c>
      <c r="P7" s="447">
        <f t="shared" si="1"/>
        <v>0</v>
      </c>
      <c r="Q7" s="447">
        <f t="shared" si="1"/>
        <v>49.451723172628306</v>
      </c>
      <c r="R7" s="526">
        <f t="shared" si="2"/>
        <v>8.241953862104717</v>
      </c>
    </row>
    <row r="8" spans="1:24" ht="67.5" customHeight="1">
      <c r="A8" s="73">
        <v>3</v>
      </c>
      <c r="B8" s="212" t="s">
        <v>339</v>
      </c>
      <c r="C8" s="210" t="str">
        <f>VLOOKUP($B$2,'Sector Impact'!$K$4:$AA$16,A8+1,FALSE)</f>
        <v>Very High</v>
      </c>
      <c r="D8" s="210" t="s">
        <v>317</v>
      </c>
      <c r="E8" s="210"/>
      <c r="F8" s="222" t="s">
        <v>314</v>
      </c>
      <c r="G8" s="298"/>
      <c r="H8" s="872" t="s">
        <v>314</v>
      </c>
      <c r="I8" s="211" t="s">
        <v>340</v>
      </c>
      <c r="J8" s="211" t="s">
        <v>341</v>
      </c>
      <c r="K8" s="212" t="s">
        <v>342</v>
      </c>
      <c r="L8" s="447">
        <f t="shared" si="3"/>
        <v>0</v>
      </c>
      <c r="M8" s="447">
        <f t="shared" si="3"/>
        <v>0</v>
      </c>
      <c r="N8" s="447">
        <f t="shared" si="3"/>
        <v>0</v>
      </c>
      <c r="O8" s="447">
        <f t="shared" si="3"/>
        <v>0</v>
      </c>
      <c r="P8" s="447">
        <f t="shared" si="1"/>
        <v>0</v>
      </c>
      <c r="Q8" s="447">
        <f t="shared" si="1"/>
        <v>23.304199066874027</v>
      </c>
      <c r="R8" s="526">
        <f>IFERROR(AVERAGE(L8:Q8),"")</f>
        <v>3.8840331778123378</v>
      </c>
    </row>
    <row r="9" spans="1:24" ht="34.5" customHeight="1">
      <c r="A9" s="73">
        <v>4</v>
      </c>
      <c r="B9" s="212" t="s">
        <v>343</v>
      </c>
      <c r="C9" s="210" t="str">
        <f>VLOOKUP($B$2,'Sector Impact'!$K$4:$AA$16,A9+1,FALSE)</f>
        <v>High</v>
      </c>
      <c r="D9" s="210" t="s">
        <v>317</v>
      </c>
      <c r="E9" s="210"/>
      <c r="F9" s="222" t="s">
        <v>314</v>
      </c>
      <c r="G9" s="295"/>
      <c r="H9" s="872" t="s">
        <v>314</v>
      </c>
      <c r="I9" s="884" t="s">
        <v>344</v>
      </c>
      <c r="J9" s="213" t="s">
        <v>345</v>
      </c>
      <c r="K9" s="212" t="s">
        <v>346</v>
      </c>
      <c r="L9" s="447">
        <f t="shared" si="3"/>
        <v>0</v>
      </c>
      <c r="M9" s="447">
        <f t="shared" si="3"/>
        <v>0</v>
      </c>
      <c r="N9" s="447">
        <f t="shared" si="3"/>
        <v>0</v>
      </c>
      <c r="O9" s="447">
        <f t="shared" si="3"/>
        <v>0</v>
      </c>
      <c r="P9" s="447">
        <f t="shared" si="1"/>
        <v>0</v>
      </c>
      <c r="Q9" s="447">
        <f t="shared" si="1"/>
        <v>0</v>
      </c>
      <c r="R9" s="526">
        <f t="shared" si="2"/>
        <v>0</v>
      </c>
    </row>
    <row r="10" spans="1:24" ht="15">
      <c r="A10" s="73">
        <v>5</v>
      </c>
      <c r="B10" s="212" t="s">
        <v>347</v>
      </c>
      <c r="C10" s="210" t="str">
        <f>VLOOKUP($B$2,'Sector Impact'!$K$4:$AA$16,A10+1,FALSE)</f>
        <v>High</v>
      </c>
      <c r="D10" s="210" t="s">
        <v>317</v>
      </c>
      <c r="E10" s="210"/>
      <c r="F10" s="222"/>
      <c r="G10" s="211"/>
      <c r="H10" s="211"/>
      <c r="I10" s="211"/>
      <c r="J10" s="213" t="s">
        <v>348</v>
      </c>
      <c r="K10" s="218" t="s">
        <v>349</v>
      </c>
      <c r="L10" s="220"/>
      <c r="M10" s="220"/>
      <c r="N10" s="220"/>
      <c r="O10" s="220"/>
      <c r="P10" s="220"/>
      <c r="Q10" s="221"/>
      <c r="S10"/>
      <c r="V10" s="77"/>
      <c r="W10" s="77"/>
      <c r="X10" s="77"/>
    </row>
    <row r="11" spans="1:24" ht="15">
      <c r="B11" s="218" t="s">
        <v>350</v>
      </c>
      <c r="C11" s="215"/>
      <c r="D11" s="215"/>
      <c r="E11" s="223"/>
      <c r="F11" s="223"/>
      <c r="G11" s="224"/>
      <c r="H11" s="466"/>
      <c r="I11" s="466"/>
      <c r="J11" s="225"/>
      <c r="K11" s="212" t="s">
        <v>351</v>
      </c>
      <c r="L11" s="448">
        <v>34233</v>
      </c>
      <c r="M11" s="448">
        <v>16000</v>
      </c>
      <c r="N11" s="448">
        <v>9900</v>
      </c>
      <c r="O11" s="293">
        <v>6800</v>
      </c>
      <c r="P11" s="293">
        <v>4800</v>
      </c>
      <c r="Q11" s="448">
        <v>6430</v>
      </c>
      <c r="S11"/>
    </row>
    <row r="12" spans="1:24">
      <c r="A12" s="73">
        <v>6</v>
      </c>
      <c r="B12" s="212" t="s">
        <v>352</v>
      </c>
      <c r="C12" s="210" t="str">
        <f>VLOOKUP($B$2,'Sector Impact'!$K$4:$AA$16,A12+1,FALSE)</f>
        <v>Low</v>
      </c>
      <c r="D12" s="210"/>
      <c r="E12" s="210"/>
      <c r="F12" s="222"/>
      <c r="G12" s="300"/>
      <c r="H12" s="872" t="s">
        <v>353</v>
      </c>
      <c r="I12" s="872" t="s">
        <v>353</v>
      </c>
      <c r="J12" s="226"/>
      <c r="K12" s="212" t="s">
        <v>354</v>
      </c>
      <c r="L12" s="871">
        <v>14827169</v>
      </c>
      <c r="M12" s="871">
        <v>6559497</v>
      </c>
      <c r="N12" s="239"/>
      <c r="O12" s="293">
        <v>127219</v>
      </c>
      <c r="P12" s="239"/>
      <c r="Q12" s="871">
        <v>3706080</v>
      </c>
      <c r="S12"/>
    </row>
    <row r="13" spans="1:24" ht="38.25">
      <c r="A13" s="73">
        <v>7</v>
      </c>
      <c r="B13" s="212" t="s">
        <v>355</v>
      </c>
      <c r="C13" s="210" t="str">
        <f>VLOOKUP($B$2,'Sector Impact'!$K$4:$AA$16,A13+1,FALSE)</f>
        <v>Medium</v>
      </c>
      <c r="D13" s="210" t="s">
        <v>314</v>
      </c>
      <c r="E13" s="210" t="s">
        <v>356</v>
      </c>
      <c r="F13" s="227" t="s">
        <v>317</v>
      </c>
      <c r="G13" s="301"/>
      <c r="H13" s="872" t="s">
        <v>353</v>
      </c>
      <c r="I13" s="872" t="s">
        <v>353</v>
      </c>
      <c r="J13" s="228" t="s">
        <v>357</v>
      </c>
      <c r="K13" s="212" t="s">
        <v>358</v>
      </c>
      <c r="L13" s="239"/>
      <c r="M13" s="871"/>
      <c r="N13" s="239"/>
      <c r="O13" s="239"/>
      <c r="P13" s="239"/>
      <c r="Q13" s="883">
        <v>317974.58</v>
      </c>
      <c r="S13"/>
    </row>
    <row r="14" spans="1:24" ht="25.5">
      <c r="A14" s="73">
        <v>8</v>
      </c>
      <c r="B14" s="229" t="s">
        <v>359</v>
      </c>
      <c r="C14" s="210" t="str">
        <f>VLOOKUP($B$2,'Sector Impact'!$K$4:$AA$16,A14+1,FALSE)</f>
        <v>High</v>
      </c>
      <c r="D14" s="210" t="s">
        <v>317</v>
      </c>
      <c r="E14" s="210" t="s">
        <v>360</v>
      </c>
      <c r="F14" s="222" t="s">
        <v>317</v>
      </c>
      <c r="G14" s="482"/>
      <c r="H14" s="872" t="s">
        <v>353</v>
      </c>
      <c r="I14" s="872" t="s">
        <v>353</v>
      </c>
      <c r="J14" s="228" t="s">
        <v>361</v>
      </c>
      <c r="K14" s="212" t="s">
        <v>362</v>
      </c>
      <c r="L14" s="239"/>
      <c r="M14" s="871"/>
      <c r="N14" s="239"/>
      <c r="O14" s="239"/>
      <c r="P14" s="239"/>
      <c r="Q14" s="293">
        <v>149846</v>
      </c>
      <c r="S14"/>
    </row>
    <row r="15" spans="1:24" ht="25.5">
      <c r="A15" s="73">
        <v>9</v>
      </c>
      <c r="B15" s="229" t="s">
        <v>363</v>
      </c>
      <c r="C15" s="210" t="str">
        <f>VLOOKUP($B$2,'Sector Impact'!$K$4:$AA$16,A15+1,FALSE)</f>
        <v>Very High</v>
      </c>
      <c r="D15" s="210" t="s">
        <v>317</v>
      </c>
      <c r="E15" s="210" t="s">
        <v>360</v>
      </c>
      <c r="F15" s="222" t="s">
        <v>314</v>
      </c>
      <c r="G15" s="482"/>
      <c r="H15" s="872" t="s">
        <v>353</v>
      </c>
      <c r="I15" s="872" t="s">
        <v>353</v>
      </c>
      <c r="J15" s="228" t="s">
        <v>364</v>
      </c>
      <c r="K15" s="212" t="s">
        <v>365</v>
      </c>
      <c r="L15" s="239"/>
      <c r="M15" s="871"/>
      <c r="N15" s="239"/>
      <c r="O15" s="239"/>
      <c r="P15" s="239"/>
      <c r="Q15" s="239"/>
      <c r="S15"/>
    </row>
    <row r="16" spans="1:24" ht="42" customHeight="1">
      <c r="A16" s="73">
        <v>10</v>
      </c>
      <c r="B16" s="212" t="s">
        <v>366</v>
      </c>
      <c r="C16" s="210" t="str">
        <f>VLOOKUP($B$2,'Sector Impact'!$K$4:$AA$16,A16+1,FALSE)</f>
        <v>Medium</v>
      </c>
      <c r="D16" s="210" t="s">
        <v>317</v>
      </c>
      <c r="E16" s="210" t="s">
        <v>360</v>
      </c>
      <c r="F16" s="222" t="s">
        <v>317</v>
      </c>
      <c r="G16" s="482"/>
      <c r="H16" s="872" t="s">
        <v>353</v>
      </c>
      <c r="I16" s="872" t="s">
        <v>353</v>
      </c>
      <c r="J16" s="228" t="s">
        <v>367</v>
      </c>
      <c r="K16" s="218" t="s">
        <v>368</v>
      </c>
      <c r="L16" s="220"/>
      <c r="M16" s="220"/>
      <c r="N16" s="220"/>
      <c r="O16" s="220"/>
      <c r="P16" s="221"/>
      <c r="Q16" s="221"/>
      <c r="S16"/>
    </row>
    <row r="17" spans="1:19" ht="25.5">
      <c r="A17" s="73">
        <v>11</v>
      </c>
      <c r="B17" s="212" t="s">
        <v>369</v>
      </c>
      <c r="C17" s="210" t="str">
        <f>VLOOKUP($B$2,'Sector Impact'!$K$4:$AA$16,A17+1,FALSE)</f>
        <v>Very High</v>
      </c>
      <c r="D17" s="230" t="s">
        <v>317</v>
      </c>
      <c r="E17" s="230" t="s">
        <v>356</v>
      </c>
      <c r="F17" s="230" t="s">
        <v>317</v>
      </c>
      <c r="G17" s="299"/>
      <c r="H17" s="872" t="s">
        <v>353</v>
      </c>
      <c r="I17" s="872" t="s">
        <v>353</v>
      </c>
      <c r="J17" s="228" t="s">
        <v>370</v>
      </c>
      <c r="K17" s="212" t="s">
        <v>371</v>
      </c>
      <c r="L17" s="238" t="s">
        <v>372</v>
      </c>
      <c r="M17" s="238" t="s">
        <v>373</v>
      </c>
      <c r="N17" s="238" t="s">
        <v>374</v>
      </c>
      <c r="O17" s="238" t="s">
        <v>375</v>
      </c>
      <c r="P17" s="238" t="s">
        <v>376</v>
      </c>
      <c r="Q17" s="238" t="s">
        <v>377</v>
      </c>
      <c r="S17"/>
    </row>
    <row r="18" spans="1:19" ht="51" customHeight="1">
      <c r="A18" s="73">
        <v>12</v>
      </c>
      <c r="B18" s="212" t="s">
        <v>378</v>
      </c>
      <c r="C18" s="210" t="str">
        <f>VLOOKUP($B$2,'Sector Impact'!$K$4:$AA$16,A18+1,FALSE)</f>
        <v>Medium</v>
      </c>
      <c r="D18" s="210" t="s">
        <v>314</v>
      </c>
      <c r="E18" s="210" t="s">
        <v>379</v>
      </c>
      <c r="F18" s="222" t="s">
        <v>317</v>
      </c>
      <c r="G18" s="299"/>
      <c r="H18" s="872" t="s">
        <v>353</v>
      </c>
      <c r="I18" s="872" t="s">
        <v>353</v>
      </c>
      <c r="J18" s="884" t="s">
        <v>380</v>
      </c>
      <c r="K18" s="212" t="s">
        <v>381</v>
      </c>
      <c r="L18" s="238" t="s">
        <v>382</v>
      </c>
      <c r="M18" s="238" t="s">
        <v>383</v>
      </c>
      <c r="N18" s="238" t="s">
        <v>384</v>
      </c>
      <c r="O18" s="238" t="s">
        <v>385</v>
      </c>
      <c r="P18" s="238" t="s">
        <v>386</v>
      </c>
      <c r="Q18" s="238" t="s">
        <v>387</v>
      </c>
    </row>
    <row r="19" spans="1:19" ht="38.25">
      <c r="A19" s="73">
        <v>13</v>
      </c>
      <c r="B19" s="212" t="s">
        <v>388</v>
      </c>
      <c r="C19" s="210" t="str">
        <f>VLOOKUP($B$2,'Sector Impact'!$K$4:$AA$16,A19+1,FALSE)</f>
        <v>Very High</v>
      </c>
      <c r="D19" s="210" t="s">
        <v>314</v>
      </c>
      <c r="E19" s="210" t="s">
        <v>356</v>
      </c>
      <c r="F19" s="222" t="s">
        <v>317</v>
      </c>
      <c r="G19" s="299"/>
      <c r="H19" s="872" t="s">
        <v>353</v>
      </c>
      <c r="I19" s="872" t="s">
        <v>353</v>
      </c>
      <c r="J19" s="228" t="s">
        <v>389</v>
      </c>
      <c r="K19" s="212" t="s">
        <v>390</v>
      </c>
      <c r="L19" s="239" t="s">
        <v>391</v>
      </c>
      <c r="M19" s="239" t="s">
        <v>392</v>
      </c>
      <c r="N19" s="239" t="s">
        <v>392</v>
      </c>
      <c r="O19" s="239" t="s">
        <v>391</v>
      </c>
      <c r="P19" s="239" t="s">
        <v>391</v>
      </c>
      <c r="Q19" s="239" t="s">
        <v>393</v>
      </c>
    </row>
    <row r="20" spans="1:19" ht="38.25">
      <c r="A20" s="73">
        <v>14</v>
      </c>
      <c r="B20" s="212" t="s">
        <v>394</v>
      </c>
      <c r="C20" s="210" t="str">
        <f>VLOOKUP($B$2,'Sector Impact'!$K$4:$AA$16,A20+1,FALSE)</f>
        <v>Very High</v>
      </c>
      <c r="D20" s="210" t="s">
        <v>314</v>
      </c>
      <c r="E20" s="210" t="s">
        <v>356</v>
      </c>
      <c r="F20" s="222" t="s">
        <v>317</v>
      </c>
      <c r="G20" s="299"/>
      <c r="H20" s="872" t="s">
        <v>353</v>
      </c>
      <c r="I20" s="872" t="s">
        <v>353</v>
      </c>
      <c r="J20" s="228" t="s">
        <v>395</v>
      </c>
      <c r="K20" s="212" t="s">
        <v>396</v>
      </c>
      <c r="L20" s="238" t="s">
        <v>397</v>
      </c>
      <c r="M20" s="238" t="s">
        <v>398</v>
      </c>
      <c r="N20" s="238" t="s">
        <v>397</v>
      </c>
      <c r="O20" s="238" t="s">
        <v>399</v>
      </c>
      <c r="P20" s="238" t="s">
        <v>397</v>
      </c>
      <c r="Q20" s="238" t="s">
        <v>400</v>
      </c>
    </row>
    <row r="21" spans="1:19">
      <c r="A21" s="73">
        <v>15</v>
      </c>
      <c r="B21" s="212" t="s">
        <v>401</v>
      </c>
      <c r="C21" s="210" t="str">
        <f>VLOOKUP($B$2,'Sector Impact'!$K$4:$AA$16,A21+1,FALSE)</f>
        <v>Very High</v>
      </c>
      <c r="D21" s="210" t="s">
        <v>317</v>
      </c>
      <c r="E21" s="210" t="s">
        <v>356</v>
      </c>
      <c r="F21" s="222" t="s">
        <v>317</v>
      </c>
      <c r="G21" s="299"/>
      <c r="H21" s="872" t="s">
        <v>353</v>
      </c>
      <c r="I21" s="872" t="s">
        <v>353</v>
      </c>
      <c r="J21" s="228" t="s">
        <v>402</v>
      </c>
    </row>
    <row r="22" spans="1:19" ht="38.25">
      <c r="A22" s="73">
        <v>16</v>
      </c>
      <c r="B22" s="212" t="s">
        <v>403</v>
      </c>
      <c r="C22" s="214" t="str">
        <f>VLOOKUP($B$2,'Sector Impact'!$K$4:$AA$16,A22+1,FALSE)</f>
        <v>High</v>
      </c>
      <c r="D22" s="210" t="s">
        <v>314</v>
      </c>
      <c r="E22" s="210" t="s">
        <v>360</v>
      </c>
      <c r="F22" s="222" t="s">
        <v>317</v>
      </c>
      <c r="G22" s="482"/>
      <c r="H22" s="872" t="s">
        <v>353</v>
      </c>
      <c r="I22" s="872" t="s">
        <v>353</v>
      </c>
      <c r="J22" s="213" t="s">
        <v>404</v>
      </c>
    </row>
    <row r="23" spans="1:19" ht="15.75" thickBot="1">
      <c r="B23" s="218" t="s">
        <v>405</v>
      </c>
      <c r="C23" s="231"/>
      <c r="D23" s="215"/>
      <c r="E23" s="223"/>
      <c r="F23" s="223"/>
      <c r="G23" s="224"/>
      <c r="H23" s="466"/>
      <c r="I23" s="466"/>
      <c r="J23" s="225"/>
      <c r="K23" s="1189" t="s">
        <v>406</v>
      </c>
      <c r="L23" s="1190"/>
      <c r="M23" s="1191"/>
    </row>
    <row r="24" spans="1:19" ht="25.5">
      <c r="A24" s="73">
        <v>17</v>
      </c>
      <c r="B24" s="212" t="s">
        <v>407</v>
      </c>
      <c r="C24" s="232"/>
      <c r="D24" s="233"/>
      <c r="E24" s="227" t="s">
        <v>379</v>
      </c>
      <c r="F24" s="227" t="s">
        <v>317</v>
      </c>
      <c r="G24" s="295"/>
      <c r="H24" s="872" t="s">
        <v>353</v>
      </c>
      <c r="I24" s="873" t="s">
        <v>353</v>
      </c>
      <c r="J24" s="234" t="s">
        <v>408</v>
      </c>
      <c r="K24" s="260" t="s">
        <v>409</v>
      </c>
      <c r="L24" s="74" t="s">
        <v>410</v>
      </c>
      <c r="M24" s="75" t="s">
        <v>411</v>
      </c>
      <c r="O24" s="588" t="s">
        <v>252</v>
      </c>
    </row>
    <row r="25" spans="1:19" ht="74.25" customHeight="1">
      <c r="A25" s="73">
        <v>18</v>
      </c>
      <c r="B25" s="212" t="s">
        <v>412</v>
      </c>
      <c r="C25" s="232"/>
      <c r="D25" s="233"/>
      <c r="E25" s="227" t="s">
        <v>356</v>
      </c>
      <c r="F25" s="227" t="s">
        <v>317</v>
      </c>
      <c r="G25" s="295"/>
      <c r="H25" s="872" t="s">
        <v>353</v>
      </c>
      <c r="I25" s="873" t="s">
        <v>353</v>
      </c>
      <c r="J25" s="228" t="s">
        <v>413</v>
      </c>
      <c r="K25" s="201" t="s">
        <v>414</v>
      </c>
      <c r="L25" s="202" t="s">
        <v>356</v>
      </c>
      <c r="M25" s="1192" t="s">
        <v>415</v>
      </c>
      <c r="O25" s="589"/>
    </row>
    <row r="26" spans="1:19" ht="15.75" customHeight="1">
      <c r="A26" s="73">
        <v>19</v>
      </c>
      <c r="B26" s="212" t="s">
        <v>416</v>
      </c>
      <c r="C26" s="232"/>
      <c r="D26" s="233"/>
      <c r="E26" s="227" t="s">
        <v>356</v>
      </c>
      <c r="F26" s="227" t="s">
        <v>317</v>
      </c>
      <c r="G26" s="299"/>
      <c r="H26" s="872" t="s">
        <v>353</v>
      </c>
      <c r="I26" s="873" t="s">
        <v>353</v>
      </c>
      <c r="J26" s="234" t="s">
        <v>417</v>
      </c>
      <c r="K26" s="201" t="s">
        <v>418</v>
      </c>
      <c r="L26" s="202" t="s">
        <v>379</v>
      </c>
      <c r="M26" s="1193"/>
      <c r="O26" s="590"/>
    </row>
    <row r="27" spans="1:19" ht="25.5">
      <c r="A27" s="73">
        <v>20</v>
      </c>
      <c r="B27" s="212" t="s">
        <v>419</v>
      </c>
      <c r="C27" s="232"/>
      <c r="D27" s="233"/>
      <c r="E27" s="227" t="s">
        <v>356</v>
      </c>
      <c r="F27" s="227" t="s">
        <v>317</v>
      </c>
      <c r="G27" s="299"/>
      <c r="H27" s="872" t="s">
        <v>353</v>
      </c>
      <c r="I27" s="873" t="s">
        <v>353</v>
      </c>
      <c r="J27" s="234" t="s">
        <v>420</v>
      </c>
      <c r="K27" s="203" t="s">
        <v>421</v>
      </c>
      <c r="L27" s="204" t="s">
        <v>418</v>
      </c>
      <c r="M27" s="1193"/>
      <c r="O27" s="591"/>
    </row>
    <row r="28" spans="1:19" ht="25.5">
      <c r="A28" s="73">
        <v>21</v>
      </c>
      <c r="B28" s="212" t="s">
        <v>422</v>
      </c>
      <c r="C28" s="232"/>
      <c r="D28" s="233"/>
      <c r="E28" s="227" t="s">
        <v>360</v>
      </c>
      <c r="F28" s="227" t="s">
        <v>317</v>
      </c>
      <c r="G28" s="298"/>
      <c r="H28" s="872" t="s">
        <v>353</v>
      </c>
      <c r="I28" s="873" t="s">
        <v>353</v>
      </c>
      <c r="J28" s="228" t="s">
        <v>423</v>
      </c>
      <c r="K28" s="205" t="s">
        <v>424</v>
      </c>
      <c r="L28" s="206" t="s">
        <v>360</v>
      </c>
      <c r="M28" s="1194"/>
    </row>
    <row r="29" spans="1:19">
      <c r="A29" s="73">
        <v>22</v>
      </c>
      <c r="B29" s="212" t="s">
        <v>425</v>
      </c>
      <c r="C29" s="232"/>
      <c r="D29" s="233"/>
      <c r="E29" s="227" t="s">
        <v>418</v>
      </c>
      <c r="F29" s="227" t="s">
        <v>317</v>
      </c>
      <c r="G29" s="295"/>
      <c r="H29" s="872" t="s">
        <v>353</v>
      </c>
      <c r="I29" s="873" t="s">
        <v>353</v>
      </c>
      <c r="J29" s="228" t="s">
        <v>426</v>
      </c>
    </row>
    <row r="30" spans="1:19" ht="26.1" customHeight="1">
      <c r="A30" s="73">
        <v>23</v>
      </c>
      <c r="B30" s="212" t="s">
        <v>427</v>
      </c>
      <c r="C30" s="232"/>
      <c r="D30" s="233"/>
      <c r="E30" s="227" t="s">
        <v>360</v>
      </c>
      <c r="F30" s="227" t="s">
        <v>317</v>
      </c>
      <c r="G30" s="298"/>
      <c r="H30" s="872" t="s">
        <v>353</v>
      </c>
      <c r="I30" s="873" t="s">
        <v>353</v>
      </c>
      <c r="J30" s="234" t="s">
        <v>428</v>
      </c>
    </row>
    <row r="31" spans="1:19" ht="31.5" customHeight="1">
      <c r="A31" s="73">
        <v>24</v>
      </c>
      <c r="B31" s="235" t="s">
        <v>429</v>
      </c>
      <c r="C31" s="232"/>
      <c r="D31" s="233"/>
      <c r="E31" s="227" t="s">
        <v>356</v>
      </c>
      <c r="F31" s="227" t="s">
        <v>317</v>
      </c>
      <c r="G31" s="299"/>
      <c r="H31" s="872" t="s">
        <v>353</v>
      </c>
      <c r="I31" s="873" t="s">
        <v>353</v>
      </c>
      <c r="J31" s="226" t="s">
        <v>430</v>
      </c>
      <c r="L31" s="553"/>
    </row>
    <row r="32" spans="1:19" ht="13.5" customHeight="1">
      <c r="A32" s="73">
        <v>25</v>
      </c>
      <c r="B32" s="212" t="s">
        <v>431</v>
      </c>
      <c r="C32" s="232"/>
      <c r="D32" s="227" t="s">
        <v>314</v>
      </c>
      <c r="E32" s="227" t="s">
        <v>379</v>
      </c>
      <c r="F32" s="227" t="s">
        <v>317</v>
      </c>
      <c r="G32" s="295"/>
      <c r="H32" s="872" t="s">
        <v>353</v>
      </c>
      <c r="I32" s="873" t="s">
        <v>353</v>
      </c>
      <c r="J32" s="228" t="s">
        <v>432</v>
      </c>
      <c r="L32" s="554"/>
    </row>
    <row r="33" spans="1:27" ht="13.5" customHeight="1">
      <c r="A33" s="73">
        <v>26</v>
      </c>
      <c r="B33" s="212" t="s">
        <v>433</v>
      </c>
      <c r="C33" s="232"/>
      <c r="D33" s="227" t="s">
        <v>314</v>
      </c>
      <c r="E33" s="227" t="s">
        <v>360</v>
      </c>
      <c r="F33" s="227" t="s">
        <v>317</v>
      </c>
      <c r="G33" s="298"/>
      <c r="H33" s="872" t="s">
        <v>353</v>
      </c>
      <c r="I33" s="873" t="s">
        <v>353</v>
      </c>
      <c r="J33" s="228" t="s">
        <v>434</v>
      </c>
      <c r="L33" s="296"/>
      <c r="N33" s="296"/>
    </row>
    <row r="34" spans="1:27" ht="22.5" customHeight="1">
      <c r="A34" s="73">
        <v>27</v>
      </c>
      <c r="B34" s="212" t="s">
        <v>435</v>
      </c>
      <c r="C34" s="232"/>
      <c r="D34" s="236" t="s">
        <v>314</v>
      </c>
      <c r="E34" s="227" t="s">
        <v>356</v>
      </c>
      <c r="F34" s="227" t="s">
        <v>317</v>
      </c>
      <c r="G34" s="299"/>
      <c r="H34" s="872" t="s">
        <v>353</v>
      </c>
      <c r="I34" s="873" t="s">
        <v>353</v>
      </c>
      <c r="J34" s="228" t="s">
        <v>436</v>
      </c>
      <c r="L34" s="297"/>
      <c r="N34" s="297"/>
    </row>
    <row r="35" spans="1:27">
      <c r="B35" s="80"/>
      <c r="C35" s="80"/>
      <c r="D35" s="80"/>
      <c r="E35" s="80"/>
      <c r="F35" s="80"/>
      <c r="G35" s="80"/>
      <c r="H35" s="467"/>
      <c r="I35" s="467"/>
      <c r="J35" s="80"/>
      <c r="T35" s="81"/>
    </row>
    <row r="36" spans="1:27" ht="18">
      <c r="B36" s="82"/>
      <c r="T36" s="81"/>
    </row>
    <row r="37" spans="1:27">
      <c r="K37"/>
      <c r="T37" s="81"/>
    </row>
    <row r="38" spans="1:27">
      <c r="C38"/>
      <c r="D38"/>
      <c r="E38"/>
      <c r="F38"/>
      <c r="G38"/>
      <c r="H38" s="469"/>
      <c r="I38" s="469"/>
      <c r="J38"/>
      <c r="K38"/>
      <c r="L38"/>
      <c r="M38"/>
      <c r="N38"/>
      <c r="O38"/>
      <c r="P38"/>
      <c r="Q38"/>
      <c r="R38"/>
      <c r="S38"/>
      <c r="T38"/>
      <c r="U38"/>
      <c r="V38"/>
      <c r="W38"/>
      <c r="X38"/>
      <c r="Y38"/>
      <c r="Z38"/>
      <c r="AA38"/>
    </row>
    <row r="39" spans="1:27">
      <c r="C39"/>
      <c r="D39"/>
      <c r="E39"/>
      <c r="F39"/>
      <c r="G39"/>
      <c r="H39" s="469"/>
      <c r="I39" s="469"/>
      <c r="J39"/>
      <c r="M39"/>
      <c r="N39"/>
      <c r="O39"/>
      <c r="P39"/>
      <c r="Q39"/>
      <c r="R39"/>
      <c r="S39"/>
      <c r="T39"/>
      <c r="U39"/>
      <c r="V39"/>
      <c r="W39"/>
      <c r="X39"/>
      <c r="Y39"/>
      <c r="Z39"/>
      <c r="AA39"/>
    </row>
    <row r="54" spans="14:19">
      <c r="N54" s="1188"/>
      <c r="O54" s="1188"/>
      <c r="P54" s="1188"/>
      <c r="Q54" s="1188"/>
      <c r="R54" s="1188"/>
      <c r="S54" s="1188"/>
    </row>
    <row r="55" spans="14:19">
      <c r="O55" s="470"/>
      <c r="P55" s="470"/>
      <c r="Q55" s="470"/>
      <c r="R55" s="470"/>
      <c r="S55" s="470"/>
    </row>
    <row r="56" spans="14:19">
      <c r="N56" s="471"/>
      <c r="O56" s="471"/>
      <c r="P56" s="471"/>
      <c r="Q56" s="471"/>
      <c r="R56" s="471"/>
      <c r="S56" s="471"/>
    </row>
    <row r="57" spans="14:19">
      <c r="N57" s="471"/>
      <c r="O57" s="471"/>
      <c r="P57" s="471"/>
      <c r="Q57" s="471"/>
      <c r="R57" s="471"/>
      <c r="S57" s="471"/>
    </row>
    <row r="58" spans="14:19">
      <c r="N58" s="471"/>
      <c r="O58" s="471"/>
      <c r="P58" s="471"/>
      <c r="Q58" s="471"/>
      <c r="R58" s="471"/>
      <c r="S58" s="471"/>
    </row>
    <row r="59" spans="14:19">
      <c r="N59" s="471"/>
      <c r="O59" s="471"/>
      <c r="P59" s="471"/>
      <c r="Q59" s="471"/>
      <c r="R59" s="471"/>
      <c r="S59" s="471"/>
    </row>
    <row r="60" spans="14:19">
      <c r="N60" s="471"/>
      <c r="O60" s="471"/>
      <c r="P60" s="471"/>
      <c r="Q60" s="471"/>
      <c r="R60" s="471"/>
      <c r="S60" s="471"/>
    </row>
    <row r="61" spans="14:19">
      <c r="N61" s="471"/>
      <c r="O61" s="471"/>
      <c r="P61" s="471"/>
      <c r="Q61" s="471"/>
      <c r="R61" s="471"/>
      <c r="S61" s="471"/>
    </row>
    <row r="62" spans="14:19">
      <c r="N62" s="471"/>
      <c r="O62" s="471"/>
      <c r="P62" s="471"/>
      <c r="Q62" s="471"/>
      <c r="R62" s="471"/>
      <c r="S62" s="471"/>
    </row>
    <row r="63" spans="14:19">
      <c r="N63" s="471"/>
      <c r="O63" s="471"/>
      <c r="P63" s="471"/>
      <c r="Q63" s="471"/>
      <c r="R63" s="471"/>
      <c r="S63" s="471"/>
    </row>
    <row r="64" spans="14:19">
      <c r="N64" s="471"/>
      <c r="O64" s="471"/>
      <c r="P64" s="471"/>
      <c r="Q64" s="471"/>
      <c r="R64" s="471"/>
      <c r="S64" s="471"/>
    </row>
    <row r="65" spans="14:19">
      <c r="N65" s="471"/>
      <c r="O65" s="471"/>
      <c r="P65" s="471"/>
      <c r="Q65" s="471"/>
      <c r="R65" s="471"/>
      <c r="S65" s="471"/>
    </row>
    <row r="66" spans="14:19">
      <c r="N66" s="1185"/>
      <c r="O66" s="1185"/>
      <c r="P66" s="1185"/>
      <c r="Q66" s="1185"/>
      <c r="R66" s="1185"/>
      <c r="S66" s="1185"/>
    </row>
    <row r="67" spans="14:19">
      <c r="N67" s="471"/>
      <c r="O67" s="471"/>
      <c r="P67" s="471"/>
      <c r="Q67" s="471"/>
      <c r="R67" s="471"/>
      <c r="S67" s="471"/>
    </row>
    <row r="68" spans="14:19">
      <c r="N68" s="471"/>
      <c r="O68" s="471"/>
      <c r="P68" s="471"/>
      <c r="Q68" s="471"/>
      <c r="R68" s="471"/>
      <c r="S68" s="471"/>
    </row>
    <row r="69" spans="14:19">
      <c r="N69" s="471"/>
      <c r="O69" s="471"/>
      <c r="P69" s="471"/>
      <c r="Q69" s="471"/>
      <c r="R69" s="471"/>
      <c r="S69" s="471"/>
    </row>
    <row r="70" spans="14:19">
      <c r="N70" s="471"/>
      <c r="O70" s="471"/>
      <c r="P70" s="471"/>
      <c r="Q70" s="471"/>
      <c r="R70" s="471"/>
      <c r="S70" s="471"/>
    </row>
    <row r="71" spans="14:19">
      <c r="N71" s="471"/>
      <c r="O71" s="471"/>
      <c r="P71" s="471"/>
      <c r="Q71" s="471"/>
      <c r="R71" s="471"/>
      <c r="S71" s="471"/>
    </row>
    <row r="72" spans="14:19">
      <c r="N72" s="471"/>
      <c r="O72" s="471"/>
      <c r="P72" s="471"/>
      <c r="Q72" s="471"/>
      <c r="R72" s="471"/>
      <c r="S72" s="471"/>
    </row>
    <row r="73" spans="14:19">
      <c r="N73" s="471"/>
      <c r="O73" s="471"/>
      <c r="P73" s="471"/>
      <c r="Q73" s="471"/>
      <c r="R73" s="471"/>
      <c r="S73" s="471"/>
    </row>
    <row r="74" spans="14:19">
      <c r="N74" s="472"/>
      <c r="O74" s="471"/>
      <c r="P74" s="471"/>
      <c r="Q74" s="471"/>
      <c r="R74" s="471"/>
      <c r="S74" s="471"/>
    </row>
    <row r="75" spans="14:19">
      <c r="N75" s="472"/>
      <c r="O75" s="471"/>
      <c r="P75" s="471"/>
      <c r="Q75" s="471"/>
      <c r="R75" s="471"/>
      <c r="S75" s="471"/>
    </row>
    <row r="76" spans="14:19">
      <c r="N76" s="472"/>
      <c r="O76" s="471"/>
      <c r="P76" s="471"/>
      <c r="Q76" s="471"/>
      <c r="R76" s="471"/>
      <c r="S76" s="471"/>
    </row>
    <row r="77" spans="14:19">
      <c r="N77" s="471"/>
      <c r="O77" s="471"/>
      <c r="P77" s="471"/>
      <c r="Q77" s="471"/>
      <c r="R77" s="471"/>
      <c r="S77" s="471"/>
    </row>
    <row r="78" spans="14:19">
      <c r="N78" s="1185"/>
      <c r="O78" s="1185"/>
      <c r="P78" s="1185"/>
      <c r="Q78" s="1185"/>
      <c r="R78" s="1185"/>
      <c r="S78" s="1185"/>
    </row>
    <row r="79" spans="14:19">
      <c r="N79" s="471"/>
      <c r="O79" s="471"/>
      <c r="P79" s="471"/>
      <c r="Q79" s="471"/>
      <c r="R79" s="471"/>
      <c r="S79" s="471"/>
    </row>
    <row r="80" spans="14:19">
      <c r="N80" s="471"/>
      <c r="O80" s="471"/>
      <c r="P80" s="471"/>
      <c r="Q80" s="471"/>
      <c r="R80" s="471"/>
      <c r="S80" s="471"/>
    </row>
    <row r="81" spans="14:19">
      <c r="N81" s="471"/>
      <c r="O81" s="471"/>
      <c r="P81" s="471"/>
      <c r="Q81" s="471"/>
      <c r="R81" s="471"/>
      <c r="S81" s="471"/>
    </row>
    <row r="82" spans="14:19">
      <c r="N82" s="471"/>
      <c r="O82" s="471"/>
      <c r="P82" s="471"/>
      <c r="Q82" s="471"/>
      <c r="R82" s="471"/>
      <c r="S82" s="471"/>
    </row>
    <row r="83" spans="14:19">
      <c r="N83" s="471"/>
      <c r="O83" s="471"/>
      <c r="P83" s="471"/>
      <c r="Q83" s="471"/>
      <c r="R83" s="471"/>
      <c r="S83" s="471"/>
    </row>
    <row r="84" spans="14:19">
      <c r="N84" s="471"/>
      <c r="O84" s="471"/>
      <c r="P84" s="471"/>
      <c r="Q84" s="471"/>
      <c r="R84" s="471"/>
      <c r="S84" s="471"/>
    </row>
    <row r="85" spans="14:19">
      <c r="N85" s="471"/>
      <c r="O85" s="471"/>
      <c r="P85" s="471"/>
      <c r="Q85" s="471"/>
      <c r="R85" s="471"/>
      <c r="S85" s="471"/>
    </row>
    <row r="86" spans="14:19">
      <c r="N86" s="472"/>
      <c r="O86" s="471"/>
      <c r="P86" s="471"/>
      <c r="Q86" s="471"/>
      <c r="R86" s="471"/>
      <c r="S86" s="471"/>
    </row>
    <row r="87" spans="14:19">
      <c r="N87" s="472"/>
      <c r="O87" s="471"/>
      <c r="P87" s="471"/>
      <c r="Q87" s="471"/>
      <c r="R87" s="471"/>
      <c r="S87" s="471"/>
    </row>
    <row r="88" spans="14:19">
      <c r="N88" s="472"/>
      <c r="O88" s="471"/>
      <c r="P88" s="471"/>
      <c r="Q88" s="471"/>
      <c r="R88" s="471"/>
      <c r="S88" s="471"/>
    </row>
    <row r="89" spans="14:19">
      <c r="N89" s="471"/>
      <c r="O89" s="471"/>
      <c r="P89" s="471"/>
      <c r="Q89" s="471"/>
      <c r="R89" s="471"/>
      <c r="S89" s="471"/>
    </row>
    <row r="90" spans="14:19">
      <c r="N90" s="1185"/>
      <c r="O90" s="1185"/>
      <c r="P90" s="1185"/>
      <c r="Q90" s="1185"/>
      <c r="R90" s="1185"/>
      <c r="S90" s="1185"/>
    </row>
    <row r="91" spans="14:19">
      <c r="N91" s="471"/>
      <c r="O91" s="471"/>
      <c r="P91" s="471"/>
      <c r="Q91" s="471"/>
      <c r="R91" s="471"/>
      <c r="S91" s="471"/>
    </row>
    <row r="92" spans="14:19">
      <c r="N92" s="472"/>
      <c r="O92" s="471"/>
      <c r="P92" s="471"/>
      <c r="Q92" s="471"/>
      <c r="R92" s="471"/>
      <c r="S92" s="471"/>
    </row>
    <row r="93" spans="14:19">
      <c r="N93" s="472"/>
      <c r="O93" s="471"/>
      <c r="P93" s="471"/>
      <c r="Q93" s="471"/>
      <c r="R93" s="471"/>
      <c r="S93" s="471"/>
    </row>
    <row r="94" spans="14:19">
      <c r="N94" s="472"/>
      <c r="O94" s="471"/>
      <c r="P94" s="471"/>
      <c r="Q94" s="471"/>
      <c r="R94" s="471"/>
      <c r="S94" s="471"/>
    </row>
    <row r="95" spans="14:19">
      <c r="N95" s="472"/>
      <c r="O95" s="471"/>
      <c r="P95" s="471"/>
      <c r="Q95" s="471"/>
      <c r="R95" s="471"/>
      <c r="S95" s="471"/>
    </row>
    <row r="96" spans="14:19">
      <c r="N96" s="472"/>
      <c r="O96" s="471"/>
      <c r="P96" s="471"/>
      <c r="Q96" s="471"/>
      <c r="R96" s="471"/>
      <c r="S96" s="471"/>
    </row>
    <row r="97" spans="14:19">
      <c r="N97" s="472"/>
      <c r="O97" s="471"/>
      <c r="P97" s="471"/>
      <c r="Q97" s="471"/>
      <c r="R97" s="471"/>
      <c r="S97" s="471"/>
    </row>
    <row r="98" spans="14:19">
      <c r="N98" s="472"/>
      <c r="O98" s="471"/>
      <c r="P98" s="471"/>
      <c r="Q98" s="471"/>
      <c r="R98" s="471"/>
      <c r="S98" s="471"/>
    </row>
    <row r="99" spans="14:19">
      <c r="N99" s="472"/>
      <c r="O99" s="471"/>
      <c r="P99" s="471"/>
      <c r="Q99" s="471"/>
      <c r="R99" s="471"/>
      <c r="S99" s="471"/>
    </row>
    <row r="100" spans="14:19">
      <c r="N100" s="472"/>
      <c r="O100" s="471"/>
      <c r="P100" s="471"/>
      <c r="Q100" s="471"/>
      <c r="R100" s="471"/>
      <c r="S100" s="471"/>
    </row>
  </sheetData>
  <mergeCells count="8">
    <mergeCell ref="N90:S90"/>
    <mergeCell ref="B3:J3"/>
    <mergeCell ref="K3:Q3"/>
    <mergeCell ref="N54:S54"/>
    <mergeCell ref="N66:S66"/>
    <mergeCell ref="N78:S78"/>
    <mergeCell ref="K23:M23"/>
    <mergeCell ref="M25:M28"/>
  </mergeCells>
  <phoneticPr fontId="82" type="noConversion"/>
  <conditionalFormatting sqref="C10:F10">
    <cfRule type="expression" dxfId="58" priority="28">
      <formula>$C$10="Low"</formula>
    </cfRule>
  </conditionalFormatting>
  <conditionalFormatting sqref="D6:F6 H6:I6">
    <cfRule type="expression" dxfId="57" priority="45">
      <formula>$C$6="Low"</formula>
    </cfRule>
  </conditionalFormatting>
  <conditionalFormatting sqref="D15:F15 J15">
    <cfRule type="expression" dxfId="56" priority="37">
      <formula>$C$15="Low"</formula>
    </cfRule>
  </conditionalFormatting>
  <conditionalFormatting sqref="D16:F16 J16">
    <cfRule type="expression" dxfId="55" priority="36">
      <formula>$C$16="Low"</formula>
    </cfRule>
  </conditionalFormatting>
  <conditionalFormatting sqref="D17:F17 J17">
    <cfRule type="expression" dxfId="54" priority="35">
      <formula>$C$17="Low"</formula>
    </cfRule>
  </conditionalFormatting>
  <conditionalFormatting sqref="D18:F18">
    <cfRule type="expression" dxfId="53" priority="34">
      <formula>$C$18="Low"</formula>
    </cfRule>
  </conditionalFormatting>
  <conditionalFormatting sqref="D20:F20 J20">
    <cfRule type="expression" dxfId="52" priority="32">
      <formula>$C$20="Low"</formula>
    </cfRule>
  </conditionalFormatting>
  <conditionalFormatting sqref="D21:F21 J21">
    <cfRule type="expression" dxfId="51" priority="31">
      <formula>$C$21="Low"</formula>
    </cfRule>
  </conditionalFormatting>
  <conditionalFormatting sqref="D22:F22 J22">
    <cfRule type="expression" dxfId="50" priority="30">
      <formula>$C$22="Low"</formula>
    </cfRule>
  </conditionalFormatting>
  <conditionalFormatting sqref="D7:G7">
    <cfRule type="expression" dxfId="49" priority="44">
      <formula>$C$7="Low"</formula>
    </cfRule>
  </conditionalFormatting>
  <conditionalFormatting sqref="D8:G8 J8">
    <cfRule type="expression" dxfId="48" priority="43">
      <formula>$C$8="Low"</formula>
    </cfRule>
  </conditionalFormatting>
  <conditionalFormatting sqref="D9:G9 J9:J10">
    <cfRule type="expression" dxfId="47" priority="42">
      <formula>$C$9="Low"</formula>
    </cfRule>
  </conditionalFormatting>
  <conditionalFormatting sqref="D12:G12 J12">
    <cfRule type="expression" dxfId="46" priority="40">
      <formula>$C$12="Low"</formula>
    </cfRule>
  </conditionalFormatting>
  <conditionalFormatting sqref="D13:G13 J13">
    <cfRule type="expression" dxfId="45" priority="39">
      <formula>$C$13="Low"</formula>
    </cfRule>
  </conditionalFormatting>
  <conditionalFormatting sqref="D14:G14 J14">
    <cfRule type="expression" dxfId="44" priority="38">
      <formula>$C$14="Low"</formula>
    </cfRule>
  </conditionalFormatting>
  <conditionalFormatting sqref="D19:G19 J20">
    <cfRule type="expression" dxfId="43" priority="33">
      <formula>$C$19="Low"</formula>
    </cfRule>
  </conditionalFormatting>
  <conditionalFormatting sqref="G6">
    <cfRule type="expression" dxfId="42" priority="26">
      <formula>$C$7="Low"</formula>
    </cfRule>
  </conditionalFormatting>
  <conditionalFormatting sqref="G10">
    <cfRule type="expression" dxfId="41" priority="1">
      <formula>$C$6="Low"</formula>
    </cfRule>
  </conditionalFormatting>
  <conditionalFormatting sqref="G15:G16">
    <cfRule type="expression" dxfId="40" priority="4">
      <formula>$C$14="Low"</formula>
    </cfRule>
  </conditionalFormatting>
  <conditionalFormatting sqref="G17:G18">
    <cfRule type="expression" dxfId="39" priority="3">
      <formula>$C$19="Low"</formula>
    </cfRule>
  </conditionalFormatting>
  <conditionalFormatting sqref="G20:G21">
    <cfRule type="expression" dxfId="38" priority="6">
      <formula>$C$19="Low"</formula>
    </cfRule>
  </conditionalFormatting>
  <conditionalFormatting sqref="G22">
    <cfRule type="expression" dxfId="37" priority="5">
      <formula>$C$14="Low"</formula>
    </cfRule>
  </conditionalFormatting>
  <conditionalFormatting sqref="G28">
    <cfRule type="expression" dxfId="36" priority="9">
      <formula>$C$7="Low"</formula>
    </cfRule>
  </conditionalFormatting>
  <conditionalFormatting sqref="G30">
    <cfRule type="expression" dxfId="35" priority="8">
      <formula>$C$7="Low"</formula>
    </cfRule>
  </conditionalFormatting>
  <conditionalFormatting sqref="G33">
    <cfRule type="expression" dxfId="34" priority="7">
      <formula>$C$7="Low"</formula>
    </cfRule>
  </conditionalFormatting>
  <conditionalFormatting sqref="H7:H10">
    <cfRule type="expression" dxfId="33" priority="2">
      <formula>$C$6="Low"</formula>
    </cfRule>
  </conditionalFormatting>
  <conditionalFormatting sqref="H24:H34">
    <cfRule type="expression" dxfId="32" priority="12">
      <formula>$C$6="Low"</formula>
    </cfRule>
  </conditionalFormatting>
  <conditionalFormatting sqref="H12:I22">
    <cfRule type="expression" dxfId="31" priority="16">
      <formula>$C$6="Low"</formula>
    </cfRule>
  </conditionalFormatting>
  <conditionalFormatting sqref="I7:I8 I10">
    <cfRule type="expression" dxfId="30" priority="23">
      <formula>$C$6="Low"</formula>
    </cfRule>
  </conditionalFormatting>
  <conditionalFormatting sqref="I24:I34">
    <cfRule type="expression" dxfId="29" priority="17">
      <formula>$C$16="Low"</formula>
    </cfRule>
  </conditionalFormatting>
  <conditionalFormatting sqref="J19">
    <cfRule type="expression" dxfId="28" priority="11">
      <formula>$C$17="Low"</formula>
    </cfRule>
  </conditionalFormatting>
  <dataValidations count="3">
    <dataValidation type="list" allowBlank="1" showInputMessage="1" showErrorMessage="1" sqref="D6:D22 D32:D34 F24:F34 F6:F10 F12:F22 C11"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6:E10 E12:E22 F25 E24:E34" xr:uid="{21B53BAA-5CFE-4F77-8669-06D93A31F2C2}">
      <formula1>$L$25:$L$28</formula1>
    </dataValidation>
  </dataValidations>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7"/>
  <sheetViews>
    <sheetView showGridLines="0" topLeftCell="B61" zoomScaleNormal="85" workbookViewId="0">
      <selection activeCell="D75" sqref="D75"/>
    </sheetView>
  </sheetViews>
  <sheetFormatPr defaultColWidth="11.42578125" defaultRowHeight="12.7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2.42578125" style="2" customWidth="1"/>
    <col min="9" max="32" width="11.140625" style="2" customWidth="1"/>
    <col min="33" max="33" width="14.42578125" customWidth="1"/>
  </cols>
  <sheetData>
    <row r="1" spans="1:40" ht="21" customHeight="1">
      <c r="A1" s="1201" t="s">
        <v>437</v>
      </c>
      <c r="B1" s="1201"/>
      <c r="C1" s="1201"/>
      <c r="D1" s="1201"/>
      <c r="E1" s="1201"/>
      <c r="F1" s="1201"/>
      <c r="G1" s="1201"/>
      <c r="H1" s="1201"/>
      <c r="I1" s="1201"/>
      <c r="J1" s="1201"/>
      <c r="K1" s="1201"/>
      <c r="L1" s="1201"/>
      <c r="M1" s="1201"/>
      <c r="N1" s="1201"/>
      <c r="O1" s="1201"/>
      <c r="P1" s="1201"/>
      <c r="Q1" s="1201"/>
      <c r="R1" s="1201"/>
      <c r="S1" s="1201"/>
      <c r="T1" s="1201"/>
      <c r="U1" s="1201"/>
      <c r="V1" s="1201"/>
      <c r="W1" s="1201"/>
      <c r="X1" s="1201"/>
      <c r="Y1" s="1201"/>
      <c r="Z1" s="1201"/>
      <c r="AA1" s="1201"/>
      <c r="AB1" s="1201"/>
      <c r="AC1" s="1201"/>
      <c r="AD1" s="1201"/>
      <c r="AE1" s="1201"/>
      <c r="AF1" s="1201"/>
      <c r="AG1" s="10"/>
      <c r="AH1" s="10"/>
      <c r="AI1" s="10"/>
      <c r="AJ1" s="10"/>
      <c r="AK1" s="10"/>
      <c r="AL1" s="10"/>
      <c r="AM1" s="10"/>
      <c r="AN1" s="10"/>
    </row>
    <row r="2" spans="1:40" ht="3.75" customHeight="1" thickBot="1">
      <c r="A2" s="1202"/>
      <c r="B2" s="1202"/>
      <c r="C2" s="1202"/>
      <c r="D2" s="1202"/>
      <c r="E2" s="1202"/>
      <c r="F2" s="1202"/>
      <c r="G2" s="1202"/>
      <c r="H2" s="1202"/>
      <c r="I2" s="1202"/>
      <c r="J2" s="1202"/>
      <c r="K2" s="1202"/>
      <c r="L2" s="1202"/>
      <c r="M2" s="1202"/>
      <c r="N2" s="1202"/>
      <c r="O2" s="1202"/>
      <c r="P2" s="1202"/>
      <c r="Q2" s="1202"/>
      <c r="R2" s="1202"/>
      <c r="S2" s="1202"/>
      <c r="T2" s="1202"/>
      <c r="U2" s="1202"/>
      <c r="V2" s="1202"/>
      <c r="W2" s="1202"/>
      <c r="X2" s="1202"/>
      <c r="Y2" s="1202"/>
      <c r="Z2" s="1202"/>
      <c r="AA2" s="1202"/>
      <c r="AB2" s="1202"/>
      <c r="AC2" s="1202"/>
      <c r="AD2" s="1202"/>
      <c r="AE2" s="1202"/>
      <c r="AF2" s="1202"/>
      <c r="AG2" s="473"/>
      <c r="AH2" s="10"/>
      <c r="AI2" s="10"/>
      <c r="AJ2" s="10"/>
      <c r="AK2" s="10"/>
      <c r="AL2" s="10"/>
      <c r="AM2" s="10"/>
      <c r="AN2" s="10"/>
    </row>
    <row r="3" spans="1:40" ht="19.5" thickBot="1">
      <c r="A3" s="241"/>
      <c r="B3" s="241"/>
      <c r="C3" s="241"/>
      <c r="D3" s="241"/>
      <c r="E3" s="241"/>
      <c r="F3" s="241"/>
      <c r="G3" s="1210" t="s">
        <v>438</v>
      </c>
      <c r="H3" s="1211"/>
      <c r="I3" s="1211"/>
      <c r="J3" s="1211"/>
      <c r="K3" s="1212" t="s">
        <v>439</v>
      </c>
      <c r="L3" s="1213"/>
      <c r="M3" s="1213"/>
      <c r="N3" s="1213"/>
      <c r="O3" s="1213"/>
      <c r="P3" s="1213"/>
      <c r="Q3" s="1213"/>
      <c r="R3" s="1213"/>
      <c r="S3" s="1213"/>
      <c r="T3" s="1213"/>
      <c r="U3" s="1213"/>
      <c r="V3" s="1213"/>
      <c r="W3" s="1213"/>
      <c r="X3" s="1213"/>
      <c r="Y3" s="1213"/>
      <c r="Z3" s="1213"/>
      <c r="AA3" s="1213"/>
      <c r="AB3" s="1213"/>
      <c r="AC3" s="1213"/>
      <c r="AD3" s="1213"/>
      <c r="AE3" s="1213"/>
      <c r="AF3" s="1214"/>
      <c r="AG3" s="473"/>
      <c r="AH3" s="10"/>
      <c r="AI3" s="10"/>
      <c r="AJ3" s="10"/>
      <c r="AK3" s="10"/>
      <c r="AL3" s="10"/>
      <c r="AM3" s="10"/>
      <c r="AN3" s="10"/>
    </row>
    <row r="4" spans="1:40" ht="15.75" thickBot="1">
      <c r="A4" s="264" t="s">
        <v>440</v>
      </c>
      <c r="B4" s="688" t="s">
        <v>441</v>
      </c>
      <c r="C4" s="689" t="s">
        <v>442</v>
      </c>
      <c r="D4" s="271" t="s">
        <v>443</v>
      </c>
      <c r="E4" s="271" t="s">
        <v>444</v>
      </c>
      <c r="F4" s="272" t="s">
        <v>445</v>
      </c>
      <c r="G4" s="271">
        <v>2024</v>
      </c>
      <c r="H4" s="271">
        <f>G4+1</f>
        <v>2025</v>
      </c>
      <c r="I4" s="271">
        <f t="shared" ref="I4:AF4" si="0">H4+1</f>
        <v>2026</v>
      </c>
      <c r="J4" s="272">
        <f t="shared" si="0"/>
        <v>2027</v>
      </c>
      <c r="K4" s="273">
        <f t="shared" si="0"/>
        <v>2028</v>
      </c>
      <c r="L4" s="273">
        <f t="shared" si="0"/>
        <v>2029</v>
      </c>
      <c r="M4" s="273">
        <f t="shared" si="0"/>
        <v>2030</v>
      </c>
      <c r="N4" s="273">
        <f t="shared" si="0"/>
        <v>2031</v>
      </c>
      <c r="O4" s="273">
        <f t="shared" si="0"/>
        <v>2032</v>
      </c>
      <c r="P4" s="273">
        <f t="shared" si="0"/>
        <v>2033</v>
      </c>
      <c r="Q4" s="273">
        <f t="shared" si="0"/>
        <v>2034</v>
      </c>
      <c r="R4" s="273">
        <f t="shared" si="0"/>
        <v>2035</v>
      </c>
      <c r="S4" s="273">
        <f t="shared" si="0"/>
        <v>2036</v>
      </c>
      <c r="T4" s="273">
        <f t="shared" si="0"/>
        <v>2037</v>
      </c>
      <c r="U4" s="273">
        <f t="shared" si="0"/>
        <v>2038</v>
      </c>
      <c r="V4" s="273">
        <f t="shared" si="0"/>
        <v>2039</v>
      </c>
      <c r="W4" s="273">
        <f t="shared" si="0"/>
        <v>2040</v>
      </c>
      <c r="X4" s="273">
        <f t="shared" si="0"/>
        <v>2041</v>
      </c>
      <c r="Y4" s="273">
        <f t="shared" si="0"/>
        <v>2042</v>
      </c>
      <c r="Z4" s="273">
        <f t="shared" si="0"/>
        <v>2043</v>
      </c>
      <c r="AA4" s="273">
        <f t="shared" si="0"/>
        <v>2044</v>
      </c>
      <c r="AB4" s="273">
        <f t="shared" si="0"/>
        <v>2045</v>
      </c>
      <c r="AC4" s="273">
        <f t="shared" si="0"/>
        <v>2046</v>
      </c>
      <c r="AD4" s="273">
        <f t="shared" si="0"/>
        <v>2047</v>
      </c>
      <c r="AE4" s="273">
        <f t="shared" si="0"/>
        <v>2048</v>
      </c>
      <c r="AF4" s="274">
        <f t="shared" si="0"/>
        <v>2049</v>
      </c>
      <c r="AG4" s="473"/>
      <c r="AH4" s="10"/>
      <c r="AI4" s="10"/>
      <c r="AJ4" s="10"/>
      <c r="AK4" s="10"/>
      <c r="AL4" s="10"/>
      <c r="AM4" s="10"/>
      <c r="AN4" s="10"/>
    </row>
    <row r="5" spans="1:40">
      <c r="A5" s="1012" t="s">
        <v>446</v>
      </c>
      <c r="B5" s="672">
        <v>1</v>
      </c>
      <c r="C5" s="690" t="s">
        <v>447</v>
      </c>
      <c r="D5" s="678" t="e">
        <f>'Fin. Data'!#REF!</f>
        <v>#REF!</v>
      </c>
      <c r="E5" s="279">
        <f t="shared" ref="E5:AF5" si="1">+E6/D6-1</f>
        <v>0.24106785986460499</v>
      </c>
      <c r="F5" s="313">
        <f t="shared" si="1"/>
        <v>1.6701488906926132E-2</v>
      </c>
      <c r="G5" s="328">
        <f>+G6/F6-1</f>
        <v>2.534468857079375E-2</v>
      </c>
      <c r="H5" s="329">
        <f>+H6/G6-1</f>
        <v>9.2134127232842422E-2</v>
      </c>
      <c r="I5" s="329">
        <f>+I6/H6-1</f>
        <v>6.1145167601408534E-2</v>
      </c>
      <c r="J5" s="330">
        <f>+J6/I6-1</f>
        <v>-9.9481148616156201E-3</v>
      </c>
      <c r="K5" s="328">
        <f t="shared" si="1"/>
        <v>3.0961071266554008E-2</v>
      </c>
      <c r="L5" s="329">
        <f t="shared" si="1"/>
        <v>5.7020767266980688E-2</v>
      </c>
      <c r="M5" s="329">
        <f t="shared" si="1"/>
        <v>6.2848210997695109E-2</v>
      </c>
      <c r="N5" s="329">
        <f t="shared" si="1"/>
        <v>6.37108892729914E-2</v>
      </c>
      <c r="O5" s="329">
        <f t="shared" si="1"/>
        <v>2.2539419722127807E-2</v>
      </c>
      <c r="P5" s="329">
        <f t="shared" si="1"/>
        <v>2.204286241772313E-2</v>
      </c>
      <c r="Q5" s="329">
        <f t="shared" si="1"/>
        <v>2.2352660918075307E-2</v>
      </c>
      <c r="R5" s="329">
        <f t="shared" si="1"/>
        <v>2.2365000752788022E-2</v>
      </c>
      <c r="S5" s="329">
        <f t="shared" si="1"/>
        <v>2.2375723599848296E-2</v>
      </c>
      <c r="T5" s="329">
        <f t="shared" si="1"/>
        <v>2.2373028490996649E-2</v>
      </c>
      <c r="U5" s="329">
        <f t="shared" si="1"/>
        <v>2.2363803700763851E-2</v>
      </c>
      <c r="V5" s="329">
        <f t="shared" si="1"/>
        <v>2.2362361754346916E-2</v>
      </c>
      <c r="W5" s="329">
        <f t="shared" si="1"/>
        <v>2.2364804118563342E-2</v>
      </c>
      <c r="X5" s="329">
        <f t="shared" si="1"/>
        <v>2.2364921772367374E-2</v>
      </c>
      <c r="Y5" s="329">
        <f t="shared" si="1"/>
        <v>2.2364922336365556E-2</v>
      </c>
      <c r="Z5" s="329">
        <f t="shared" si="1"/>
        <v>2.2364839315276441E-2</v>
      </c>
      <c r="AA5" s="329">
        <f t="shared" si="1"/>
        <v>2.2364775540016479E-2</v>
      </c>
      <c r="AB5" s="329">
        <f t="shared" si="1"/>
        <v>2.2364782375644099E-2</v>
      </c>
      <c r="AC5" s="329">
        <f t="shared" si="1"/>
        <v>2.236480105074623E-2</v>
      </c>
      <c r="AD5" s="329">
        <f t="shared" si="1"/>
        <v>2.2364801213052177E-2</v>
      </c>
      <c r="AE5" s="329">
        <f t="shared" si="1"/>
        <v>2.2364800287943298E-2</v>
      </c>
      <c r="AF5" s="330">
        <f t="shared" si="1"/>
        <v>2.2364799340563346E-2</v>
      </c>
      <c r="AG5" s="393"/>
      <c r="AH5" s="10"/>
      <c r="AI5" s="10"/>
      <c r="AJ5" s="10"/>
      <c r="AK5" s="10"/>
      <c r="AL5" s="10"/>
      <c r="AM5" s="10"/>
      <c r="AN5" s="10"/>
    </row>
    <row r="6" spans="1:40" ht="15">
      <c r="A6" s="1012"/>
      <c r="B6" s="672">
        <v>2</v>
      </c>
      <c r="C6" s="673" t="s">
        <v>448</v>
      </c>
      <c r="D6" s="679">
        <f>Inputs!D6</f>
        <v>27130.675999999999</v>
      </c>
      <c r="E6" s="626">
        <f>Inputs!C6</f>
        <v>33671.01</v>
      </c>
      <c r="F6" s="314">
        <f>Inputs!B6</f>
        <v>34233.366000000002</v>
      </c>
      <c r="G6" s="743">
        <f>Assumptions!F61*1000</f>
        <v>35101</v>
      </c>
      <c r="H6" s="744">
        <f>Assumptions!G61*1000</f>
        <v>38335</v>
      </c>
      <c r="I6" s="744">
        <f>Assumptions!H61*1000</f>
        <v>40679</v>
      </c>
      <c r="J6" s="745">
        <f>Assumptions!I61*1000</f>
        <v>40274.32063554434</v>
      </c>
      <c r="K6" s="743">
        <f>Assumptions!J61*1000</f>
        <v>41521.256746953477</v>
      </c>
      <c r="L6" s="744">
        <f>Assumptions!K61*1000</f>
        <v>43888.830664554065</v>
      </c>
      <c r="M6" s="744">
        <f>Assumptions!L61*1000</f>
        <v>46647.165154602073</v>
      </c>
      <c r="N6" s="744">
        <f>Assumptions!M61*1000</f>
        <v>49619.097528665865</v>
      </c>
      <c r="O6" s="744">
        <f>Assumptions!N61*1000</f>
        <v>50737.483194097658</v>
      </c>
      <c r="P6" s="744">
        <f>Assumptions!O61*1000</f>
        <v>51855.882555566692</v>
      </c>
      <c r="Q6" s="744">
        <f>Assumptions!P61*1000</f>
        <v>53014.999514938805</v>
      </c>
      <c r="R6" s="744">
        <f>Assumptions!Q61*1000</f>
        <v>54200.680018999468</v>
      </c>
      <c r="S6" s="744">
        <f>Assumptions!R61*1000</f>
        <v>55413.459454028416</v>
      </c>
      <c r="T6" s="744">
        <f>Assumptions!S61*1000</f>
        <v>56653.226361178087</v>
      </c>
      <c r="U6" s="744">
        <f>Assumptions!T61*1000</f>
        <v>57920.207994534416</v>
      </c>
      <c r="V6" s="744">
        <f>Assumptions!U61*1000</f>
        <v>59215.440638595217</v>
      </c>
      <c r="W6" s="744">
        <f>Assumptions!V61*1000</f>
        <v>60539.782369271808</v>
      </c>
      <c r="X6" s="744">
        <f>Assumptions!W61*1000</f>
        <v>61893.749866076723</v>
      </c>
      <c r="Y6" s="744">
        <f>Assumptions!X61*1000</f>
        <v>63277.998774937965</v>
      </c>
      <c r="Z6" s="744">
        <f>Assumptions!Y61*1000</f>
        <v>64693.20104973171</v>
      </c>
      <c r="AA6" s="744">
        <f>Assumptions!Z61*1000</f>
        <v>66140.049970174121</v>
      </c>
      <c r="AB6" s="744">
        <f>Assumptions!AA61*1000</f>
        <v>67619.257794071294</v>
      </c>
      <c r="AC6" s="744">
        <f>Assumptions!AB61*1000</f>
        <v>69131.54904183482</v>
      </c>
      <c r="AD6" s="744">
        <f>Assumptions!AC61*1000</f>
        <v>70677.662393705818</v>
      </c>
      <c r="AE6" s="744">
        <f>Assumptions!AD61*1000</f>
        <v>72258.354197959721</v>
      </c>
      <c r="AF6" s="745">
        <f>Assumptions!AE61*1000</f>
        <v>73874.397790276445</v>
      </c>
      <c r="AG6" s="474"/>
      <c r="AH6" s="10"/>
      <c r="AI6" s="10"/>
      <c r="AJ6" s="10"/>
      <c r="AK6" s="10"/>
      <c r="AL6" s="10"/>
      <c r="AM6" s="10"/>
      <c r="AN6" s="10"/>
    </row>
    <row r="7" spans="1:40">
      <c r="A7" s="1012"/>
      <c r="B7" s="672">
        <v>3</v>
      </c>
      <c r="C7" s="674" t="s">
        <v>449</v>
      </c>
      <c r="D7" s="680">
        <f>D8/D6</f>
        <v>0.20077162839584239</v>
      </c>
      <c r="E7" s="310">
        <f t="shared" ref="E7:F7" si="2">E8/E6</f>
        <v>0.20903709155145625</v>
      </c>
      <c r="F7" s="315">
        <f t="shared" si="2"/>
        <v>0.16473810959751956</v>
      </c>
      <c r="G7" s="331">
        <f>G8/G6</f>
        <v>0.15518275832597361</v>
      </c>
      <c r="H7" s="332">
        <f t="shared" ref="H7:AF7" si="3">H8/H6</f>
        <v>0.18360479979131342</v>
      </c>
      <c r="I7" s="332">
        <f t="shared" si="3"/>
        <v>0.13863516802281275</v>
      </c>
      <c r="J7" s="333">
        <f t="shared" si="3"/>
        <v>0.13480053578380174</v>
      </c>
      <c r="K7" s="331">
        <f t="shared" si="3"/>
        <v>0.14296291743229905</v>
      </c>
      <c r="L7" s="332">
        <f t="shared" si="3"/>
        <v>0.14607361150721465</v>
      </c>
      <c r="M7" s="332">
        <f t="shared" si="3"/>
        <v>0.13537807980846303</v>
      </c>
      <c r="N7" s="332">
        <f t="shared" si="3"/>
        <v>0.13054059273208904</v>
      </c>
      <c r="O7" s="332">
        <f t="shared" si="3"/>
        <v>0.13425058555901481</v>
      </c>
      <c r="P7" s="332">
        <f t="shared" si="3"/>
        <v>0.13889094520109715</v>
      </c>
      <c r="Q7" s="332">
        <f t="shared" si="3"/>
        <v>0.14376089121203575</v>
      </c>
      <c r="R7" s="332">
        <f t="shared" si="3"/>
        <v>0.14303654484562567</v>
      </c>
      <c r="S7" s="332">
        <f t="shared" si="3"/>
        <v>0.14224134690222293</v>
      </c>
      <c r="T7" s="332">
        <f t="shared" si="3"/>
        <v>0.14148989945241866</v>
      </c>
      <c r="U7" s="332">
        <f t="shared" si="3"/>
        <v>0.14074145050421913</v>
      </c>
      <c r="V7" s="332">
        <f t="shared" si="3"/>
        <v>0.13999466553757489</v>
      </c>
      <c r="W7" s="332">
        <f t="shared" si="3"/>
        <v>0.1392471612986077</v>
      </c>
      <c r="X7" s="332">
        <f t="shared" si="3"/>
        <v>0.13849837941440121</v>
      </c>
      <c r="Y7" s="332">
        <f t="shared" si="3"/>
        <v>0.13774940480915054</v>
      </c>
      <c r="Z7" s="332">
        <f t="shared" si="3"/>
        <v>0.13700077236595454</v>
      </c>
      <c r="AA7" s="332">
        <f t="shared" si="3"/>
        <v>0.13625216415363778</v>
      </c>
      <c r="AB7" s="332">
        <f t="shared" si="3"/>
        <v>0.13550355489592855</v>
      </c>
      <c r="AC7" s="332">
        <f t="shared" si="3"/>
        <v>0.1347549320289699</v>
      </c>
      <c r="AD7" s="332">
        <f t="shared" si="3"/>
        <v>0.13400630072536662</v>
      </c>
      <c r="AE7" s="332">
        <f t="shared" si="3"/>
        <v>0.13325767047091616</v>
      </c>
      <c r="AF7" s="333">
        <f t="shared" si="3"/>
        <v>0.13250904278597478</v>
      </c>
      <c r="AG7" s="393"/>
      <c r="AH7" s="10"/>
      <c r="AI7" s="10"/>
      <c r="AJ7" s="10"/>
      <c r="AK7" s="10"/>
      <c r="AL7" s="10"/>
      <c r="AM7" s="10"/>
      <c r="AN7" s="10"/>
    </row>
    <row r="8" spans="1:40" ht="15">
      <c r="A8" s="1012"/>
      <c r="B8" s="672">
        <v>4</v>
      </c>
      <c r="C8" s="675" t="s">
        <v>61</v>
      </c>
      <c r="D8" s="681">
        <f>'Fin. Data'!D8</f>
        <v>5447.07</v>
      </c>
      <c r="E8" s="311">
        <f>'Fin. Data'!C8</f>
        <v>7038.49</v>
      </c>
      <c r="F8" s="316">
        <f>'Fin. Data'!B8</f>
        <v>5639.54</v>
      </c>
      <c r="G8" s="740">
        <f>Assumptions!C73*1000</f>
        <v>5447.07</v>
      </c>
      <c r="H8" s="741">
        <f>Assumptions!D73*1000</f>
        <v>7038.49</v>
      </c>
      <c r="I8" s="741">
        <f>Assumptions!E73*1000</f>
        <v>5639.54</v>
      </c>
      <c r="J8" s="742">
        <f>Assumptions!F73*1000</f>
        <v>5429</v>
      </c>
      <c r="K8" s="740">
        <f>Assumptions!G73*1000</f>
        <v>5936</v>
      </c>
      <c r="L8" s="741">
        <f>Assumptions!H73*1000</f>
        <v>6411</v>
      </c>
      <c r="M8" s="741">
        <f>Assumptions!I73*1000</f>
        <v>6315.0036471382746</v>
      </c>
      <c r="N8" s="741">
        <f>Assumptions!J73*1000</f>
        <v>6477.3064022233766</v>
      </c>
      <c r="O8" s="741">
        <f>Assumptions!K73*1000</f>
        <v>6811.536828598284</v>
      </c>
      <c r="P8" s="741">
        <f>Assumptions!L73*1000</f>
        <v>7202.3125423797428</v>
      </c>
      <c r="Q8" s="741">
        <f>Assumptions!M73*1000</f>
        <v>7621.4835778732458</v>
      </c>
      <c r="R8" s="741">
        <f>Assumptions!N73*1000</f>
        <v>7752.6779982010239</v>
      </c>
      <c r="S8" s="741">
        <f>Assumptions!O73*1000</f>
        <v>7882.0851092527209</v>
      </c>
      <c r="T8" s="741">
        <f>Assumptions!P73*1000</f>
        <v>8015.8593014982016</v>
      </c>
      <c r="U8" s="741">
        <f>Assumptions!Q73*1000</f>
        <v>8151.7740866568429</v>
      </c>
      <c r="V8" s="741">
        <f>Assumptions!R73*1000</f>
        <v>8289.8458068602577</v>
      </c>
      <c r="W8" s="741">
        <f>Assumptions!S73*1000</f>
        <v>8429.9928405565988</v>
      </c>
      <c r="X8" s="741">
        <f>Assumptions!T73*1000</f>
        <v>8572.1840523319388</v>
      </c>
      <c r="Y8" s="741">
        <f>Assumptions!U73*1000</f>
        <v>8716.5066687618619</v>
      </c>
      <c r="Z8" s="741">
        <f>Assumptions!V73*1000</f>
        <v>8863.0185106392255</v>
      </c>
      <c r="AA8" s="741">
        <f>Assumptions!W73*1000</f>
        <v>9011.7249456659702</v>
      </c>
      <c r="AB8" s="741">
        <f>Assumptions!X73*1000</f>
        <v>9162.6498105208848</v>
      </c>
      <c r="AC8" s="741">
        <f>Assumptions!Y73*1000</f>
        <v>9315.8171921898502</v>
      </c>
      <c r="AD8" s="741">
        <f>Assumptions!Z73*1000</f>
        <v>9471.2520812968778</v>
      </c>
      <c r="AE8" s="741">
        <f>Assumptions!AA73*1000</f>
        <v>9628.9799524824575</v>
      </c>
      <c r="AF8" s="742">
        <f>Assumptions!AB73*1000</f>
        <v>9789.0257375798628</v>
      </c>
      <c r="AG8" s="461"/>
      <c r="AH8" s="7"/>
      <c r="AI8" s="7"/>
      <c r="AJ8" s="7"/>
      <c r="AK8" s="10"/>
      <c r="AL8" s="10"/>
      <c r="AM8" s="10"/>
      <c r="AN8" s="10"/>
    </row>
    <row r="9" spans="1:40" ht="15">
      <c r="A9" s="1012"/>
      <c r="B9" s="672" t="s">
        <v>450</v>
      </c>
      <c r="C9" s="673" t="s">
        <v>451</v>
      </c>
      <c r="D9" s="817">
        <f>-+Assumptions!C91</f>
        <v>-85.95</v>
      </c>
      <c r="E9" s="817">
        <f>-+Assumptions!D91</f>
        <v>-87.08</v>
      </c>
      <c r="F9" s="858">
        <f>-+Assumptions!E91</f>
        <v>-110.16</v>
      </c>
      <c r="G9" s="863">
        <f>-Assumptions!F91</f>
        <v>-111.14050933194552</v>
      </c>
      <c r="H9" s="817">
        <f>-Assumptions!G91</f>
        <v>-118.6015040716246</v>
      </c>
      <c r="I9" s="817">
        <f>-Assumptions!H91</f>
        <v>-128.54477885005119</v>
      </c>
      <c r="J9" s="858">
        <f>-Assumptions!I91</f>
        <v>-133.94504381959769</v>
      </c>
      <c r="K9" s="863">
        <f>-Assumptions!J91</f>
        <v>-132.84515395537309</v>
      </c>
      <c r="L9" s="817">
        <f>-Assumptions!K91</f>
        <v>-132.61503255711185</v>
      </c>
      <c r="M9" s="817">
        <f>-Assumptions!L91</f>
        <v>-132.58895735203311</v>
      </c>
      <c r="N9" s="817">
        <f>-Assumptions!M91</f>
        <v>-133.78888135434667</v>
      </c>
      <c r="O9" s="817">
        <f>-Assumptions!N91</f>
        <v>-135.14316848870601</v>
      </c>
      <c r="P9" s="817">
        <f>-Assumptions!O91</f>
        <v>-136.58839398725186</v>
      </c>
      <c r="Q9" s="817">
        <f>-Assumptions!P91</f>
        <v>-138.30235754303808</v>
      </c>
      <c r="R9" s="817">
        <f>-Assumptions!Q91</f>
        <v>-140.16469460604765</v>
      </c>
      <c r="S9" s="817">
        <f>-Assumptions!R91</f>
        <v>-142.17718776042</v>
      </c>
      <c r="T9" s="817">
        <f>-Assumptions!S91</f>
        <v>-144.36161667562712</v>
      </c>
      <c r="U9" s="817">
        <f>-Assumptions!T91</f>
        <v>-146.68635427060696</v>
      </c>
      <c r="V9" s="817">
        <f>-Assumptions!U91</f>
        <v>-149.15093480486138</v>
      </c>
      <c r="W9" s="817">
        <f>-Assumptions!V91</f>
        <v>-151.75404702214453</v>
      </c>
      <c r="X9" s="817">
        <f>-Assumptions!W91</f>
        <v>-154.48587828032396</v>
      </c>
      <c r="Y9" s="817">
        <f>-Assumptions!X91</f>
        <v>-157.34410770368737</v>
      </c>
      <c r="Z9" s="817">
        <f>-Assumptions!Y91</f>
        <v>-160.32556685289967</v>
      </c>
      <c r="AA9" s="817">
        <f>-Assumptions!Z91</f>
        <v>-163.42626865034532</v>
      </c>
      <c r="AB9" s="817">
        <f>-Assumptions!AA91</f>
        <v>-166.64416238980007</v>
      </c>
      <c r="AC9" s="817">
        <f>-Assumptions!AB91</f>
        <v>-169.97715609802856</v>
      </c>
      <c r="AD9" s="817">
        <f>-Assumptions!AC91</f>
        <v>-173.42341658698592</v>
      </c>
      <c r="AE9" s="817">
        <f>-Assumptions!AD91</f>
        <v>-176.98177085959387</v>
      </c>
      <c r="AF9" s="859">
        <f>-Assumptions!AE91</f>
        <v>-180.65125806405641</v>
      </c>
      <c r="AG9" s="462">
        <f>+Assumptions!AF91</f>
        <v>0</v>
      </c>
      <c r="AH9" s="7"/>
      <c r="AI9" s="7"/>
      <c r="AJ9" s="7"/>
      <c r="AK9" s="10"/>
      <c r="AL9" s="10"/>
      <c r="AM9" s="10"/>
      <c r="AN9" s="10"/>
    </row>
    <row r="10" spans="1:40" ht="15">
      <c r="A10" s="1012"/>
      <c r="B10" s="672" t="s">
        <v>452</v>
      </c>
      <c r="C10" s="673" t="s">
        <v>453</v>
      </c>
      <c r="D10" s="840">
        <v>0</v>
      </c>
      <c r="E10" s="841">
        <v>0</v>
      </c>
      <c r="F10" s="842">
        <v>0</v>
      </c>
      <c r="G10" s="455">
        <f>F38*$D$54</f>
        <v>0</v>
      </c>
      <c r="H10" s="854">
        <f t="shared" ref="H10:J10" si="4">G38*$D$54</f>
        <v>0</v>
      </c>
      <c r="I10" s="854">
        <f t="shared" si="4"/>
        <v>0</v>
      </c>
      <c r="J10" s="458">
        <f t="shared" si="4"/>
        <v>0</v>
      </c>
      <c r="K10" s="456">
        <f t="shared" ref="K10:AF10" si="5">J38*$E$54</f>
        <v>0</v>
      </c>
      <c r="L10" s="857">
        <f t="shared" si="5"/>
        <v>0</v>
      </c>
      <c r="M10" s="857">
        <f t="shared" si="5"/>
        <v>0</v>
      </c>
      <c r="N10" s="857">
        <f t="shared" si="5"/>
        <v>0</v>
      </c>
      <c r="O10" s="857">
        <f t="shared" si="5"/>
        <v>0</v>
      </c>
      <c r="P10" s="857">
        <f t="shared" si="5"/>
        <v>0</v>
      </c>
      <c r="Q10" s="857">
        <f t="shared" si="5"/>
        <v>0</v>
      </c>
      <c r="R10" s="857">
        <f t="shared" si="5"/>
        <v>0</v>
      </c>
      <c r="S10" s="857">
        <f t="shared" si="5"/>
        <v>0</v>
      </c>
      <c r="T10" s="857">
        <f t="shared" si="5"/>
        <v>0</v>
      </c>
      <c r="U10" s="857">
        <f t="shared" si="5"/>
        <v>0</v>
      </c>
      <c r="V10" s="857">
        <f t="shared" si="5"/>
        <v>0</v>
      </c>
      <c r="W10" s="857">
        <f t="shared" si="5"/>
        <v>0</v>
      </c>
      <c r="X10" s="857">
        <f t="shared" si="5"/>
        <v>0</v>
      </c>
      <c r="Y10" s="857">
        <f t="shared" si="5"/>
        <v>0</v>
      </c>
      <c r="Z10" s="857">
        <f t="shared" si="5"/>
        <v>0</v>
      </c>
      <c r="AA10" s="857">
        <f t="shared" si="5"/>
        <v>0</v>
      </c>
      <c r="AB10" s="857">
        <f t="shared" si="5"/>
        <v>0</v>
      </c>
      <c r="AC10" s="857">
        <f t="shared" si="5"/>
        <v>0</v>
      </c>
      <c r="AD10" s="857">
        <f t="shared" si="5"/>
        <v>0</v>
      </c>
      <c r="AE10" s="857">
        <f t="shared" si="5"/>
        <v>0</v>
      </c>
      <c r="AF10" s="860">
        <f t="shared" si="5"/>
        <v>0</v>
      </c>
      <c r="AG10" s="461"/>
      <c r="AH10" s="7"/>
      <c r="AI10" s="7"/>
      <c r="AJ10" s="7"/>
      <c r="AK10" s="10"/>
      <c r="AL10" s="10"/>
      <c r="AM10" s="10"/>
      <c r="AN10" s="10"/>
    </row>
    <row r="11" spans="1:40" ht="15">
      <c r="A11" s="1012"/>
      <c r="B11" s="672" t="s">
        <v>454</v>
      </c>
      <c r="C11" s="673" t="s">
        <v>455</v>
      </c>
      <c r="D11" s="682">
        <f>-D20</f>
        <v>134.6</v>
      </c>
      <c r="E11" s="454">
        <f>-E20</f>
        <v>184.1</v>
      </c>
      <c r="F11" s="454">
        <f>-F20</f>
        <v>160.69999999999999</v>
      </c>
      <c r="G11" s="852">
        <f>-G6*$D$55</f>
        <v>-176.94456135811132</v>
      </c>
      <c r="H11" s="856">
        <f t="shared" ref="H11:AF11" si="6">-H6*$D$55</f>
        <v>-193.24719408743903</v>
      </c>
      <c r="I11" s="856">
        <f t="shared" si="6"/>
        <v>-205.06332615841745</v>
      </c>
      <c r="J11" s="853">
        <f t="shared" si="6"/>
        <v>-203.02333263588858</v>
      </c>
      <c r="K11" s="852">
        <f t="shared" si="6"/>
        <v>-209.30915250640163</v>
      </c>
      <c r="L11" s="856">
        <f t="shared" si="6"/>
        <v>-221.24412097831814</v>
      </c>
      <c r="M11" s="856">
        <f t="shared" si="6"/>
        <v>-235.14891817556307</v>
      </c>
      <c r="N11" s="856">
        <f t="shared" si="6"/>
        <v>-250.13046486411005</v>
      </c>
      <c r="O11" s="856">
        <f t="shared" si="6"/>
        <v>-255.76826039697318</v>
      </c>
      <c r="P11" s="856">
        <f t="shared" si="6"/>
        <v>-261.40612497172401</v>
      </c>
      <c r="Q11" s="856">
        <f t="shared" si="6"/>
        <v>-267.24924744512498</v>
      </c>
      <c r="R11" s="856">
        <f t="shared" si="6"/>
        <v>-273.22627706541721</v>
      </c>
      <c r="S11" s="856">
        <f t="shared" si="6"/>
        <v>-279.33991272124854</v>
      </c>
      <c r="T11" s="856">
        <f t="shared" si="6"/>
        <v>-285.58959254723356</v>
      </c>
      <c r="U11" s="856">
        <f t="shared" si="6"/>
        <v>-291.97646213394108</v>
      </c>
      <c r="V11" s="856">
        <f t="shared" si="6"/>
        <v>-298.50574540393467</v>
      </c>
      <c r="W11" s="856">
        <f t="shared" si="6"/>
        <v>-305.18176792815939</v>
      </c>
      <c r="X11" s="856">
        <f t="shared" si="6"/>
        <v>-312.00713429422547</v>
      </c>
      <c r="Y11" s="856">
        <f t="shared" si="6"/>
        <v>-318.98514962110778</v>
      </c>
      <c r="Z11" s="856">
        <f t="shared" si="6"/>
        <v>-326.11920123634326</v>
      </c>
      <c r="AA11" s="856">
        <f t="shared" si="6"/>
        <v>-333.41278397128355</v>
      </c>
      <c r="AB11" s="856">
        <f t="shared" si="6"/>
        <v>-340.86948832605896</v>
      </c>
      <c r="AC11" s="856">
        <f t="shared" si="6"/>
        <v>-348.49296661674094</v>
      </c>
      <c r="AD11" s="856">
        <f t="shared" si="6"/>
        <v>-356.28694253927114</v>
      </c>
      <c r="AE11" s="856">
        <f t="shared" si="6"/>
        <v>-364.25522885436385</v>
      </c>
      <c r="AF11" s="861">
        <f t="shared" si="6"/>
        <v>-372.40172395644265</v>
      </c>
      <c r="AG11" s="461"/>
      <c r="AH11" s="7"/>
      <c r="AI11" s="7"/>
      <c r="AJ11" s="7"/>
      <c r="AK11" s="10"/>
      <c r="AL11" s="10"/>
      <c r="AM11" s="10"/>
      <c r="AN11" s="10"/>
    </row>
    <row r="12" spans="1:40" ht="15">
      <c r="A12" s="1012"/>
      <c r="B12" s="672">
        <v>6</v>
      </c>
      <c r="C12" s="675" t="s">
        <v>53</v>
      </c>
      <c r="D12" s="681">
        <f>D8-D9-D10</f>
        <v>5533.0199999999995</v>
      </c>
      <c r="E12" s="286">
        <f t="shared" ref="E12:F12" si="7">E8-E9-E10</f>
        <v>7125.57</v>
      </c>
      <c r="F12" s="317">
        <f t="shared" si="7"/>
        <v>5749.7</v>
      </c>
      <c r="G12" s="334">
        <f>+Assumptions!F73*1000+G9</f>
        <v>5317.8594906680546</v>
      </c>
      <c r="H12" s="855">
        <f>+Assumptions!G73*1000+H9</f>
        <v>5817.3984959283753</v>
      </c>
      <c r="I12" s="855">
        <f>+Assumptions!H73*1000+I9</f>
        <v>6282.4552211499486</v>
      </c>
      <c r="J12" s="336">
        <f>+Assumptions!I73*1000+J9</f>
        <v>6181.0586033186773</v>
      </c>
      <c r="K12" s="334">
        <f>+Assumptions!J73*1000+K9</f>
        <v>6344.4612482680031</v>
      </c>
      <c r="L12" s="855">
        <f>+Assumptions!K73*1000+L9</f>
        <v>6678.9217960411725</v>
      </c>
      <c r="M12" s="855">
        <f>+Assumptions!L73*1000+M9</f>
        <v>7069.7235850277093</v>
      </c>
      <c r="N12" s="855">
        <f>+Assumptions!M73*1000+N9</f>
        <v>7487.694696518899</v>
      </c>
      <c r="O12" s="855">
        <f>+Assumptions!N73*1000+O9</f>
        <v>7617.5348297123182</v>
      </c>
      <c r="P12" s="855">
        <f>+Assumptions!O73*1000+P9</f>
        <v>7745.496715265469</v>
      </c>
      <c r="Q12" s="855">
        <f>+Assumptions!P73*1000+Q9</f>
        <v>7877.5569439551637</v>
      </c>
      <c r="R12" s="855">
        <f>+Assumptions!Q73*1000+R9</f>
        <v>8011.6093920507956</v>
      </c>
      <c r="S12" s="855">
        <f>+Assumptions!R73*1000+S9</f>
        <v>8147.668619099838</v>
      </c>
      <c r="T12" s="855">
        <f>+Assumptions!S73*1000+T9</f>
        <v>8285.6312238809714</v>
      </c>
      <c r="U12" s="855">
        <f>+Assumptions!T73*1000+U9</f>
        <v>8425.4976980613319</v>
      </c>
      <c r="V12" s="855">
        <f>+Assumptions!U73*1000+V9</f>
        <v>8567.3557339569998</v>
      </c>
      <c r="W12" s="855">
        <f>+Assumptions!V73*1000+W9</f>
        <v>8711.2644636170808</v>
      </c>
      <c r="X12" s="855">
        <f>+Assumptions!W73*1000+X9</f>
        <v>8857.2390673856462</v>
      </c>
      <c r="Y12" s="855">
        <f>+Assumptions!X73*1000+Y9</f>
        <v>9005.305702817197</v>
      </c>
      <c r="Z12" s="855">
        <f>+Assumptions!Y73*1000+Z9</f>
        <v>9155.4916253369502</v>
      </c>
      <c r="AA12" s="855">
        <f>+Assumptions!Z73*1000+AA9</f>
        <v>9307.8258126465316</v>
      </c>
      <c r="AB12" s="855">
        <f>+Assumptions!AA73*1000+AB9</f>
        <v>9462.3357900926567</v>
      </c>
      <c r="AC12" s="855">
        <f>+Assumptions!AB73*1000+AC9</f>
        <v>9619.0485814818348</v>
      </c>
      <c r="AD12" s="855">
        <f>+Assumptions!AC73*1000+AD9</f>
        <v>9777.990627107567</v>
      </c>
      <c r="AE12" s="855">
        <f>+Assumptions!AD73*1000+AE9</f>
        <v>9939.1878168547719</v>
      </c>
      <c r="AF12" s="862">
        <f>+Assumptions!AE73*1000+AF9</f>
        <v>10161.76443257465</v>
      </c>
      <c r="AG12" s="305"/>
      <c r="AH12" s="7"/>
      <c r="AI12" s="7"/>
      <c r="AJ12" s="7"/>
      <c r="AK12" s="10"/>
      <c r="AL12" s="10"/>
      <c r="AM12" s="10"/>
      <c r="AN12" s="10"/>
    </row>
    <row r="13" spans="1:40" ht="15">
      <c r="A13" s="1012"/>
      <c r="B13" s="672">
        <v>7</v>
      </c>
      <c r="C13" s="673" t="s">
        <v>456</v>
      </c>
      <c r="D13" s="683">
        <f>'Fin. Data'!D11</f>
        <v>-353.7</v>
      </c>
      <c r="E13" s="452">
        <f>'Fin. Data'!C11</f>
        <v>-312.73</v>
      </c>
      <c r="F13" s="453">
        <f>'Fin. Data'!B11</f>
        <v>-242.46</v>
      </c>
      <c r="G13" s="456">
        <f>-Assumptions!F76*1000</f>
        <v>-302.96333333333337</v>
      </c>
      <c r="H13" s="457">
        <f>-Assumptions!G76*1000</f>
        <v>-286.05111111111114</v>
      </c>
      <c r="I13" s="457">
        <f>-Assumptions!H76*1000</f>
        <v>-277.15814814814814</v>
      </c>
      <c r="J13" s="457">
        <f>-Assumptions!I76*1000</f>
        <v>-288.72419753086427</v>
      </c>
      <c r="K13" s="456">
        <f>-Assumptions!J76*1000</f>
        <v>-283.97781893004122</v>
      </c>
      <c r="L13" s="457">
        <f>-Assumptions!K76*1000</f>
        <v>-283.28672153635119</v>
      </c>
      <c r="M13" s="457">
        <f>-Assumptions!L76*1000</f>
        <v>-285.32957933241886</v>
      </c>
      <c r="N13" s="457">
        <f>-Assumptions!M76*1000</f>
        <v>-284.19803993293709</v>
      </c>
      <c r="O13" s="457">
        <f>-Assumptions!N76*1000</f>
        <v>-284.27144693390244</v>
      </c>
      <c r="P13" s="457">
        <f>-Assumptions!O76*1000</f>
        <v>-284.59968873308617</v>
      </c>
      <c r="Q13" s="457">
        <f>-Assumptions!P76*1000</f>
        <v>-284.3563918666419</v>
      </c>
      <c r="R13" s="457">
        <f>-Assumptions!Q76*1000</f>
        <v>-284.40917584454348</v>
      </c>
      <c r="S13" s="457">
        <f>-Assumptions!R76*1000</f>
        <v>-284.45508548142385</v>
      </c>
      <c r="T13" s="457">
        <f>-Assumptions!S76*1000</f>
        <v>-284.40688439753643</v>
      </c>
      <c r="U13" s="457">
        <f>-Assumptions!T76*1000</f>
        <v>-284.42371524116794</v>
      </c>
      <c r="V13" s="457">
        <f>-Assumptions!U76*1000</f>
        <v>-284.42856170670944</v>
      </c>
      <c r="W13" s="457">
        <f>-Assumptions!V76*1000</f>
        <v>-284.41972044847131</v>
      </c>
      <c r="X13" s="457">
        <f>-Assumptions!W76*1000</f>
        <v>-284.42399913211625</v>
      </c>
      <c r="Y13" s="457">
        <f>-Assumptions!X76*1000</f>
        <v>-284.42409376243234</v>
      </c>
      <c r="Z13" s="457">
        <f>-Assumptions!Y76*1000</f>
        <v>-284.42260444767328</v>
      </c>
      <c r="AA13" s="457">
        <f>-Assumptions!Z76*1000</f>
        <v>-284.42356578074055</v>
      </c>
      <c r="AB13" s="457">
        <f>-Assumptions!AA76*1000</f>
        <v>-284.42342133028205</v>
      </c>
      <c r="AC13" s="457">
        <f>-Assumptions!AB76*1000</f>
        <v>-284.42319718623196</v>
      </c>
      <c r="AD13" s="457">
        <f>-Assumptions!AC76*1000</f>
        <v>-284.42339476575154</v>
      </c>
      <c r="AE13" s="457">
        <f>-Assumptions!AD76*1000</f>
        <v>-284.4233377607552</v>
      </c>
      <c r="AF13" s="860">
        <f>-Assumptions!AE76*1000</f>
        <v>-284.4233099042462</v>
      </c>
      <c r="AG13" s="461"/>
      <c r="AH13" s="7"/>
      <c r="AI13" s="7"/>
      <c r="AJ13" s="7"/>
      <c r="AK13" s="10"/>
      <c r="AL13" s="10"/>
      <c r="AM13" s="10"/>
      <c r="AN13" s="10"/>
    </row>
    <row r="14" spans="1:40" ht="15">
      <c r="A14" s="1012"/>
      <c r="B14" s="672">
        <v>8</v>
      </c>
      <c r="C14" s="673" t="s">
        <v>457</v>
      </c>
      <c r="D14" s="684">
        <f>'Fin. Data'!D12</f>
        <v>725.65</v>
      </c>
      <c r="E14" s="312">
        <f>'Fin. Data'!C12</f>
        <v>-711.19</v>
      </c>
      <c r="F14" s="318">
        <f>'Fin. Data'!B12</f>
        <v>-194.77</v>
      </c>
      <c r="G14" s="322">
        <f>AVERAGE(D14:F14)*(1+G5)</f>
        <v>-61.626633598733299</v>
      </c>
      <c r="H14" s="320">
        <f t="shared" ref="H14:AF14" si="8">AVERAGE(E14:G14)*(1+H5)</f>
        <v>-352.24479453583888</v>
      </c>
      <c r="I14" s="320">
        <f t="shared" si="8"/>
        <v>-215.28563675567372</v>
      </c>
      <c r="J14" s="323">
        <f t="shared" si="8"/>
        <v>-207.63271271424028</v>
      </c>
      <c r="K14" s="322">
        <f t="shared" si="8"/>
        <v>-266.38767511684034</v>
      </c>
      <c r="L14" s="320">
        <f t="shared" si="8"/>
        <v>-242.87026099681447</v>
      </c>
      <c r="M14" s="320">
        <f t="shared" si="8"/>
        <v>-253.98198119590174</v>
      </c>
      <c r="N14" s="320">
        <f t="shared" si="8"/>
        <v>-270.62220372333093</v>
      </c>
      <c r="O14" s="320">
        <f t="shared" si="8"/>
        <v>-261.5909581928521</v>
      </c>
      <c r="P14" s="320">
        <f t="shared" si="8"/>
        <v>-267.84171149506221</v>
      </c>
      <c r="Q14" s="320">
        <f t="shared" si="8"/>
        <v>-272.64607623748685</v>
      </c>
      <c r="R14" s="320">
        <f t="shared" si="8"/>
        <v>-273.33907922727269</v>
      </c>
      <c r="S14" s="320">
        <f t="shared" si="8"/>
        <v>-277.34561066434844</v>
      </c>
      <c r="T14" s="320">
        <f t="shared" si="8"/>
        <v>-280.58372293907621</v>
      </c>
      <c r="U14" s="320">
        <f t="shared" si="8"/>
        <v>-283.28624547929621</v>
      </c>
      <c r="V14" s="320">
        <f t="shared" si="8"/>
        <v>-286.67571539185366</v>
      </c>
      <c r="W14" s="320">
        <f t="shared" si="8"/>
        <v>-289.85599047417713</v>
      </c>
      <c r="X14" s="320">
        <f t="shared" si="8"/>
        <v>-293.01590418854744</v>
      </c>
      <c r="Y14" s="320">
        <f t="shared" si="8"/>
        <v>-296.33165827374035</v>
      </c>
      <c r="Z14" s="320">
        <f t="shared" si="8"/>
        <v>-299.62226637443638</v>
      </c>
      <c r="AA14" s="320">
        <f t="shared" si="8"/>
        <v>-302.9504798401681</v>
      </c>
      <c r="AB14" s="320">
        <f t="shared" si="8"/>
        <v>-306.33606862374489</v>
      </c>
      <c r="AC14" s="320">
        <f t="shared" si="8"/>
        <v>-309.74545988515956</v>
      </c>
      <c r="AD14" s="320">
        <f t="shared" si="8"/>
        <v>-313.19532550807725</v>
      </c>
      <c r="AE14" s="320">
        <f t="shared" si="8"/>
        <v>-316.68664842309329</v>
      </c>
      <c r="AF14" s="323">
        <f t="shared" si="8"/>
        <v>-320.21400427617363</v>
      </c>
      <c r="AG14" s="461"/>
      <c r="AH14" s="7"/>
      <c r="AI14" s="7"/>
      <c r="AJ14" s="7"/>
      <c r="AK14" s="10"/>
      <c r="AL14" s="10"/>
      <c r="AM14" s="10"/>
      <c r="AN14" s="10"/>
    </row>
    <row r="15" spans="1:40" ht="15">
      <c r="A15" s="1012"/>
      <c r="B15" s="672">
        <v>9</v>
      </c>
      <c r="C15" s="675" t="s">
        <v>458</v>
      </c>
      <c r="D15" s="685">
        <f t="shared" ref="D15:AF15" si="9">D8+D13+D14</f>
        <v>5819.0199999999995</v>
      </c>
      <c r="E15" s="286">
        <f t="shared" si="9"/>
        <v>6014.57</v>
      </c>
      <c r="F15" s="317">
        <f t="shared" si="9"/>
        <v>5202.3099999999995</v>
      </c>
      <c r="G15" s="334">
        <f t="shared" si="9"/>
        <v>5082.4800330679336</v>
      </c>
      <c r="H15" s="335">
        <f t="shared" si="9"/>
        <v>6400.1940943530499</v>
      </c>
      <c r="I15" s="335">
        <f t="shared" si="9"/>
        <v>5147.0962150961786</v>
      </c>
      <c r="J15" s="336">
        <f t="shared" si="9"/>
        <v>4932.6430897548953</v>
      </c>
      <c r="K15" s="334">
        <f t="shared" si="9"/>
        <v>5385.6345059531186</v>
      </c>
      <c r="L15" s="335">
        <f t="shared" si="9"/>
        <v>5884.8430174668347</v>
      </c>
      <c r="M15" s="335">
        <f t="shared" si="9"/>
        <v>5775.6920866099545</v>
      </c>
      <c r="N15" s="335">
        <f t="shared" si="9"/>
        <v>5922.4861585671088</v>
      </c>
      <c r="O15" s="335">
        <f t="shared" si="9"/>
        <v>6265.6744234715297</v>
      </c>
      <c r="P15" s="335">
        <f t="shared" si="9"/>
        <v>6649.8711421515945</v>
      </c>
      <c r="Q15" s="335">
        <f t="shared" si="9"/>
        <v>7064.4811097691163</v>
      </c>
      <c r="R15" s="335">
        <f t="shared" si="9"/>
        <v>7194.9297431292071</v>
      </c>
      <c r="S15" s="335">
        <f t="shared" si="9"/>
        <v>7320.2844131069487</v>
      </c>
      <c r="T15" s="335">
        <f t="shared" si="9"/>
        <v>7450.8686941615888</v>
      </c>
      <c r="U15" s="335">
        <f t="shared" si="9"/>
        <v>7584.0641259363783</v>
      </c>
      <c r="V15" s="335">
        <f t="shared" si="9"/>
        <v>7718.7415297616944</v>
      </c>
      <c r="W15" s="335">
        <f t="shared" si="9"/>
        <v>7855.7171296339502</v>
      </c>
      <c r="X15" s="335">
        <f t="shared" si="9"/>
        <v>7994.744149011276</v>
      </c>
      <c r="Y15" s="335">
        <f t="shared" si="9"/>
        <v>8135.7509167256885</v>
      </c>
      <c r="Z15" s="335">
        <f t="shared" si="9"/>
        <v>8278.9736398171171</v>
      </c>
      <c r="AA15" s="335">
        <f t="shared" si="9"/>
        <v>8424.3509000450613</v>
      </c>
      <c r="AB15" s="335">
        <f>AB8+AB13+AB14</f>
        <v>8571.8903205668576</v>
      </c>
      <c r="AC15" s="335">
        <f t="shared" si="9"/>
        <v>8721.6485351184583</v>
      </c>
      <c r="AD15" s="335">
        <f t="shared" si="9"/>
        <v>8873.6333610230486</v>
      </c>
      <c r="AE15" s="335">
        <f t="shared" si="9"/>
        <v>9027.8699662986091</v>
      </c>
      <c r="AF15" s="336">
        <f t="shared" si="9"/>
        <v>9184.3884233994431</v>
      </c>
      <c r="AG15" s="461"/>
      <c r="AH15" s="7"/>
      <c r="AI15" s="7"/>
      <c r="AJ15" s="7"/>
      <c r="AK15" s="10"/>
      <c r="AL15" s="10"/>
      <c r="AM15" s="10"/>
      <c r="AN15" s="10"/>
    </row>
    <row r="16" spans="1:40" ht="15">
      <c r="A16" s="1012"/>
      <c r="B16" s="672">
        <v>10</v>
      </c>
      <c r="C16" s="673" t="s">
        <v>459</v>
      </c>
      <c r="D16" s="686">
        <f>'Fin. Data'!D18</f>
        <v>-1362.51</v>
      </c>
      <c r="E16" s="450">
        <f>'Fin. Data'!C18</f>
        <v>-1366.07</v>
      </c>
      <c r="F16" s="451">
        <f>'Fin. Data'!B18</f>
        <v>-1241.01</v>
      </c>
      <c r="G16" s="440">
        <f>-$D$56*G15</f>
        <v>-1185.6123365860988</v>
      </c>
      <c r="H16" s="407">
        <f>-$D$56*H15</f>
        <v>-1493.001256363036</v>
      </c>
      <c r="I16" s="407">
        <f t="shared" ref="I16:J16" si="10">-$D$56*I15</f>
        <v>-1200.6856358528617</v>
      </c>
      <c r="J16" s="407">
        <f t="shared" si="10"/>
        <v>-1150.6592177715706</v>
      </c>
      <c r="K16" s="406">
        <f>-$E$56*K15</f>
        <v>-1346.4086264882797</v>
      </c>
      <c r="L16" s="407">
        <f>-$E$56*L15</f>
        <v>-1471.2107543667087</v>
      </c>
      <c r="M16" s="407">
        <f t="shared" ref="M16:AE16" si="11">-$E$56*M15</f>
        <v>-1443.9230216524886</v>
      </c>
      <c r="N16" s="407">
        <f t="shared" si="11"/>
        <v>-1480.6215396417772</v>
      </c>
      <c r="O16" s="407">
        <f t="shared" si="11"/>
        <v>-1566.4186058678824</v>
      </c>
      <c r="P16" s="407">
        <f t="shared" si="11"/>
        <v>-1662.4677855378986</v>
      </c>
      <c r="Q16" s="407">
        <f t="shared" si="11"/>
        <v>-1766.1202774422791</v>
      </c>
      <c r="R16" s="407">
        <f t="shared" si="11"/>
        <v>-1798.7324357823018</v>
      </c>
      <c r="S16" s="407">
        <f t="shared" si="11"/>
        <v>-1830.0711032767372</v>
      </c>
      <c r="T16" s="407">
        <f t="shared" si="11"/>
        <v>-1862.7171735403972</v>
      </c>
      <c r="U16" s="407">
        <f t="shared" si="11"/>
        <v>-1896.0160314840946</v>
      </c>
      <c r="V16" s="407">
        <f t="shared" si="11"/>
        <v>-1929.6853824404236</v>
      </c>
      <c r="W16" s="407">
        <f t="shared" si="11"/>
        <v>-1963.9292824084876</v>
      </c>
      <c r="X16" s="407">
        <f t="shared" si="11"/>
        <v>-1998.686037252819</v>
      </c>
      <c r="Y16" s="407">
        <f t="shared" si="11"/>
        <v>-2033.9377291814221</v>
      </c>
      <c r="Z16" s="407">
        <f t="shared" si="11"/>
        <v>-2069.7434099542793</v>
      </c>
      <c r="AA16" s="407">
        <f t="shared" si="11"/>
        <v>-2106.0877250112653</v>
      </c>
      <c r="AB16" s="407">
        <f t="shared" si="11"/>
        <v>-2142.9725801417144</v>
      </c>
      <c r="AC16" s="407">
        <f t="shared" si="11"/>
        <v>-2180.4121337796146</v>
      </c>
      <c r="AD16" s="407">
        <f t="shared" si="11"/>
        <v>-2218.4083402557621</v>
      </c>
      <c r="AE16" s="407">
        <f t="shared" si="11"/>
        <v>-2256.9674915746523</v>
      </c>
      <c r="AF16" s="408">
        <f>-$E$56*AF15</f>
        <v>-2296.0971058498608</v>
      </c>
      <c r="AG16" s="461"/>
      <c r="AH16" s="7"/>
      <c r="AI16" s="7"/>
      <c r="AJ16" s="7"/>
      <c r="AK16" s="10"/>
      <c r="AL16" s="10"/>
      <c r="AM16" s="10"/>
      <c r="AN16" s="10"/>
    </row>
    <row r="17" spans="1:40" ht="15.75" thickBot="1">
      <c r="A17" s="1012"/>
      <c r="B17" s="676">
        <v>11</v>
      </c>
      <c r="C17" s="677" t="s">
        <v>460</v>
      </c>
      <c r="D17" s="687">
        <f>'Fin. Data'!D20</f>
        <v>4456.55</v>
      </c>
      <c r="E17" s="624">
        <f>'Fin. Data'!C20</f>
        <v>4648.5</v>
      </c>
      <c r="F17" s="319">
        <f>'Fin. Data'!B20</f>
        <v>3961.29</v>
      </c>
      <c r="G17" s="325">
        <f t="shared" ref="G17:AF17" si="12">G16+G15</f>
        <v>3896.8676964818351</v>
      </c>
      <c r="H17" s="326">
        <f t="shared" si="12"/>
        <v>4907.1928379900137</v>
      </c>
      <c r="I17" s="326">
        <f t="shared" si="12"/>
        <v>3946.410579243317</v>
      </c>
      <c r="J17" s="327">
        <f t="shared" si="12"/>
        <v>3781.9838719833247</v>
      </c>
      <c r="K17" s="325">
        <f t="shared" si="12"/>
        <v>4039.2258794648387</v>
      </c>
      <c r="L17" s="326">
        <f t="shared" si="12"/>
        <v>4413.6322631001258</v>
      </c>
      <c r="M17" s="326">
        <f t="shared" si="12"/>
        <v>4331.7690649574661</v>
      </c>
      <c r="N17" s="326">
        <f t="shared" si="12"/>
        <v>4441.8646189253313</v>
      </c>
      <c r="O17" s="326">
        <f t="shared" si="12"/>
        <v>4699.2558176036473</v>
      </c>
      <c r="P17" s="326">
        <f t="shared" si="12"/>
        <v>4987.4033566136959</v>
      </c>
      <c r="Q17" s="326">
        <f t="shared" si="12"/>
        <v>5298.3608323268372</v>
      </c>
      <c r="R17" s="326">
        <f t="shared" si="12"/>
        <v>5396.1973073469053</v>
      </c>
      <c r="S17" s="326">
        <f t="shared" si="12"/>
        <v>5490.2133098302111</v>
      </c>
      <c r="T17" s="326">
        <f t="shared" si="12"/>
        <v>5588.1515206211916</v>
      </c>
      <c r="U17" s="326">
        <f t="shared" si="12"/>
        <v>5688.0480944522842</v>
      </c>
      <c r="V17" s="326">
        <f t="shared" si="12"/>
        <v>5789.0561473212711</v>
      </c>
      <c r="W17" s="326">
        <f t="shared" si="12"/>
        <v>5891.7878472254624</v>
      </c>
      <c r="X17" s="326">
        <f t="shared" si="12"/>
        <v>5996.058111758457</v>
      </c>
      <c r="Y17" s="326">
        <f t="shared" si="12"/>
        <v>6101.8131875442668</v>
      </c>
      <c r="Z17" s="326">
        <f t="shared" si="12"/>
        <v>6209.2302298628383</v>
      </c>
      <c r="AA17" s="326">
        <f t="shared" si="12"/>
        <v>6318.263175033796</v>
      </c>
      <c r="AB17" s="326">
        <f>AB16+AB15</f>
        <v>6428.9177404251432</v>
      </c>
      <c r="AC17" s="326">
        <f t="shared" si="12"/>
        <v>6541.2364013388433</v>
      </c>
      <c r="AD17" s="326">
        <f t="shared" si="12"/>
        <v>6655.225020767286</v>
      </c>
      <c r="AE17" s="326">
        <f t="shared" si="12"/>
        <v>6770.9024747239564</v>
      </c>
      <c r="AF17" s="327">
        <f t="shared" si="12"/>
        <v>6888.2913175495823</v>
      </c>
      <c r="AG17" s="461"/>
      <c r="AH17" s="7"/>
      <c r="AI17" s="7"/>
      <c r="AJ17" s="7"/>
      <c r="AK17" s="10"/>
      <c r="AL17" s="10"/>
      <c r="AM17" s="10"/>
      <c r="AN17" s="10"/>
    </row>
    <row r="18" spans="1:40" ht="15.75" thickBot="1">
      <c r="A18" s="253"/>
      <c r="B18" s="265"/>
      <c r="C18" s="266" t="s">
        <v>461</v>
      </c>
      <c r="D18" s="270" t="s">
        <v>461</v>
      </c>
      <c r="E18" s="270" t="s">
        <v>461</v>
      </c>
      <c r="F18" s="270" t="s">
        <v>461</v>
      </c>
      <c r="G18" s="267" t="s">
        <v>461</v>
      </c>
      <c r="H18" s="267" t="s">
        <v>461</v>
      </c>
      <c r="I18" s="267" t="s">
        <v>461</v>
      </c>
      <c r="J18" s="267" t="s">
        <v>461</v>
      </c>
      <c r="K18" s="267" t="s">
        <v>461</v>
      </c>
      <c r="L18" s="267" t="s">
        <v>461</v>
      </c>
      <c r="M18" s="267" t="s">
        <v>461</v>
      </c>
      <c r="N18" s="267" t="s">
        <v>461</v>
      </c>
      <c r="O18" s="267" t="s">
        <v>461</v>
      </c>
      <c r="P18" s="267" t="s">
        <v>461</v>
      </c>
      <c r="Q18" s="267" t="s">
        <v>461</v>
      </c>
      <c r="R18" s="267" t="s">
        <v>461</v>
      </c>
      <c r="S18" s="267" t="s">
        <v>461</v>
      </c>
      <c r="T18" s="267" t="s">
        <v>461</v>
      </c>
      <c r="U18" s="267" t="s">
        <v>461</v>
      </c>
      <c r="V18" s="267" t="s">
        <v>461</v>
      </c>
      <c r="W18" s="267" t="s">
        <v>461</v>
      </c>
      <c r="X18" s="267" t="s">
        <v>461</v>
      </c>
      <c r="Y18" s="267" t="s">
        <v>461</v>
      </c>
      <c r="Z18" s="267" t="s">
        <v>461</v>
      </c>
      <c r="AA18" s="267" t="s">
        <v>461</v>
      </c>
      <c r="AB18" s="267" t="s">
        <v>461</v>
      </c>
      <c r="AC18" s="267" t="s">
        <v>461</v>
      </c>
      <c r="AD18" s="267" t="s">
        <v>461</v>
      </c>
      <c r="AE18" s="267" t="s">
        <v>461</v>
      </c>
      <c r="AF18" s="275" t="s">
        <v>461</v>
      </c>
      <c r="AG18" s="461"/>
      <c r="AH18" s="7"/>
      <c r="AI18" s="7"/>
      <c r="AJ18" s="7"/>
      <c r="AK18" s="10"/>
      <c r="AL18" s="10"/>
      <c r="AM18" s="10"/>
      <c r="AN18" s="10"/>
    </row>
    <row r="19" spans="1:40" ht="15">
      <c r="A19" s="1206" t="s">
        <v>462</v>
      </c>
      <c r="B19" s="243">
        <v>12</v>
      </c>
      <c r="C19" s="419" t="s">
        <v>463</v>
      </c>
      <c r="D19" s="405">
        <f>4183.68-D20</f>
        <v>4318.2800000000007</v>
      </c>
      <c r="E19" s="280">
        <f>5587.02-E20</f>
        <v>5771.1200000000008</v>
      </c>
      <c r="F19" s="665">
        <f>4608.2-F20</f>
        <v>4768.8999999999996</v>
      </c>
      <c r="G19" s="645">
        <f>G17-G10-G9-G11</f>
        <v>4184.9527671718915</v>
      </c>
      <c r="H19" s="646">
        <f>H17-H10-H9-H11</f>
        <v>5219.0415361490777</v>
      </c>
      <c r="I19" s="646">
        <f t="shared" ref="I19:AF19" si="13">I17-I10-I9-I11</f>
        <v>4280.0186842517851</v>
      </c>
      <c r="J19" s="647">
        <f t="shared" si="13"/>
        <v>4118.9522484388108</v>
      </c>
      <c r="K19" s="648">
        <f t="shared" si="13"/>
        <v>4381.3801859266141</v>
      </c>
      <c r="L19" s="646">
        <f t="shared" si="13"/>
        <v>4767.4914166355557</v>
      </c>
      <c r="M19" s="646">
        <f t="shared" si="13"/>
        <v>4699.5069404850628</v>
      </c>
      <c r="N19" s="646">
        <f t="shared" si="13"/>
        <v>4825.783965143788</v>
      </c>
      <c r="O19" s="646">
        <f t="shared" si="13"/>
        <v>5090.1672464893263</v>
      </c>
      <c r="P19" s="646">
        <f t="shared" si="13"/>
        <v>5385.3978755726721</v>
      </c>
      <c r="Q19" s="646">
        <f t="shared" si="13"/>
        <v>5703.9124373149998</v>
      </c>
      <c r="R19" s="646">
        <f t="shared" si="13"/>
        <v>5809.5882790183696</v>
      </c>
      <c r="S19" s="646">
        <f t="shared" si="13"/>
        <v>5911.7304103118795</v>
      </c>
      <c r="T19" s="646">
        <f t="shared" si="13"/>
        <v>6018.1027298440522</v>
      </c>
      <c r="U19" s="646">
        <f t="shared" si="13"/>
        <v>6126.710910856832</v>
      </c>
      <c r="V19" s="646">
        <f t="shared" si="13"/>
        <v>6236.7128275300665</v>
      </c>
      <c r="W19" s="646">
        <f t="shared" si="13"/>
        <v>6348.7236621757665</v>
      </c>
      <c r="X19" s="646">
        <f t="shared" si="13"/>
        <v>6462.5511243330066</v>
      </c>
      <c r="Y19" s="646">
        <f t="shared" si="13"/>
        <v>6578.1424448690623</v>
      </c>
      <c r="Z19" s="646">
        <f t="shared" si="13"/>
        <v>6695.6749979520819</v>
      </c>
      <c r="AA19" s="646">
        <f t="shared" si="13"/>
        <v>6815.1022276554249</v>
      </c>
      <c r="AB19" s="646">
        <f>AB17-AB10-AB9-AB11</f>
        <v>6936.4313911410018</v>
      </c>
      <c r="AC19" s="646">
        <f t="shared" si="13"/>
        <v>7059.7065240536131</v>
      </c>
      <c r="AD19" s="646">
        <f t="shared" si="13"/>
        <v>7184.9353798935426</v>
      </c>
      <c r="AE19" s="646">
        <f t="shared" si="13"/>
        <v>7312.139474437914</v>
      </c>
      <c r="AF19" s="649">
        <f t="shared" si="13"/>
        <v>7441.3442995700816</v>
      </c>
      <c r="AG19" s="461"/>
      <c r="AH19" s="7"/>
      <c r="AI19" s="7"/>
      <c r="AJ19" s="7"/>
      <c r="AK19" s="10"/>
      <c r="AL19" s="10"/>
      <c r="AM19" s="10"/>
      <c r="AN19" s="10"/>
    </row>
    <row r="20" spans="1:40" ht="15">
      <c r="A20" s="1207"/>
      <c r="B20" s="243">
        <v>13</v>
      </c>
      <c r="C20" s="263" t="s">
        <v>464</v>
      </c>
      <c r="D20" s="281">
        <v>-134.6</v>
      </c>
      <c r="E20" s="282">
        <v>-184.1</v>
      </c>
      <c r="F20" s="666">
        <v>-160.69999999999999</v>
      </c>
      <c r="G20" s="650">
        <f>G11</f>
        <v>-176.94456135811132</v>
      </c>
      <c r="H20" s="459">
        <f t="shared" ref="H20:AF20" si="14">H11</f>
        <v>-193.24719408743903</v>
      </c>
      <c r="I20" s="459">
        <f t="shared" si="14"/>
        <v>-205.06332615841745</v>
      </c>
      <c r="J20" s="460">
        <f t="shared" si="14"/>
        <v>-203.02333263588858</v>
      </c>
      <c r="K20" s="446">
        <f t="shared" si="14"/>
        <v>-209.30915250640163</v>
      </c>
      <c r="L20" s="459">
        <f t="shared" si="14"/>
        <v>-221.24412097831814</v>
      </c>
      <c r="M20" s="459">
        <f t="shared" si="14"/>
        <v>-235.14891817556307</v>
      </c>
      <c r="N20" s="459">
        <f t="shared" si="14"/>
        <v>-250.13046486411005</v>
      </c>
      <c r="O20" s="459">
        <f t="shared" si="14"/>
        <v>-255.76826039697318</v>
      </c>
      <c r="P20" s="459">
        <f t="shared" si="14"/>
        <v>-261.40612497172401</v>
      </c>
      <c r="Q20" s="459">
        <f t="shared" si="14"/>
        <v>-267.24924744512498</v>
      </c>
      <c r="R20" s="459">
        <f t="shared" si="14"/>
        <v>-273.22627706541721</v>
      </c>
      <c r="S20" s="459">
        <f t="shared" si="14"/>
        <v>-279.33991272124854</v>
      </c>
      <c r="T20" s="459">
        <f t="shared" si="14"/>
        <v>-285.58959254723356</v>
      </c>
      <c r="U20" s="459">
        <f t="shared" si="14"/>
        <v>-291.97646213394108</v>
      </c>
      <c r="V20" s="459">
        <f t="shared" si="14"/>
        <v>-298.50574540393467</v>
      </c>
      <c r="W20" s="459">
        <f t="shared" si="14"/>
        <v>-305.18176792815939</v>
      </c>
      <c r="X20" s="459">
        <f t="shared" si="14"/>
        <v>-312.00713429422547</v>
      </c>
      <c r="Y20" s="459">
        <f t="shared" si="14"/>
        <v>-318.98514962110778</v>
      </c>
      <c r="Z20" s="459">
        <f t="shared" si="14"/>
        <v>-326.11920123634326</v>
      </c>
      <c r="AA20" s="459">
        <f t="shared" si="14"/>
        <v>-333.41278397128355</v>
      </c>
      <c r="AB20" s="459">
        <f t="shared" si="14"/>
        <v>-340.86948832605896</v>
      </c>
      <c r="AC20" s="459">
        <f t="shared" si="14"/>
        <v>-348.49296661674094</v>
      </c>
      <c r="AD20" s="459">
        <f t="shared" si="14"/>
        <v>-356.28694253927114</v>
      </c>
      <c r="AE20" s="459">
        <f t="shared" si="14"/>
        <v>-364.25522885436385</v>
      </c>
      <c r="AF20" s="651">
        <f t="shared" si="14"/>
        <v>-372.40172395644265</v>
      </c>
      <c r="AG20" s="461"/>
      <c r="AH20" s="7"/>
      <c r="AI20" s="7"/>
      <c r="AJ20" s="7"/>
      <c r="AK20" s="10"/>
      <c r="AL20" s="10"/>
      <c r="AM20" s="10"/>
      <c r="AN20" s="10"/>
    </row>
    <row r="21" spans="1:40" ht="15">
      <c r="A21" s="1207"/>
      <c r="B21" s="243">
        <v>14</v>
      </c>
      <c r="C21" s="263" t="s">
        <v>465</v>
      </c>
      <c r="D21" s="285">
        <f>Inputs!D61</f>
        <v>-1650.9</v>
      </c>
      <c r="E21" s="284">
        <f>Inputs!C61</f>
        <v>-2321.36</v>
      </c>
      <c r="F21" s="667">
        <f>Inputs!B61</f>
        <v>571.54</v>
      </c>
      <c r="G21" s="652">
        <f t="shared" ref="G21:J21" si="15">$D$60*(G6-F6)</f>
        <v>290.33951828143279</v>
      </c>
      <c r="H21" s="435">
        <f t="shared" si="15"/>
        <v>1082.2051719067667</v>
      </c>
      <c r="I21" s="435">
        <f t="shared" si="15"/>
        <v>784.38123777039618</v>
      </c>
      <c r="J21" s="436">
        <f t="shared" si="15"/>
        <v>-135.41932627639417</v>
      </c>
      <c r="K21" s="324">
        <f t="shared" ref="K21:AF21" si="16">$E$60*(K6-J6)</f>
        <v>190.42603649954594</v>
      </c>
      <c r="L21" s="321">
        <f t="shared" si="16"/>
        <v>361.56440825094779</v>
      </c>
      <c r="M21" s="321">
        <f t="shared" si="16"/>
        <v>421.23946806404876</v>
      </c>
      <c r="N21" s="321">
        <f t="shared" si="16"/>
        <v>453.85910116766462</v>
      </c>
      <c r="O21" s="321">
        <f t="shared" si="16"/>
        <v>170.79443573529269</v>
      </c>
      <c r="P21" s="321">
        <f t="shared" si="16"/>
        <v>170.79652732768747</v>
      </c>
      <c r="Q21" s="321">
        <f t="shared" si="16"/>
        <v>177.01472143845345</v>
      </c>
      <c r="R21" s="321">
        <f t="shared" si="16"/>
        <v>181.07137717577325</v>
      </c>
      <c r="S21" s="321">
        <f t="shared" si="16"/>
        <v>185.20979450962818</v>
      </c>
      <c r="T21" s="321">
        <f t="shared" si="16"/>
        <v>189.33119038875125</v>
      </c>
      <c r="U21" s="321">
        <f t="shared" si="16"/>
        <v>193.48729140991549</v>
      </c>
      <c r="V21" s="321">
        <f t="shared" si="16"/>
        <v>197.80164877460794</v>
      </c>
      <c r="W21" s="321">
        <f t="shared" si="16"/>
        <v>202.24704733163804</v>
      </c>
      <c r="X21" s="321">
        <f t="shared" si="16"/>
        <v>206.77135067842602</v>
      </c>
      <c r="Y21" s="321">
        <f t="shared" si="16"/>
        <v>211.39578109208969</v>
      </c>
      <c r="Z21" s="321">
        <f t="shared" si="16"/>
        <v>216.12282904339608</v>
      </c>
      <c r="AA21" s="321">
        <f t="shared" si="16"/>
        <v>220.95575131121859</v>
      </c>
      <c r="AB21" s="321">
        <f t="shared" si="16"/>
        <v>225.8974461374261</v>
      </c>
      <c r="AC21" s="321">
        <f t="shared" si="16"/>
        <v>230.9497862076679</v>
      </c>
      <c r="AD21" s="321">
        <f t="shared" si="16"/>
        <v>236.1149339424484</v>
      </c>
      <c r="AE21" s="321">
        <f t="shared" si="16"/>
        <v>241.39558751829514</v>
      </c>
      <c r="AF21" s="653">
        <f t="shared" si="16"/>
        <v>246.7943411692479</v>
      </c>
      <c r="AG21" s="461"/>
      <c r="AH21" s="7"/>
      <c r="AI21" s="7"/>
      <c r="AJ21" s="7"/>
      <c r="AK21" s="10"/>
      <c r="AL21" s="10"/>
      <c r="AM21" s="10"/>
      <c r="AN21" s="10"/>
    </row>
    <row r="22" spans="1:40" ht="15">
      <c r="A22" s="1207"/>
      <c r="B22" s="243">
        <v>15</v>
      </c>
      <c r="C22" s="268" t="s">
        <v>466</v>
      </c>
      <c r="D22" s="847">
        <f>D19+D20+D21</f>
        <v>2532.7800000000002</v>
      </c>
      <c r="E22" s="849">
        <f t="shared" ref="E22:AF22" si="17">E19+E20+E21</f>
        <v>3265.6600000000003</v>
      </c>
      <c r="F22" s="848">
        <f t="shared" si="17"/>
        <v>5179.74</v>
      </c>
      <c r="G22" s="654">
        <f>G19+G20+G21</f>
        <v>4298.3477240952125</v>
      </c>
      <c r="H22" s="433">
        <f t="shared" si="17"/>
        <v>6107.9995139684052</v>
      </c>
      <c r="I22" s="433">
        <f t="shared" si="17"/>
        <v>4859.3365958637642</v>
      </c>
      <c r="J22" s="434">
        <f t="shared" si="17"/>
        <v>3780.5095895265281</v>
      </c>
      <c r="K22" s="432">
        <f t="shared" si="17"/>
        <v>4362.4970699197584</v>
      </c>
      <c r="L22" s="433">
        <f t="shared" si="17"/>
        <v>4907.8117039081853</v>
      </c>
      <c r="M22" s="433">
        <f t="shared" si="17"/>
        <v>4885.5974903735487</v>
      </c>
      <c r="N22" s="433">
        <f t="shared" si="17"/>
        <v>5029.5126014473426</v>
      </c>
      <c r="O22" s="433">
        <f t="shared" si="17"/>
        <v>5005.1934218276456</v>
      </c>
      <c r="P22" s="433">
        <f t="shared" si="17"/>
        <v>5294.7882779286356</v>
      </c>
      <c r="Q22" s="433">
        <f t="shared" si="17"/>
        <v>5613.6779113083285</v>
      </c>
      <c r="R22" s="433">
        <f t="shared" si="17"/>
        <v>5717.4333791287263</v>
      </c>
      <c r="S22" s="433">
        <f t="shared" si="17"/>
        <v>5817.6002921002591</v>
      </c>
      <c r="T22" s="433">
        <f t="shared" si="17"/>
        <v>5921.8443276855705</v>
      </c>
      <c r="U22" s="433">
        <f t="shared" si="17"/>
        <v>6028.2217401328062</v>
      </c>
      <c r="V22" s="433">
        <f t="shared" si="17"/>
        <v>6136.0087309007404</v>
      </c>
      <c r="W22" s="433">
        <f t="shared" si="17"/>
        <v>6245.7889415792451</v>
      </c>
      <c r="X22" s="433">
        <f t="shared" si="17"/>
        <v>6357.3153407172067</v>
      </c>
      <c r="Y22" s="433">
        <f t="shared" si="17"/>
        <v>6470.5530763400438</v>
      </c>
      <c r="Z22" s="433">
        <f t="shared" si="17"/>
        <v>6585.6786257591348</v>
      </c>
      <c r="AA22" s="433">
        <f t="shared" si="17"/>
        <v>6702.6451949953598</v>
      </c>
      <c r="AB22" s="433">
        <f>AB19+AB20+AB21</f>
        <v>6821.4593489523695</v>
      </c>
      <c r="AC22" s="433">
        <f t="shared" si="17"/>
        <v>6942.16334364454</v>
      </c>
      <c r="AD22" s="433">
        <f t="shared" si="17"/>
        <v>7064.7633712967199</v>
      </c>
      <c r="AE22" s="433">
        <f t="shared" si="17"/>
        <v>7189.2798331018457</v>
      </c>
      <c r="AF22" s="655">
        <f t="shared" si="17"/>
        <v>7315.7369167828865</v>
      </c>
      <c r="AG22" s="461"/>
      <c r="AH22" s="7"/>
      <c r="AI22" s="7"/>
      <c r="AJ22" s="7"/>
      <c r="AK22" s="10"/>
      <c r="AL22" s="10"/>
      <c r="AM22" s="10"/>
      <c r="AN22" s="10"/>
    </row>
    <row r="23" spans="1:40" ht="15">
      <c r="A23" s="1207"/>
      <c r="B23" s="243">
        <v>16</v>
      </c>
      <c r="C23" s="263" t="s">
        <v>467</v>
      </c>
      <c r="D23" s="303">
        <f>'Fin. Data'!D29</f>
        <v>-65.17</v>
      </c>
      <c r="E23" s="302">
        <f>'Fin. Data'!C29</f>
        <v>-57.21</v>
      </c>
      <c r="F23" s="669">
        <f>'Fin. Data'!B29</f>
        <v>-99.8</v>
      </c>
      <c r="G23" s="656">
        <f>G6*$D$62</f>
        <v>-171.9949</v>
      </c>
      <c r="H23" s="321">
        <f>H6*$D$62</f>
        <v>-187.8415</v>
      </c>
      <c r="I23" s="321">
        <f t="shared" ref="I23:J23" si="18">I6*$D$62</f>
        <v>-199.3271</v>
      </c>
      <c r="J23" s="418">
        <f t="shared" si="18"/>
        <v>-197.34417111416727</v>
      </c>
      <c r="K23" s="324">
        <f>K6*$E$62</f>
        <v>-120.41164456616508</v>
      </c>
      <c r="L23" s="321">
        <f t="shared" ref="L23:R23" si="19">L6*$E$62</f>
        <v>-127.27760892720678</v>
      </c>
      <c r="M23" s="321">
        <f t="shared" si="19"/>
        <v>-135.27677894834599</v>
      </c>
      <c r="N23" s="321">
        <f t="shared" si="19"/>
        <v>-143.89538283313101</v>
      </c>
      <c r="O23" s="321">
        <f>O6*$E$62</f>
        <v>-147.13870126288319</v>
      </c>
      <c r="P23" s="321">
        <f t="shared" si="19"/>
        <v>-150.38205941114339</v>
      </c>
      <c r="Q23" s="321">
        <f t="shared" si="19"/>
        <v>-153.74349859332253</v>
      </c>
      <c r="R23" s="321">
        <f t="shared" si="19"/>
        <v>-157.18197205509844</v>
      </c>
      <c r="S23" s="321">
        <f t="shared" ref="S23:AF23" si="20">S6*$E$62</f>
        <v>-160.6990324166824</v>
      </c>
      <c r="T23" s="321">
        <f t="shared" si="20"/>
        <v>-164.29435644741645</v>
      </c>
      <c r="U23" s="321">
        <f t="shared" si="20"/>
        <v>-167.9686031841498</v>
      </c>
      <c r="V23" s="321">
        <f t="shared" si="20"/>
        <v>-171.72477785192612</v>
      </c>
      <c r="W23" s="321">
        <f t="shared" si="20"/>
        <v>-175.56536887088822</v>
      </c>
      <c r="X23" s="321">
        <f t="shared" si="20"/>
        <v>-179.49187461162248</v>
      </c>
      <c r="Y23" s="321">
        <f t="shared" si="20"/>
        <v>-183.50619644732009</v>
      </c>
      <c r="Z23" s="321">
        <f t="shared" si="20"/>
        <v>-187.61028304422194</v>
      </c>
      <c r="AA23" s="321">
        <f t="shared" si="20"/>
        <v>-191.80614491350494</v>
      </c>
      <c r="AB23" s="321">
        <f t="shared" si="20"/>
        <v>-196.09584760280674</v>
      </c>
      <c r="AC23" s="321">
        <f t="shared" si="20"/>
        <v>-200.48149222132096</v>
      </c>
      <c r="AD23" s="321">
        <f t="shared" si="20"/>
        <v>-204.96522094174685</v>
      </c>
      <c r="AE23" s="321">
        <f t="shared" si="20"/>
        <v>-209.54922717408317</v>
      </c>
      <c r="AF23" s="321">
        <f t="shared" si="20"/>
        <v>-214.23575359180168</v>
      </c>
      <c r="AG23" s="462">
        <f>SUM(D23:AF23)</f>
        <v>-4721.9894970309551</v>
      </c>
      <c r="AH23" s="7"/>
      <c r="AI23" s="7"/>
      <c r="AJ23" s="7"/>
      <c r="AK23" s="10"/>
      <c r="AL23" s="10"/>
      <c r="AM23" s="10"/>
      <c r="AN23" s="10"/>
    </row>
    <row r="24" spans="1:40" ht="15">
      <c r="A24" s="1207"/>
      <c r="B24" s="243">
        <v>17</v>
      </c>
      <c r="C24" s="263" t="s">
        <v>468</v>
      </c>
      <c r="D24" s="285">
        <f>Inputs!D65</f>
        <v>-473.05</v>
      </c>
      <c r="E24" s="284">
        <f>'Fin. Data'!C30</f>
        <v>-515.09</v>
      </c>
      <c r="F24" s="667">
        <f>'Fin. Data'!B30</f>
        <v>-204.37</v>
      </c>
      <c r="G24" s="656">
        <f>G6*$D$63</f>
        <v>-847.05600021516602</v>
      </c>
      <c r="H24" s="321">
        <f t="shared" ref="H24:J24" si="21">H6*$D$63</f>
        <v>-925.09876551233265</v>
      </c>
      <c r="I24" s="321">
        <f t="shared" si="21"/>
        <v>-981.66408457744046</v>
      </c>
      <c r="J24" s="418">
        <f t="shared" si="21"/>
        <v>-971.89837750854144</v>
      </c>
      <c r="K24" s="324">
        <f t="shared" ref="K24:AF24" si="22">K6*$E$63</f>
        <v>-1660.8502698781392</v>
      </c>
      <c r="L24" s="321">
        <f t="shared" si="22"/>
        <v>-1755.5532265821626</v>
      </c>
      <c r="M24" s="321">
        <f t="shared" si="22"/>
        <v>-1865.8866061840829</v>
      </c>
      <c r="N24" s="321">
        <f t="shared" si="22"/>
        <v>-1984.7639011466347</v>
      </c>
      <c r="O24" s="321">
        <f t="shared" si="22"/>
        <v>-2029.4993277639064</v>
      </c>
      <c r="P24" s="321">
        <f t="shared" si="22"/>
        <v>-2074.2353022226675</v>
      </c>
      <c r="Q24" s="321">
        <f t="shared" si="22"/>
        <v>-2120.5999805975521</v>
      </c>
      <c r="R24" s="321">
        <f t="shared" si="22"/>
        <v>-2168.0272007599788</v>
      </c>
      <c r="S24" s="321">
        <f t="shared" si="22"/>
        <v>-2216.5383781611367</v>
      </c>
      <c r="T24" s="321">
        <f t="shared" si="22"/>
        <v>-2266.1290544471235</v>
      </c>
      <c r="U24" s="321">
        <f t="shared" si="22"/>
        <v>-2316.8083197813767</v>
      </c>
      <c r="V24" s="321">
        <f t="shared" si="22"/>
        <v>-2368.6176255438086</v>
      </c>
      <c r="W24" s="321">
        <f t="shared" si="22"/>
        <v>-2421.5912947708725</v>
      </c>
      <c r="X24" s="321">
        <f t="shared" si="22"/>
        <v>-2475.7499946430689</v>
      </c>
      <c r="Y24" s="321">
        <f t="shared" si="22"/>
        <v>-2531.1199509975186</v>
      </c>
      <c r="Z24" s="321">
        <f t="shared" si="22"/>
        <v>-2587.7280419892686</v>
      </c>
      <c r="AA24" s="321">
        <f t="shared" si="22"/>
        <v>-2645.6019988069647</v>
      </c>
      <c r="AB24" s="321">
        <f t="shared" si="22"/>
        <v>-2704.7703117628516</v>
      </c>
      <c r="AC24" s="321">
        <f t="shared" si="22"/>
        <v>-2765.2619616733928</v>
      </c>
      <c r="AD24" s="321">
        <f t="shared" si="22"/>
        <v>-2827.1064957482326</v>
      </c>
      <c r="AE24" s="321">
        <f t="shared" si="22"/>
        <v>-2890.3341679183891</v>
      </c>
      <c r="AF24" s="653">
        <f t="shared" si="22"/>
        <v>-2954.9759116110577</v>
      </c>
      <c r="AG24" s="461"/>
      <c r="AH24" s="463">
        <f>AG9-AG23</f>
        <v>4721.9894970309551</v>
      </c>
      <c r="AI24" s="7"/>
      <c r="AJ24" s="7"/>
      <c r="AK24" s="10"/>
      <c r="AL24" s="10"/>
      <c r="AM24" s="10"/>
      <c r="AN24" s="10"/>
    </row>
    <row r="25" spans="1:40" ht="15">
      <c r="A25" s="1207"/>
      <c r="B25" s="243">
        <v>18</v>
      </c>
      <c r="C25" s="263" t="s">
        <v>469</v>
      </c>
      <c r="D25" s="285">
        <f>Inputs!D66</f>
        <v>433.13</v>
      </c>
      <c r="E25" s="284">
        <f>Inputs!C66</f>
        <v>444</v>
      </c>
      <c r="F25" s="667">
        <f>Inputs!B66</f>
        <v>127.19000000000001</v>
      </c>
      <c r="G25" s="656">
        <f>(1+G5)*AVERAGE(D25:F25)</f>
        <v>343.25805920847324</v>
      </c>
      <c r="H25" s="321">
        <f t="shared" ref="H25:AF25" si="23">(1+H5)*AVERAGE(E25:G25)</f>
        <v>332.89997768113756</v>
      </c>
      <c r="I25" s="321">
        <f t="shared" si="23"/>
        <v>284.15629574916284</v>
      </c>
      <c r="J25" s="418">
        <f t="shared" si="23"/>
        <v>316.9203384514758</v>
      </c>
      <c r="K25" s="324">
        <f t="shared" si="23"/>
        <v>320.96450944118084</v>
      </c>
      <c r="L25" s="321">
        <f t="shared" si="23"/>
        <v>324.87221236800008</v>
      </c>
      <c r="M25" s="321">
        <f t="shared" si="23"/>
        <v>341.08820637447968</v>
      </c>
      <c r="N25" s="321">
        <f t="shared" si="23"/>
        <v>349.93426433464163</v>
      </c>
      <c r="O25" s="321">
        <f t="shared" si="23"/>
        <v>346.26411991082489</v>
      </c>
      <c r="P25" s="321">
        <f t="shared" si="23"/>
        <v>353.38378540824363</v>
      </c>
      <c r="Q25" s="321">
        <f t="shared" si="23"/>
        <v>357.6810413325457</v>
      </c>
      <c r="R25" s="321">
        <f t="shared" si="23"/>
        <v>360.32536977980732</v>
      </c>
      <c r="S25" s="321">
        <f t="shared" si="23"/>
        <v>365.12110914184291</v>
      </c>
      <c r="T25" s="321">
        <f t="shared" si="23"/>
        <v>369.12012104140854</v>
      </c>
      <c r="U25" s="321">
        <f t="shared" si="23"/>
        <v>373.01509084734835</v>
      </c>
      <c r="V25" s="321">
        <f t="shared" si="23"/>
        <v>377.3390624787578</v>
      </c>
      <c r="W25" s="321">
        <f t="shared" si="23"/>
        <v>381.50369907650503</v>
      </c>
      <c r="X25" s="321">
        <f t="shared" si="23"/>
        <v>385.72392157634505</v>
      </c>
      <c r="Y25" s="321">
        <f t="shared" si="23"/>
        <v>390.0549427028792</v>
      </c>
      <c r="Z25" s="321">
        <f t="shared" si="23"/>
        <v>394.38833397585046</v>
      </c>
      <c r="AA25" s="321">
        <f t="shared" si="23"/>
        <v>398.77924166277978</v>
      </c>
      <c r="AB25" s="321">
        <f t="shared" si="23"/>
        <v>403.22834415539296</v>
      </c>
      <c r="AC25" s="321">
        <f t="shared" si="23"/>
        <v>407.71769217271373</v>
      </c>
      <c r="AD25" s="321">
        <f t="shared" si="23"/>
        <v>412.26018111851897</v>
      </c>
      <c r="AE25" s="321">
        <f t="shared" si="23"/>
        <v>416.85432673692992</v>
      </c>
      <c r="AF25" s="653">
        <f t="shared" si="23"/>
        <v>421.49790133324672</v>
      </c>
      <c r="AG25" s="305"/>
      <c r="AH25" s="7"/>
      <c r="AI25" s="7"/>
      <c r="AJ25" s="7"/>
      <c r="AK25" s="10"/>
      <c r="AL25" s="10"/>
      <c r="AM25" s="10"/>
      <c r="AN25" s="10"/>
    </row>
    <row r="26" spans="1:40" ht="15">
      <c r="A26" s="1207"/>
      <c r="B26" s="243">
        <v>19</v>
      </c>
      <c r="C26" s="268" t="s">
        <v>470</v>
      </c>
      <c r="D26" s="283">
        <f t="shared" ref="D26:AF26" si="24">D23+D24+D25</f>
        <v>-105.09000000000003</v>
      </c>
      <c r="E26" s="849">
        <f>E23+E24+E25</f>
        <v>-128.30000000000007</v>
      </c>
      <c r="F26" s="668">
        <f t="shared" si="24"/>
        <v>-176.98000000000002</v>
      </c>
      <c r="G26" s="657">
        <f>G23+G24+G25</f>
        <v>-675.79284100669281</v>
      </c>
      <c r="H26" s="337">
        <f t="shared" si="24"/>
        <v>-780.04028783119509</v>
      </c>
      <c r="I26" s="337">
        <f t="shared" si="24"/>
        <v>-896.8348888282776</v>
      </c>
      <c r="J26" s="417">
        <f t="shared" si="24"/>
        <v>-852.32221017123288</v>
      </c>
      <c r="K26" s="338">
        <f t="shared" si="24"/>
        <v>-1460.2974050031235</v>
      </c>
      <c r="L26" s="337">
        <f t="shared" si="24"/>
        <v>-1557.9586231413691</v>
      </c>
      <c r="M26" s="337">
        <f t="shared" si="24"/>
        <v>-1660.0751787579493</v>
      </c>
      <c r="N26" s="337">
        <f t="shared" si="24"/>
        <v>-1778.7250196451241</v>
      </c>
      <c r="O26" s="337">
        <f t="shared" si="24"/>
        <v>-1830.373909115965</v>
      </c>
      <c r="P26" s="337">
        <f t="shared" si="24"/>
        <v>-1871.2335762255675</v>
      </c>
      <c r="Q26" s="337">
        <f t="shared" si="24"/>
        <v>-1916.6624378583288</v>
      </c>
      <c r="R26" s="337">
        <f t="shared" si="24"/>
        <v>-1964.8838030352699</v>
      </c>
      <c r="S26" s="337">
        <f t="shared" si="24"/>
        <v>-2012.1163014359761</v>
      </c>
      <c r="T26" s="337">
        <f t="shared" si="24"/>
        <v>-2061.303289853131</v>
      </c>
      <c r="U26" s="337">
        <f t="shared" si="24"/>
        <v>-2111.7618321181781</v>
      </c>
      <c r="V26" s="337">
        <f t="shared" si="24"/>
        <v>-2163.0033409169773</v>
      </c>
      <c r="W26" s="337">
        <f t="shared" si="24"/>
        <v>-2215.6529645652554</v>
      </c>
      <c r="X26" s="337">
        <f t="shared" si="24"/>
        <v>-2269.517947678346</v>
      </c>
      <c r="Y26" s="337">
        <f t="shared" si="24"/>
        <v>-2324.5712047419597</v>
      </c>
      <c r="Z26" s="337">
        <f t="shared" si="24"/>
        <v>-2380.9499910576401</v>
      </c>
      <c r="AA26" s="337">
        <f t="shared" si="24"/>
        <v>-2438.6289020576896</v>
      </c>
      <c r="AB26" s="337">
        <f t="shared" si="24"/>
        <v>-2497.6378152102652</v>
      </c>
      <c r="AC26" s="337">
        <f t="shared" si="24"/>
        <v>-2558.025761722</v>
      </c>
      <c r="AD26" s="337">
        <f t="shared" si="24"/>
        <v>-2619.8115355714604</v>
      </c>
      <c r="AE26" s="337">
        <f t="shared" si="24"/>
        <v>-2683.0290683555422</v>
      </c>
      <c r="AF26" s="658">
        <f t="shared" si="24"/>
        <v>-2747.7137638696126</v>
      </c>
      <c r="AG26" s="461"/>
      <c r="AH26" s="7"/>
      <c r="AI26" s="7"/>
      <c r="AJ26" s="7"/>
      <c r="AK26" s="10"/>
      <c r="AL26" s="10"/>
      <c r="AM26" s="10"/>
      <c r="AN26" s="10"/>
    </row>
    <row r="27" spans="1:40" ht="15">
      <c r="A27" s="1207"/>
      <c r="B27" s="243">
        <v>20</v>
      </c>
      <c r="C27" s="263" t="s">
        <v>471</v>
      </c>
      <c r="D27" s="285">
        <f>Inputs!D70+Inputs!D71</f>
        <v>0</v>
      </c>
      <c r="E27" s="284">
        <f>Inputs!C70+Inputs!C71</f>
        <v>0</v>
      </c>
      <c r="F27" s="669">
        <f>Inputs!B70+Inputs!B71</f>
        <v>0</v>
      </c>
      <c r="G27" s="819">
        <f>G6*$D$66</f>
        <v>35.100999999999999</v>
      </c>
      <c r="H27" s="820">
        <f t="shared" ref="H27:J27" si="25">H6*$D$66</f>
        <v>38.335000000000001</v>
      </c>
      <c r="I27" s="820">
        <f t="shared" si="25"/>
        <v>40.679000000000002</v>
      </c>
      <c r="J27" s="821">
        <f t="shared" si="25"/>
        <v>40.274320635544342</v>
      </c>
      <c r="K27" s="822">
        <f>$E$66*K6</f>
        <v>20.760628373476738</v>
      </c>
      <c r="L27" s="820">
        <f>$E$66*L6</f>
        <v>21.944415332277032</v>
      </c>
      <c r="M27" s="820">
        <f t="shared" ref="M27:AE27" si="26">$E$66*M6</f>
        <v>23.323582577301035</v>
      </c>
      <c r="N27" s="820">
        <f t="shared" si="26"/>
        <v>24.809548764332934</v>
      </c>
      <c r="O27" s="820">
        <f t="shared" si="26"/>
        <v>25.368741597048828</v>
      </c>
      <c r="P27" s="820">
        <f t="shared" si="26"/>
        <v>25.927941277783347</v>
      </c>
      <c r="Q27" s="820">
        <f t="shared" si="26"/>
        <v>26.507499757469404</v>
      </c>
      <c r="R27" s="820">
        <f t="shared" si="26"/>
        <v>27.100340009499735</v>
      </c>
      <c r="S27" s="820">
        <f t="shared" si="26"/>
        <v>27.70672972701421</v>
      </c>
      <c r="T27" s="820">
        <f t="shared" si="26"/>
        <v>28.326613180589046</v>
      </c>
      <c r="U27" s="820">
        <f t="shared" si="26"/>
        <v>28.960103997267208</v>
      </c>
      <c r="V27" s="820">
        <f t="shared" si="26"/>
        <v>29.607720319297609</v>
      </c>
      <c r="W27" s="820">
        <f t="shared" si="26"/>
        <v>30.269891184635906</v>
      </c>
      <c r="X27" s="820">
        <f t="shared" si="26"/>
        <v>30.946874933038362</v>
      </c>
      <c r="Y27" s="820">
        <f t="shared" si="26"/>
        <v>31.638999387468985</v>
      </c>
      <c r="Z27" s="820">
        <f t="shared" si="26"/>
        <v>32.346600524865856</v>
      </c>
      <c r="AA27" s="820">
        <f t="shared" si="26"/>
        <v>33.070024985087059</v>
      </c>
      <c r="AB27" s="820">
        <f t="shared" si="26"/>
        <v>33.809628897035651</v>
      </c>
      <c r="AC27" s="820">
        <f t="shared" si="26"/>
        <v>34.565774520917408</v>
      </c>
      <c r="AD27" s="820">
        <f t="shared" si="26"/>
        <v>35.338831196852908</v>
      </c>
      <c r="AE27" s="820">
        <f t="shared" si="26"/>
        <v>36.129177098979859</v>
      </c>
      <c r="AF27" s="823">
        <f>$E$66*AF6</f>
        <v>36.937198895138224</v>
      </c>
      <c r="AG27" s="461"/>
      <c r="AH27" s="7"/>
      <c r="AI27" s="7"/>
      <c r="AJ27" s="7"/>
      <c r="AK27" s="10"/>
      <c r="AL27" s="10"/>
      <c r="AM27" s="10"/>
      <c r="AN27" s="10"/>
    </row>
    <row r="28" spans="1:40" ht="15">
      <c r="A28" s="1207"/>
      <c r="B28" s="243">
        <v>21</v>
      </c>
      <c r="C28" s="263" t="s">
        <v>472</v>
      </c>
      <c r="D28" s="303">
        <f>+SUM(Inputs!D68:D69)</f>
        <v>-1078.98</v>
      </c>
      <c r="E28" s="284">
        <f>+SUM(Inputs!C68:C69)</f>
        <v>-214.01000000000005</v>
      </c>
      <c r="F28" s="667">
        <f>+SUM(Inputs!B68:B69)</f>
        <v>-1197.54</v>
      </c>
      <c r="G28" s="656">
        <f>G44-F44</f>
        <v>-513.82999999999993</v>
      </c>
      <c r="H28" s="321">
        <f t="shared" ref="H28:AF28" si="27">H44-G44</f>
        <v>-462.44700000000012</v>
      </c>
      <c r="I28" s="321">
        <f t="shared" si="27"/>
        <v>-416.20229999999992</v>
      </c>
      <c r="J28" s="418">
        <f t="shared" si="27"/>
        <v>-374.58206999999993</v>
      </c>
      <c r="K28" s="324">
        <f t="shared" si="27"/>
        <v>-337.1238629999998</v>
      </c>
      <c r="L28" s="321">
        <f>L44-K44</f>
        <v>-303.41147670000009</v>
      </c>
      <c r="M28" s="321">
        <f t="shared" si="27"/>
        <v>-273.07032902999981</v>
      </c>
      <c r="N28" s="321">
        <f t="shared" si="27"/>
        <v>-245.7632961270001</v>
      </c>
      <c r="O28" s="321">
        <f t="shared" si="27"/>
        <v>-221.18696651429991</v>
      </c>
      <c r="P28" s="321">
        <f t="shared" si="27"/>
        <v>-199.06826986287001</v>
      </c>
      <c r="Q28" s="321">
        <f t="shared" si="27"/>
        <v>-179.16144287658312</v>
      </c>
      <c r="R28" s="321">
        <f t="shared" si="27"/>
        <v>-161.2452985889247</v>
      </c>
      <c r="S28" s="321">
        <f t="shared" si="27"/>
        <v>-145.1207687300323</v>
      </c>
      <c r="T28" s="321">
        <f t="shared" si="27"/>
        <v>-130.60869185702904</v>
      </c>
      <c r="U28" s="321">
        <f t="shared" si="27"/>
        <v>-117.547822671326</v>
      </c>
      <c r="V28" s="321">
        <f t="shared" si="27"/>
        <v>-105.79304040419356</v>
      </c>
      <c r="W28" s="321">
        <f t="shared" si="27"/>
        <v>-95.21373636377416</v>
      </c>
      <c r="X28" s="321">
        <f t="shared" si="27"/>
        <v>-85.692362727396699</v>
      </c>
      <c r="Y28" s="321">
        <f t="shared" si="27"/>
        <v>-77.12312645465704</v>
      </c>
      <c r="Z28" s="321">
        <f t="shared" si="27"/>
        <v>-69.410813809191382</v>
      </c>
      <c r="AA28" s="321">
        <f t="shared" si="27"/>
        <v>-62.469732428272209</v>
      </c>
      <c r="AB28" s="321">
        <f t="shared" si="27"/>
        <v>-56.222759185445</v>
      </c>
      <c r="AC28" s="321">
        <f t="shared" si="27"/>
        <v>-50.60048326690054</v>
      </c>
      <c r="AD28" s="321">
        <f t="shared" si="27"/>
        <v>-45.540434940210446</v>
      </c>
      <c r="AE28" s="321">
        <f t="shared" si="27"/>
        <v>-40.98639144618943</v>
      </c>
      <c r="AF28" s="653">
        <f t="shared" si="27"/>
        <v>-36.887752301570458</v>
      </c>
      <c r="AG28" s="461"/>
      <c r="AH28" s="7"/>
      <c r="AI28" s="7"/>
      <c r="AJ28" s="7"/>
      <c r="AK28" s="10"/>
      <c r="AL28" s="10"/>
      <c r="AM28" s="10"/>
      <c r="AN28" s="10"/>
    </row>
    <row r="29" spans="1:40" ht="15">
      <c r="A29" s="1207"/>
      <c r="B29" s="243">
        <v>22</v>
      </c>
      <c r="C29" s="263" t="s">
        <v>473</v>
      </c>
      <c r="D29" s="303">
        <f>'Fin. Data'!D25</f>
        <v>-1430.212</v>
      </c>
      <c r="E29" s="284">
        <f>'Fin. Data'!C25</f>
        <v>-1039.309</v>
      </c>
      <c r="F29" s="669">
        <f>'Fin. Data'!B25</f>
        <v>-1182.711</v>
      </c>
      <c r="G29" s="656">
        <f>-G17*$D$65</f>
        <v>-1095.110947126565</v>
      </c>
      <c r="H29" s="321">
        <f>-H17*$D$65</f>
        <v>-1379.0359373492756</v>
      </c>
      <c r="I29" s="321">
        <f>-I17*$D$65</f>
        <v>-1109.0336556940867</v>
      </c>
      <c r="J29" s="418">
        <f>-J17*$D$65</f>
        <v>-1062.8259059973343</v>
      </c>
      <c r="K29" s="324">
        <f t="shared" ref="K29:AF29" si="28">-K17*$E$65</f>
        <v>-1015.7225166614496</v>
      </c>
      <c r="L29" s="321">
        <f t="shared" si="28"/>
        <v>-1109.8724863805314</v>
      </c>
      <c r="M29" s="321">
        <f t="shared" si="28"/>
        <v>-1089.2867860209283</v>
      </c>
      <c r="N29" s="321">
        <f t="shared" si="28"/>
        <v>-1116.9719258191246</v>
      </c>
      <c r="O29" s="321">
        <f t="shared" si="28"/>
        <v>-1181.6967131644376</v>
      </c>
      <c r="P29" s="321">
        <f t="shared" si="28"/>
        <v>-1254.1556328255156</v>
      </c>
      <c r="Q29" s="321">
        <f t="shared" si="28"/>
        <v>-1332.3504452057261</v>
      </c>
      <c r="R29" s="321">
        <f t="shared" si="28"/>
        <v>-1356.9528600233482</v>
      </c>
      <c r="S29" s="321">
        <f t="shared" si="28"/>
        <v>-1380.594561056776</v>
      </c>
      <c r="T29" s="321">
        <f t="shared" si="28"/>
        <v>-1405.2225588242875</v>
      </c>
      <c r="U29" s="321">
        <f t="shared" si="28"/>
        <v>-1430.3430156656407</v>
      </c>
      <c r="V29" s="321">
        <f t="shared" si="28"/>
        <v>-1455.7429701927574</v>
      </c>
      <c r="W29" s="321">
        <f t="shared" si="28"/>
        <v>-1481.5763610160059</v>
      </c>
      <c r="X29" s="321">
        <f t="shared" si="28"/>
        <v>-1507.7966464530857</v>
      </c>
      <c r="Y29" s="321">
        <f t="shared" si="28"/>
        <v>-1534.39030943019</v>
      </c>
      <c r="Z29" s="321">
        <f t="shared" si="28"/>
        <v>-1561.4018982375494</v>
      </c>
      <c r="AA29" s="321">
        <f t="shared" si="28"/>
        <v>-1588.8198294879621</v>
      </c>
      <c r="AB29" s="321">
        <f t="shared" si="28"/>
        <v>-1616.6455408973645</v>
      </c>
      <c r="AC29" s="321">
        <f t="shared" si="28"/>
        <v>-1644.8897135026416</v>
      </c>
      <c r="AD29" s="321">
        <f t="shared" si="28"/>
        <v>-1673.5538216391151</v>
      </c>
      <c r="AE29" s="321">
        <f t="shared" si="28"/>
        <v>-1702.6426119568839</v>
      </c>
      <c r="AF29" s="653">
        <f t="shared" si="28"/>
        <v>-1732.1617560753152</v>
      </c>
      <c r="AG29" s="461"/>
      <c r="AH29" s="7"/>
      <c r="AI29" s="7"/>
      <c r="AJ29" s="7"/>
      <c r="AK29" s="10"/>
      <c r="AL29" s="10"/>
      <c r="AM29" s="10"/>
      <c r="AN29" s="10"/>
    </row>
    <row r="30" spans="1:40" s="7" customFormat="1" ht="15">
      <c r="A30" s="1207"/>
      <c r="B30" s="243">
        <v>23</v>
      </c>
      <c r="C30" s="263" t="s">
        <v>474</v>
      </c>
      <c r="D30" s="285">
        <f>'Fin. Data'!D24</f>
        <v>-309.77999999999997</v>
      </c>
      <c r="E30" s="284">
        <f>'Fin. Data'!C24</f>
        <v>-438.04</v>
      </c>
      <c r="F30" s="667">
        <f>'Fin. Data'!B24</f>
        <v>-430.56</v>
      </c>
      <c r="G30" s="656">
        <f>-$D$64*G17</f>
        <v>-526.07713902504781</v>
      </c>
      <c r="H30" s="321">
        <f>-15%*H17</f>
        <v>-736.07892569850208</v>
      </c>
      <c r="I30" s="321">
        <f>-36%*I17</f>
        <v>-1420.7078085275941</v>
      </c>
      <c r="J30" s="321">
        <f>-36%*J17</f>
        <v>-1361.5141939139969</v>
      </c>
      <c r="K30" s="324">
        <f t="shared" ref="K30:W30" si="29">-$E$64*K17</f>
        <v>-1413.7290578126936</v>
      </c>
      <c r="L30" s="321">
        <f t="shared" si="29"/>
        <v>-1544.771292085044</v>
      </c>
      <c r="M30" s="321">
        <f t="shared" si="29"/>
        <v>-1516.1191727351131</v>
      </c>
      <c r="N30" s="321">
        <f t="shared" si="29"/>
        <v>-1554.6526166238659</v>
      </c>
      <c r="O30" s="321">
        <f t="shared" si="29"/>
        <v>-1644.7395361612764</v>
      </c>
      <c r="P30" s="321">
        <f t="shared" si="29"/>
        <v>-1745.5911748147935</v>
      </c>
      <c r="Q30" s="321">
        <f t="shared" si="29"/>
        <v>-1854.426291314393</v>
      </c>
      <c r="R30" s="321">
        <f t="shared" si="29"/>
        <v>-1888.6690575714167</v>
      </c>
      <c r="S30" s="321">
        <f t="shared" si="29"/>
        <v>-1921.5746584405738</v>
      </c>
      <c r="T30" s="321">
        <f>-$E$64*T17</f>
        <v>-1955.853032217417</v>
      </c>
      <c r="U30" s="321">
        <f t="shared" si="29"/>
        <v>-1990.8168330582994</v>
      </c>
      <c r="V30" s="321">
        <f t="shared" si="29"/>
        <v>-2026.1696515624446</v>
      </c>
      <c r="W30" s="321">
        <f t="shared" si="29"/>
        <v>-2062.1257465289118</v>
      </c>
      <c r="X30" s="321">
        <f>-37%*X17</f>
        <v>-2218.541501350629</v>
      </c>
      <c r="Y30" s="321">
        <f t="shared" ref="Y30" si="30">-37%*Y17</f>
        <v>-2257.6708793913785</v>
      </c>
      <c r="Z30" s="321">
        <f>-40%*Z17</f>
        <v>-2483.6920919451354</v>
      </c>
      <c r="AA30" s="321">
        <f t="shared" ref="AA30:AF30" si="31">-40%*AA17</f>
        <v>-2527.3052700135186</v>
      </c>
      <c r="AB30" s="321">
        <f t="shared" si="31"/>
        <v>-2571.5670961700575</v>
      </c>
      <c r="AC30" s="321">
        <f t="shared" si="31"/>
        <v>-2616.4945605355374</v>
      </c>
      <c r="AD30" s="321">
        <f t="shared" si="31"/>
        <v>-2662.0900083069146</v>
      </c>
      <c r="AE30" s="321">
        <f t="shared" si="31"/>
        <v>-2708.3609898895829</v>
      </c>
      <c r="AF30" s="321">
        <f t="shared" si="31"/>
        <v>-2755.3165270198333</v>
      </c>
      <c r="AG30" s="461"/>
      <c r="AK30" s="10"/>
      <c r="AL30" s="10"/>
      <c r="AM30" s="10"/>
      <c r="AN30" s="10"/>
    </row>
    <row r="31" spans="1:40" s="3" customFormat="1" ht="15">
      <c r="A31" s="1207"/>
      <c r="B31" s="243">
        <v>24</v>
      </c>
      <c r="C31" s="263" t="s">
        <v>475</v>
      </c>
      <c r="D31" s="358">
        <f>Inputs!D74</f>
        <v>414.24199999999996</v>
      </c>
      <c r="E31" s="357">
        <f>Inputs!C74</f>
        <v>414.07899999999995</v>
      </c>
      <c r="F31" s="670">
        <f>Inputs!B74</f>
        <v>-436.77900000000022</v>
      </c>
      <c r="G31" s="656">
        <f>(1+G5)*AVERAGE(Inputs!B74:M74)</f>
        <v>9.7688860749674724</v>
      </c>
      <c r="H31" s="321">
        <f>(1+H5)*AVERAGE(Inputs!B74:L74,G31)</f>
        <v>12.692317402362361</v>
      </c>
      <c r="I31" s="321">
        <f>(1+I5)*AVERAGE(Inputs!B74:L74,G31,H31)</f>
        <v>12.419578024208196</v>
      </c>
      <c r="J31" s="418">
        <f t="shared" ref="J31:AF31" si="32">(1+J5)*AVERAGE(G31:I31)</f>
        <v>11.511261160232602</v>
      </c>
      <c r="K31" s="444">
        <f t="shared" si="32"/>
        <v>12.585682915964444</v>
      </c>
      <c r="L31" s="445">
        <f>(1+L5)*AVERAGE(I31:K31)</f>
        <v>12.866240736164002</v>
      </c>
      <c r="M31" s="445">
        <f t="shared" si="32"/>
        <v>13.095418283531705</v>
      </c>
      <c r="N31" s="445">
        <f t="shared" si="32"/>
        <v>13.667742456497043</v>
      </c>
      <c r="O31" s="445">
        <f t="shared" si="32"/>
        <v>13.507541729800458</v>
      </c>
      <c r="P31" s="445">
        <f t="shared" si="32"/>
        <v>13.719461341278905</v>
      </c>
      <c r="Q31" s="445">
        <f t="shared" si="32"/>
        <v>13.936283969228432</v>
      </c>
      <c r="R31" s="445">
        <f t="shared" si="32"/>
        <v>14.027967995317169</v>
      </c>
      <c r="S31" s="445">
        <f t="shared" si="32"/>
        <v>14.205472184456983</v>
      </c>
      <c r="T31" s="445">
        <f t="shared" si="32"/>
        <v>14.371062862948564</v>
      </c>
      <c r="U31" s="445">
        <f t="shared" si="32"/>
        <v>14.519100595179587</v>
      </c>
      <c r="V31" s="445">
        <f t="shared" si="32"/>
        <v>14.686451945619385</v>
      </c>
      <c r="W31" s="445">
        <f t="shared" si="32"/>
        <v>14.85039929046744</v>
      </c>
      <c r="X31" s="445">
        <f t="shared" si="32"/>
        <v>15.013753249193291</v>
      </c>
      <c r="Y31" s="445">
        <f t="shared" si="32"/>
        <v>15.182325098210516</v>
      </c>
      <c r="Z31" s="445">
        <f t="shared" si="32"/>
        <v>15.351311623987144</v>
      </c>
      <c r="AA31" s="445">
        <f t="shared" si="32"/>
        <v>15.522015708178234</v>
      </c>
      <c r="AB31" s="445">
        <f t="shared" si="32"/>
        <v>15.695225691383186</v>
      </c>
      <c r="AC31" s="445">
        <f t="shared" si="32"/>
        <v>15.87001648238045</v>
      </c>
      <c r="AD31" s="445">
        <f t="shared" si="32"/>
        <v>16.046785014713073</v>
      </c>
      <c r="AE31" s="445">
        <f t="shared" si="32"/>
        <v>16.225620222617039</v>
      </c>
      <c r="AF31" s="659">
        <f t="shared" si="32"/>
        <v>16.406372440413556</v>
      </c>
      <c r="AG31" s="461"/>
      <c r="AH31" s="477"/>
      <c r="AI31" s="477"/>
      <c r="AJ31" s="477"/>
      <c r="AK31" s="475"/>
      <c r="AL31" s="475"/>
      <c r="AM31" s="475"/>
      <c r="AN31" s="475"/>
    </row>
    <row r="32" spans="1:40" s="7" customFormat="1" ht="16.5" customHeight="1" thickBot="1">
      <c r="A32" s="1207"/>
      <c r="B32" s="244">
        <v>25</v>
      </c>
      <c r="C32" s="269" t="s">
        <v>476</v>
      </c>
      <c r="D32" s="412">
        <f t="shared" ref="D32:AF32" si="33">D27+D28+D29+D30+D31</f>
        <v>-2404.7299999999996</v>
      </c>
      <c r="E32" s="413">
        <f t="shared" si="33"/>
        <v>-1277.28</v>
      </c>
      <c r="F32" s="414">
        <f t="shared" si="33"/>
        <v>-3247.59</v>
      </c>
      <c r="G32" s="660">
        <f>G27+G28+G29+G30+G31</f>
        <v>-2090.148200076645</v>
      </c>
      <c r="H32" s="661">
        <f t="shared" si="33"/>
        <v>-2526.5345456454156</v>
      </c>
      <c r="I32" s="661">
        <f t="shared" si="33"/>
        <v>-2892.8451861974727</v>
      </c>
      <c r="J32" s="662">
        <f t="shared" si="33"/>
        <v>-2747.1365881155543</v>
      </c>
      <c r="K32" s="663">
        <f t="shared" si="33"/>
        <v>-2733.2291261847017</v>
      </c>
      <c r="L32" s="661">
        <f t="shared" si="33"/>
        <v>-2923.2445990971346</v>
      </c>
      <c r="M32" s="661">
        <f t="shared" si="33"/>
        <v>-2842.0572869252087</v>
      </c>
      <c r="N32" s="661">
        <f t="shared" si="33"/>
        <v>-2878.9105473491609</v>
      </c>
      <c r="O32" s="661">
        <f t="shared" si="33"/>
        <v>-3008.7469325131651</v>
      </c>
      <c r="P32" s="661">
        <f t="shared" si="33"/>
        <v>-3159.1676748841169</v>
      </c>
      <c r="Q32" s="661">
        <f t="shared" si="33"/>
        <v>-3325.4943956700045</v>
      </c>
      <c r="R32" s="661">
        <f t="shared" si="33"/>
        <v>-3365.7389081788724</v>
      </c>
      <c r="S32" s="661">
        <f t="shared" si="33"/>
        <v>-3405.3777863159112</v>
      </c>
      <c r="T32" s="661">
        <f t="shared" si="33"/>
        <v>-3448.9866068551955</v>
      </c>
      <c r="U32" s="661">
        <f t="shared" si="33"/>
        <v>-3495.2284668028192</v>
      </c>
      <c r="V32" s="661">
        <f t="shared" si="33"/>
        <v>-3543.4114898944786</v>
      </c>
      <c r="W32" s="661">
        <f t="shared" si="33"/>
        <v>-3593.7955534335883</v>
      </c>
      <c r="X32" s="661">
        <f t="shared" si="33"/>
        <v>-3766.0698823488797</v>
      </c>
      <c r="Y32" s="661">
        <f t="shared" si="33"/>
        <v>-3822.3629907905461</v>
      </c>
      <c r="Z32" s="661">
        <f t="shared" si="33"/>
        <v>-4066.8068918430231</v>
      </c>
      <c r="AA32" s="661">
        <f t="shared" si="33"/>
        <v>-4130.0027912364876</v>
      </c>
      <c r="AB32" s="661">
        <f t="shared" si="33"/>
        <v>-4194.9305416644484</v>
      </c>
      <c r="AC32" s="661">
        <f t="shared" si="33"/>
        <v>-4261.5489663017815</v>
      </c>
      <c r="AD32" s="661">
        <f t="shared" si="33"/>
        <v>-4329.798648674674</v>
      </c>
      <c r="AE32" s="661">
        <f t="shared" si="33"/>
        <v>-4399.6351959710591</v>
      </c>
      <c r="AF32" s="664">
        <f t="shared" si="33"/>
        <v>-4471.0224640611677</v>
      </c>
      <c r="AG32" s="461"/>
      <c r="AK32" s="10"/>
      <c r="AL32" s="10"/>
      <c r="AM32" s="10"/>
      <c r="AN32" s="10"/>
    </row>
    <row r="33" spans="1:40" ht="13.5" thickBot="1">
      <c r="A33" s="1195"/>
      <c r="B33" s="1196"/>
      <c r="C33" s="1196"/>
      <c r="D33" s="1196"/>
      <c r="E33" s="1196"/>
      <c r="F33" s="1196"/>
      <c r="G33" s="1197"/>
      <c r="H33" s="1197"/>
      <c r="I33" s="1197"/>
      <c r="J33" s="1197"/>
      <c r="K33" s="1197"/>
      <c r="L33" s="1197"/>
      <c r="M33" s="1197"/>
      <c r="N33" s="1197"/>
      <c r="O33" s="1197"/>
      <c r="P33" s="1197"/>
      <c r="Q33" s="1197"/>
      <c r="R33" s="1197"/>
      <c r="S33" s="1197"/>
      <c r="T33" s="1197"/>
      <c r="U33" s="1197"/>
      <c r="V33" s="1197"/>
      <c r="W33" s="1197"/>
      <c r="X33" s="1197"/>
      <c r="Y33" s="1197"/>
      <c r="Z33" s="1197"/>
      <c r="AA33" s="1197"/>
      <c r="AB33" s="1197"/>
      <c r="AC33" s="1197"/>
      <c r="AD33" s="1197"/>
      <c r="AE33" s="1197"/>
      <c r="AF33" s="1198"/>
      <c r="AG33" s="7"/>
      <c r="AH33" s="7"/>
      <c r="AI33" s="7"/>
      <c r="AJ33" s="7"/>
      <c r="AK33" s="10"/>
      <c r="AL33" s="10"/>
      <c r="AM33" s="10"/>
      <c r="AN33" s="10"/>
    </row>
    <row r="34" spans="1:40" ht="15">
      <c r="A34" s="1223" t="s">
        <v>477</v>
      </c>
      <c r="B34" s="243">
        <v>26</v>
      </c>
      <c r="C34" s="247" t="s">
        <v>478</v>
      </c>
      <c r="D34" s="409">
        <f>D22+D26+D27+D28+D31</f>
        <v>1762.952</v>
      </c>
      <c r="E34" s="851">
        <f>E22+E26+E27+E28+E31</f>
        <v>3337.4290000000001</v>
      </c>
      <c r="F34" s="864">
        <f>F22+F26+F27+F28+F31</f>
        <v>3368.4409999999998</v>
      </c>
      <c r="G34" s="544">
        <f>G22+G26+G27+G28+G31</f>
        <v>3153.5947691634874</v>
      </c>
      <c r="H34" s="410">
        <f t="shared" ref="H34:AF34" si="34">H22+H26+H27+H28+H31</f>
        <v>4916.5395435395722</v>
      </c>
      <c r="I34" s="410">
        <f t="shared" si="34"/>
        <v>3599.3979850596947</v>
      </c>
      <c r="J34" s="411">
        <f t="shared" si="34"/>
        <v>2605.3908911510721</v>
      </c>
      <c r="K34" s="437">
        <f>K22+K26+K27+K28+K31</f>
        <v>2598.4221132060761</v>
      </c>
      <c r="L34" s="410">
        <f t="shared" si="34"/>
        <v>3081.2522601352571</v>
      </c>
      <c r="M34" s="410">
        <f t="shared" si="34"/>
        <v>2988.8709834464321</v>
      </c>
      <c r="N34" s="410">
        <f t="shared" si="34"/>
        <v>3043.5015768960484</v>
      </c>
      <c r="O34" s="410">
        <f t="shared" si="34"/>
        <v>2992.5088295242299</v>
      </c>
      <c r="P34" s="410">
        <f t="shared" si="34"/>
        <v>3264.13383445926</v>
      </c>
      <c r="Q34" s="410">
        <f t="shared" si="34"/>
        <v>3558.2978143001146</v>
      </c>
      <c r="R34" s="410">
        <f t="shared" si="34"/>
        <v>3632.4325855093484</v>
      </c>
      <c r="S34" s="410">
        <f>S22+S26+S27+S28+S31</f>
        <v>3702.2754238457219</v>
      </c>
      <c r="T34" s="410">
        <f t="shared" si="34"/>
        <v>3772.6300220189482</v>
      </c>
      <c r="U34" s="410">
        <f t="shared" si="34"/>
        <v>3842.3912899357488</v>
      </c>
      <c r="V34" s="410">
        <f t="shared" si="34"/>
        <v>3911.5065218444865</v>
      </c>
      <c r="W34" s="410">
        <f t="shared" si="34"/>
        <v>3980.0425311253189</v>
      </c>
      <c r="X34" s="410">
        <f t="shared" si="34"/>
        <v>4048.0656584936951</v>
      </c>
      <c r="Y34" s="410">
        <f t="shared" si="34"/>
        <v>4115.6800696291066</v>
      </c>
      <c r="Z34" s="410">
        <f t="shared" si="34"/>
        <v>4183.0157330411557</v>
      </c>
      <c r="AA34" s="410">
        <f t="shared" si="34"/>
        <v>4250.1386012026633</v>
      </c>
      <c r="AB34" s="410">
        <f>AB22+AB26+AB27+AB28+AB31</f>
        <v>4317.1036291450773</v>
      </c>
      <c r="AC34" s="410">
        <f t="shared" si="34"/>
        <v>4383.9728896589368</v>
      </c>
      <c r="AD34" s="410">
        <f t="shared" si="34"/>
        <v>4450.7970169966156</v>
      </c>
      <c r="AE34" s="410">
        <f t="shared" si="34"/>
        <v>4517.6191706217114</v>
      </c>
      <c r="AF34" s="411">
        <f t="shared" si="34"/>
        <v>4584.4789719472546</v>
      </c>
      <c r="AG34" s="461"/>
      <c r="AH34" s="7"/>
      <c r="AI34" s="7"/>
      <c r="AJ34" s="7"/>
      <c r="AK34" s="10"/>
      <c r="AL34" s="10"/>
      <c r="AM34" s="10"/>
      <c r="AN34" s="10"/>
    </row>
    <row r="35" spans="1:40" s="3" customFormat="1" ht="15">
      <c r="A35" s="1223"/>
      <c r="B35" s="243">
        <v>27</v>
      </c>
      <c r="C35" s="247" t="s">
        <v>479</v>
      </c>
      <c r="D35" s="342">
        <f>-1*(D29+D30)</f>
        <v>1739.992</v>
      </c>
      <c r="E35" s="339">
        <f>-1*(E29+E30)</f>
        <v>1477.3489999999999</v>
      </c>
      <c r="F35" s="344">
        <f>-1*(F29+F30)</f>
        <v>1613.271</v>
      </c>
      <c r="G35" s="351">
        <f>-1*(G29+G30)</f>
        <v>1621.1880861516129</v>
      </c>
      <c r="H35" s="304">
        <f t="shared" ref="H35:AF35" si="35">-1*(H29+H30)</f>
        <v>2115.1148630477778</v>
      </c>
      <c r="I35" s="304">
        <f t="shared" si="35"/>
        <v>2529.7414642216809</v>
      </c>
      <c r="J35" s="352">
        <f t="shared" si="35"/>
        <v>2424.340099911331</v>
      </c>
      <c r="K35" s="304">
        <f t="shared" si="35"/>
        <v>2429.4515744741429</v>
      </c>
      <c r="L35" s="304">
        <f t="shared" si="35"/>
        <v>2654.6437784655755</v>
      </c>
      <c r="M35" s="304">
        <f t="shared" si="35"/>
        <v>2605.4059587560414</v>
      </c>
      <c r="N35" s="304">
        <f t="shared" si="35"/>
        <v>2671.6245424429908</v>
      </c>
      <c r="O35" s="304">
        <f t="shared" si="35"/>
        <v>2826.436249325714</v>
      </c>
      <c r="P35" s="304">
        <f t="shared" si="35"/>
        <v>2999.7468076403093</v>
      </c>
      <c r="Q35" s="304">
        <f t="shared" si="35"/>
        <v>3186.7767365201189</v>
      </c>
      <c r="R35" s="304">
        <f t="shared" si="35"/>
        <v>3245.6219175947649</v>
      </c>
      <c r="S35" s="304">
        <f t="shared" si="35"/>
        <v>3302.1692194973498</v>
      </c>
      <c r="T35" s="304">
        <f t="shared" si="35"/>
        <v>3361.0755910417047</v>
      </c>
      <c r="U35" s="304">
        <f t="shared" si="35"/>
        <v>3421.1598487239398</v>
      </c>
      <c r="V35" s="304">
        <f t="shared" si="35"/>
        <v>3481.9126217552021</v>
      </c>
      <c r="W35" s="304">
        <f t="shared" si="35"/>
        <v>3543.7021075449175</v>
      </c>
      <c r="X35" s="304">
        <f t="shared" si="35"/>
        <v>3726.3381478037145</v>
      </c>
      <c r="Y35" s="304">
        <f t="shared" si="35"/>
        <v>3792.0611888215685</v>
      </c>
      <c r="Z35" s="304">
        <f t="shared" si="35"/>
        <v>4045.093990182685</v>
      </c>
      <c r="AA35" s="304">
        <f t="shared" si="35"/>
        <v>4116.1250995014807</v>
      </c>
      <c r="AB35" s="304">
        <f t="shared" si="35"/>
        <v>4188.2126370674223</v>
      </c>
      <c r="AC35" s="304">
        <f t="shared" si="35"/>
        <v>4261.3842740381788</v>
      </c>
      <c r="AD35" s="304">
        <f t="shared" si="35"/>
        <v>4335.6438299460297</v>
      </c>
      <c r="AE35" s="304">
        <f t="shared" si="35"/>
        <v>4411.0036018464671</v>
      </c>
      <c r="AF35" s="352">
        <f t="shared" si="35"/>
        <v>4487.4782830951481</v>
      </c>
      <c r="AG35" s="461"/>
      <c r="AH35" s="477"/>
      <c r="AI35" s="477"/>
      <c r="AJ35" s="477"/>
      <c r="AK35" s="475"/>
      <c r="AL35" s="475"/>
      <c r="AM35" s="475"/>
      <c r="AN35" s="475"/>
    </row>
    <row r="36" spans="1:40" s="7" customFormat="1" ht="15.75" thickBot="1">
      <c r="A36" s="1223"/>
      <c r="B36" s="244">
        <v>28</v>
      </c>
      <c r="C36" s="242" t="s">
        <v>480</v>
      </c>
      <c r="D36" s="396">
        <f>D34-D35</f>
        <v>22.960000000000036</v>
      </c>
      <c r="E36" s="866">
        <f>E34-E35</f>
        <v>1860.0800000000002</v>
      </c>
      <c r="F36" s="867">
        <f>F34-F35</f>
        <v>1755.1699999999998</v>
      </c>
      <c r="G36" s="353">
        <f>G34-G35</f>
        <v>1532.4066830118745</v>
      </c>
      <c r="H36" s="354">
        <f t="shared" ref="H36:AF36" si="36">H34-H35</f>
        <v>2801.4246804917943</v>
      </c>
      <c r="I36" s="354">
        <f t="shared" si="36"/>
        <v>1069.6565208380139</v>
      </c>
      <c r="J36" s="355">
        <f t="shared" si="36"/>
        <v>181.0507912397411</v>
      </c>
      <c r="K36" s="354">
        <f t="shared" si="36"/>
        <v>168.97053873193317</v>
      </c>
      <c r="L36" s="354">
        <f t="shared" si="36"/>
        <v>426.60848166968162</v>
      </c>
      <c r="M36" s="354">
        <f t="shared" si="36"/>
        <v>383.46502469039069</v>
      </c>
      <c r="N36" s="354">
        <f t="shared" si="36"/>
        <v>371.8770344530576</v>
      </c>
      <c r="O36" s="354">
        <f t="shared" si="36"/>
        <v>166.07258019851588</v>
      </c>
      <c r="P36" s="354">
        <f t="shared" si="36"/>
        <v>264.38702681895074</v>
      </c>
      <c r="Q36" s="354">
        <f t="shared" si="36"/>
        <v>371.52107777999572</v>
      </c>
      <c r="R36" s="354">
        <f t="shared" si="36"/>
        <v>386.81066791458352</v>
      </c>
      <c r="S36" s="354">
        <f t="shared" si="36"/>
        <v>400.1062043483721</v>
      </c>
      <c r="T36" s="354">
        <f>T34-T35</f>
        <v>411.55443097724356</v>
      </c>
      <c r="U36" s="354">
        <f t="shared" si="36"/>
        <v>421.23144121180894</v>
      </c>
      <c r="V36" s="354">
        <f t="shared" si="36"/>
        <v>429.59390008928449</v>
      </c>
      <c r="W36" s="354">
        <f t="shared" si="36"/>
        <v>436.34042358040142</v>
      </c>
      <c r="X36" s="354">
        <f t="shared" si="36"/>
        <v>321.72751068998059</v>
      </c>
      <c r="Y36" s="354">
        <f t="shared" si="36"/>
        <v>323.61888080753806</v>
      </c>
      <c r="Z36" s="354">
        <f t="shared" si="36"/>
        <v>137.92174285847068</v>
      </c>
      <c r="AA36" s="354">
        <f t="shared" si="36"/>
        <v>134.01350170118258</v>
      </c>
      <c r="AB36" s="354">
        <f>AB34-AB35</f>
        <v>128.89099207765503</v>
      </c>
      <c r="AC36" s="354">
        <f t="shared" si="36"/>
        <v>122.58861562075799</v>
      </c>
      <c r="AD36" s="354">
        <f t="shared" si="36"/>
        <v>115.15318705058598</v>
      </c>
      <c r="AE36" s="354">
        <f t="shared" si="36"/>
        <v>106.61556877524436</v>
      </c>
      <c r="AF36" s="355">
        <f t="shared" si="36"/>
        <v>97.000688852106578</v>
      </c>
      <c r="AG36" s="461"/>
      <c r="AK36" s="10"/>
      <c r="AL36" s="10"/>
      <c r="AM36" s="10"/>
      <c r="AN36" s="10"/>
    </row>
    <row r="37" spans="1:40" ht="15.75" thickBot="1">
      <c r="A37" s="252"/>
      <c r="B37" s="250"/>
      <c r="C37" s="251"/>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6"/>
      <c r="AG37" s="461"/>
      <c r="AH37" s="7"/>
      <c r="AI37" s="7"/>
      <c r="AJ37" s="7"/>
      <c r="AK37" s="10"/>
      <c r="AL37" s="10"/>
      <c r="AM37" s="10"/>
      <c r="AN37" s="10"/>
    </row>
    <row r="38" spans="1:40" ht="15">
      <c r="A38" s="1224" t="s">
        <v>481</v>
      </c>
      <c r="B38" s="245">
        <v>29</v>
      </c>
      <c r="C38" s="247" t="s">
        <v>482</v>
      </c>
      <c r="D38" s="340">
        <f>Assumptions!E163</f>
        <v>3632.06</v>
      </c>
      <c r="E38" s="341">
        <f>Assumptions!D163</f>
        <v>3632.06</v>
      </c>
      <c r="F38" s="343">
        <f>Assumptions!C163</f>
        <v>3632.06</v>
      </c>
      <c r="G38" s="346">
        <f>+F38+(-G10)</f>
        <v>3632.06</v>
      </c>
      <c r="H38" s="347">
        <f t="shared" ref="H38:AF38" si="37">+G38+(-H10)</f>
        <v>3632.06</v>
      </c>
      <c r="I38" s="347">
        <f t="shared" si="37"/>
        <v>3632.06</v>
      </c>
      <c r="J38" s="348">
        <f t="shared" si="37"/>
        <v>3632.06</v>
      </c>
      <c r="K38" s="438">
        <f t="shared" si="37"/>
        <v>3632.06</v>
      </c>
      <c r="L38" s="347">
        <f t="shared" si="37"/>
        <v>3632.06</v>
      </c>
      <c r="M38" s="347">
        <f t="shared" si="37"/>
        <v>3632.06</v>
      </c>
      <c r="N38" s="347">
        <f t="shared" si="37"/>
        <v>3632.06</v>
      </c>
      <c r="O38" s="347">
        <f t="shared" si="37"/>
        <v>3632.06</v>
      </c>
      <c r="P38" s="347">
        <f t="shared" si="37"/>
        <v>3632.06</v>
      </c>
      <c r="Q38" s="347">
        <f t="shared" si="37"/>
        <v>3632.06</v>
      </c>
      <c r="R38" s="347">
        <f t="shared" si="37"/>
        <v>3632.06</v>
      </c>
      <c r="S38" s="347">
        <f t="shared" si="37"/>
        <v>3632.06</v>
      </c>
      <c r="T38" s="347">
        <f t="shared" si="37"/>
        <v>3632.06</v>
      </c>
      <c r="U38" s="347">
        <f t="shared" si="37"/>
        <v>3632.06</v>
      </c>
      <c r="V38" s="347">
        <f t="shared" si="37"/>
        <v>3632.06</v>
      </c>
      <c r="W38" s="347">
        <f t="shared" si="37"/>
        <v>3632.06</v>
      </c>
      <c r="X38" s="347">
        <f t="shared" si="37"/>
        <v>3632.06</v>
      </c>
      <c r="Y38" s="347">
        <f t="shared" si="37"/>
        <v>3632.06</v>
      </c>
      <c r="Z38" s="347">
        <f t="shared" si="37"/>
        <v>3632.06</v>
      </c>
      <c r="AA38" s="347">
        <f t="shared" si="37"/>
        <v>3632.06</v>
      </c>
      <c r="AB38" s="347">
        <f t="shared" si="37"/>
        <v>3632.06</v>
      </c>
      <c r="AC38" s="347">
        <f t="shared" si="37"/>
        <v>3632.06</v>
      </c>
      <c r="AD38" s="347">
        <f t="shared" si="37"/>
        <v>3632.06</v>
      </c>
      <c r="AE38" s="347">
        <f t="shared" si="37"/>
        <v>3632.06</v>
      </c>
      <c r="AF38" s="348">
        <f t="shared" si="37"/>
        <v>3632.06</v>
      </c>
      <c r="AG38" s="462">
        <f>SUM(G38:AF38)</f>
        <v>94433.559999999969</v>
      </c>
      <c r="AH38" s="7"/>
      <c r="AI38" s="7"/>
      <c r="AJ38" s="7"/>
      <c r="AK38" s="10"/>
      <c r="AL38" s="10"/>
      <c r="AM38" s="10"/>
      <c r="AN38" s="10"/>
    </row>
    <row r="39" spans="1:40" ht="15">
      <c r="A39" s="1223"/>
      <c r="B39" s="245">
        <v>30</v>
      </c>
      <c r="C39" s="247" t="s">
        <v>483</v>
      </c>
      <c r="D39" s="342">
        <v>0</v>
      </c>
      <c r="E39" s="339">
        <v>0</v>
      </c>
      <c r="F39" s="344">
        <v>0</v>
      </c>
      <c r="G39" s="349">
        <v>0</v>
      </c>
      <c r="H39" s="345">
        <f t="shared" ref="H39:AF39" si="38">G39-H10</f>
        <v>0</v>
      </c>
      <c r="I39" s="345">
        <f t="shared" si="38"/>
        <v>0</v>
      </c>
      <c r="J39" s="350">
        <f t="shared" si="38"/>
        <v>0</v>
      </c>
      <c r="K39" s="439">
        <f t="shared" si="38"/>
        <v>0</v>
      </c>
      <c r="L39" s="345">
        <f t="shared" si="38"/>
        <v>0</v>
      </c>
      <c r="M39" s="345">
        <f t="shared" si="38"/>
        <v>0</v>
      </c>
      <c r="N39" s="345">
        <f t="shared" si="38"/>
        <v>0</v>
      </c>
      <c r="O39" s="345">
        <f t="shared" si="38"/>
        <v>0</v>
      </c>
      <c r="P39" s="345">
        <f t="shared" si="38"/>
        <v>0</v>
      </c>
      <c r="Q39" s="345">
        <f t="shared" si="38"/>
        <v>0</v>
      </c>
      <c r="R39" s="345">
        <f t="shared" si="38"/>
        <v>0</v>
      </c>
      <c r="S39" s="345">
        <f t="shared" si="38"/>
        <v>0</v>
      </c>
      <c r="T39" s="345">
        <f t="shared" si="38"/>
        <v>0</v>
      </c>
      <c r="U39" s="345">
        <f t="shared" si="38"/>
        <v>0</v>
      </c>
      <c r="V39" s="345">
        <f t="shared" si="38"/>
        <v>0</v>
      </c>
      <c r="W39" s="345">
        <f t="shared" si="38"/>
        <v>0</v>
      </c>
      <c r="X39" s="345">
        <f t="shared" si="38"/>
        <v>0</v>
      </c>
      <c r="Y39" s="345">
        <f t="shared" si="38"/>
        <v>0</v>
      </c>
      <c r="Z39" s="345">
        <f t="shared" si="38"/>
        <v>0</v>
      </c>
      <c r="AA39" s="345">
        <f t="shared" si="38"/>
        <v>0</v>
      </c>
      <c r="AB39" s="345">
        <f t="shared" si="38"/>
        <v>0</v>
      </c>
      <c r="AC39" s="345">
        <f t="shared" si="38"/>
        <v>0</v>
      </c>
      <c r="AD39" s="345">
        <f t="shared" si="38"/>
        <v>0</v>
      </c>
      <c r="AE39" s="345">
        <f t="shared" si="38"/>
        <v>0</v>
      </c>
      <c r="AF39" s="350">
        <f t="shared" si="38"/>
        <v>0</v>
      </c>
      <c r="AG39" s="462">
        <f>SUM(G39:AF39)</f>
        <v>0</v>
      </c>
      <c r="AH39" s="7"/>
      <c r="AI39" s="7"/>
      <c r="AJ39" s="7"/>
      <c r="AK39" s="10"/>
      <c r="AL39" s="10"/>
      <c r="AM39" s="10"/>
      <c r="AN39" s="10"/>
    </row>
    <row r="40" spans="1:40" ht="15">
      <c r="A40" s="1223"/>
      <c r="B40" s="245">
        <v>31</v>
      </c>
      <c r="C40" s="247" t="s">
        <v>484</v>
      </c>
      <c r="D40" s="342">
        <f>Assumptions!E162</f>
        <v>878.7</v>
      </c>
      <c r="E40" s="339">
        <f>Assumptions!D162</f>
        <v>937</v>
      </c>
      <c r="F40" s="344">
        <f>Assumptions!C162</f>
        <v>1075.4000000000001</v>
      </c>
      <c r="G40" s="349">
        <f>F40+(-G23)</f>
        <v>1247.3949</v>
      </c>
      <c r="H40" s="345">
        <f t="shared" ref="H40:AF40" si="39">G40+(-H23)</f>
        <v>1435.2364</v>
      </c>
      <c r="I40" s="345">
        <f t="shared" si="39"/>
        <v>1634.5635</v>
      </c>
      <c r="J40" s="350">
        <f t="shared" si="39"/>
        <v>1831.9076711141672</v>
      </c>
      <c r="K40" s="439">
        <f>J40+(-K23)</f>
        <v>1952.3193156803322</v>
      </c>
      <c r="L40" s="345">
        <f>K40+(-L23)</f>
        <v>2079.5969246075392</v>
      </c>
      <c r="M40" s="345">
        <f t="shared" si="39"/>
        <v>2214.8737035558852</v>
      </c>
      <c r="N40" s="345">
        <f t="shared" si="39"/>
        <v>2358.7690863890161</v>
      </c>
      <c r="O40" s="345">
        <f t="shared" si="39"/>
        <v>2505.9077876518995</v>
      </c>
      <c r="P40" s="345">
        <f t="shared" si="39"/>
        <v>2656.289847063043</v>
      </c>
      <c r="Q40" s="345">
        <f t="shared" si="39"/>
        <v>2810.0333456563653</v>
      </c>
      <c r="R40" s="345">
        <f t="shared" si="39"/>
        <v>2967.2153177114637</v>
      </c>
      <c r="S40" s="345">
        <f>R40+(-S23)</f>
        <v>3127.914350128146</v>
      </c>
      <c r="T40" s="345">
        <f>S40+(-T23)</f>
        <v>3292.2087065755622</v>
      </c>
      <c r="U40" s="345">
        <f>T40+(-U23)</f>
        <v>3460.177309759712</v>
      </c>
      <c r="V40" s="345">
        <f t="shared" si="39"/>
        <v>3631.9020876116383</v>
      </c>
      <c r="W40" s="345">
        <f t="shared" si="39"/>
        <v>3807.4674564825264</v>
      </c>
      <c r="X40" s="345">
        <f>W40+(-X23)</f>
        <v>3986.9593310941486</v>
      </c>
      <c r="Y40" s="345">
        <f>X40+(-Y23)</f>
        <v>4170.4655275414689</v>
      </c>
      <c r="Z40" s="345">
        <f t="shared" si="39"/>
        <v>4358.0758105856912</v>
      </c>
      <c r="AA40" s="345">
        <f t="shared" si="39"/>
        <v>4549.881955499196</v>
      </c>
      <c r="AB40" s="345">
        <f t="shared" si="39"/>
        <v>4745.9778031020023</v>
      </c>
      <c r="AC40" s="345">
        <f t="shared" si="39"/>
        <v>4946.4592953233232</v>
      </c>
      <c r="AD40" s="345">
        <f t="shared" si="39"/>
        <v>5151.4245162650705</v>
      </c>
      <c r="AE40" s="345">
        <f t="shared" si="39"/>
        <v>5360.9737434391536</v>
      </c>
      <c r="AF40" s="350">
        <f t="shared" si="39"/>
        <v>5575.2094970309554</v>
      </c>
      <c r="AG40" s="462">
        <f>SUM(G40:AF40)</f>
        <v>85859.205189868328</v>
      </c>
      <c r="AH40" s="7"/>
      <c r="AI40" s="7"/>
      <c r="AJ40" s="7"/>
      <c r="AK40" s="10"/>
      <c r="AL40" s="10"/>
      <c r="AM40" s="10"/>
      <c r="AN40" s="10"/>
    </row>
    <row r="41" spans="1:40" ht="15">
      <c r="A41" s="1223"/>
      <c r="B41" s="246">
        <v>32</v>
      </c>
      <c r="C41" s="242" t="s">
        <v>485</v>
      </c>
      <c r="D41" s="545">
        <v>198.86</v>
      </c>
      <c r="E41" s="546">
        <v>226.82</v>
      </c>
      <c r="F41" s="547">
        <v>265.83</v>
      </c>
      <c r="G41" s="548">
        <f>F41-G9</f>
        <v>376.97050933194549</v>
      </c>
      <c r="H41" s="549">
        <f>G41-H9</f>
        <v>495.57201340357011</v>
      </c>
      <c r="I41" s="549">
        <f t="shared" ref="I41:AF41" si="40">H41-I9</f>
        <v>624.11679225362127</v>
      </c>
      <c r="J41" s="550">
        <f t="shared" si="40"/>
        <v>758.06183607321896</v>
      </c>
      <c r="K41" s="551">
        <f t="shared" si="40"/>
        <v>890.90699002859208</v>
      </c>
      <c r="L41" s="549">
        <f t="shared" si="40"/>
        <v>1023.5220225857039</v>
      </c>
      <c r="M41" s="549">
        <f t="shared" si="40"/>
        <v>1156.1109799377371</v>
      </c>
      <c r="N41" s="549">
        <f t="shared" si="40"/>
        <v>1289.8998612920836</v>
      </c>
      <c r="O41" s="549">
        <f t="shared" si="40"/>
        <v>1425.0430297807898</v>
      </c>
      <c r="P41" s="549">
        <f t="shared" si="40"/>
        <v>1561.6314237680417</v>
      </c>
      <c r="Q41" s="549">
        <f t="shared" si="40"/>
        <v>1699.9337813110799</v>
      </c>
      <c r="R41" s="549">
        <f t="shared" si="40"/>
        <v>1840.0984759171274</v>
      </c>
      <c r="S41" s="549">
        <f t="shared" si="40"/>
        <v>1982.2756636775475</v>
      </c>
      <c r="T41" s="549">
        <f t="shared" si="40"/>
        <v>2126.6372803531744</v>
      </c>
      <c r="U41" s="549">
        <f t="shared" si="40"/>
        <v>2273.3236346237813</v>
      </c>
      <c r="V41" s="549">
        <f t="shared" si="40"/>
        <v>2422.4745694286426</v>
      </c>
      <c r="W41" s="549">
        <f t="shared" si="40"/>
        <v>2574.2286164507873</v>
      </c>
      <c r="X41" s="549">
        <f t="shared" si="40"/>
        <v>2728.7144947311112</v>
      </c>
      <c r="Y41" s="549">
        <f t="shared" si="40"/>
        <v>2886.0586024347986</v>
      </c>
      <c r="Z41" s="549">
        <f t="shared" si="40"/>
        <v>3046.3841692876981</v>
      </c>
      <c r="AA41" s="549">
        <f t="shared" si="40"/>
        <v>3209.8104379380434</v>
      </c>
      <c r="AB41" s="549">
        <f t="shared" si="40"/>
        <v>3376.4546003278433</v>
      </c>
      <c r="AC41" s="549">
        <f t="shared" si="40"/>
        <v>3546.4317564258718</v>
      </c>
      <c r="AD41" s="549">
        <f t="shared" si="40"/>
        <v>3719.8551730128574</v>
      </c>
      <c r="AE41" s="549">
        <f t="shared" si="40"/>
        <v>3896.8369438724512</v>
      </c>
      <c r="AF41" s="550">
        <f t="shared" si="40"/>
        <v>4077.4882019365077</v>
      </c>
      <c r="AG41" s="462">
        <f>SUM(G41:AF41)</f>
        <v>55008.841860184642</v>
      </c>
      <c r="AH41" s="7"/>
      <c r="AI41" s="7"/>
      <c r="AJ41" s="7"/>
      <c r="AK41" s="10"/>
      <c r="AL41" s="10"/>
      <c r="AM41" s="10"/>
      <c r="AN41" s="10"/>
    </row>
    <row r="42" spans="1:40" s="7" customFormat="1" ht="15">
      <c r="A42" s="1215"/>
      <c r="B42" s="1216"/>
      <c r="C42" s="1216"/>
      <c r="D42" s="1216"/>
      <c r="E42" s="1216"/>
      <c r="F42" s="1216"/>
      <c r="G42" s="1217"/>
      <c r="H42" s="1217"/>
      <c r="I42" s="1217"/>
      <c r="J42" s="1217"/>
      <c r="K42" s="1216"/>
      <c r="L42" s="1216"/>
      <c r="M42" s="1216"/>
      <c r="N42" s="1216"/>
      <c r="O42" s="1216"/>
      <c r="P42" s="1216"/>
      <c r="Q42" s="1216"/>
      <c r="R42" s="1216"/>
      <c r="S42" s="1216"/>
      <c r="T42" s="1216"/>
      <c r="U42" s="1216"/>
      <c r="V42" s="1216"/>
      <c r="W42" s="1216"/>
      <c r="X42" s="1216"/>
      <c r="Y42" s="1216"/>
      <c r="Z42" s="1216"/>
      <c r="AA42" s="1216"/>
      <c r="AB42" s="1216"/>
      <c r="AC42" s="1216"/>
      <c r="AD42" s="1216"/>
      <c r="AE42" s="1216"/>
      <c r="AF42" s="1218"/>
      <c r="AG42" s="461"/>
      <c r="AK42" s="10"/>
      <c r="AL42" s="10"/>
      <c r="AM42" s="10"/>
      <c r="AN42" s="10"/>
    </row>
    <row r="43" spans="1:40" ht="15" customHeight="1">
      <c r="A43" s="1208" t="s">
        <v>486</v>
      </c>
      <c r="B43" s="243">
        <v>33</v>
      </c>
      <c r="C43" s="247" t="s">
        <v>487</v>
      </c>
      <c r="D43" s="540">
        <f>'Fin. Data'!D36</f>
        <v>2955.7</v>
      </c>
      <c r="E43" s="850">
        <f>E36+D43</f>
        <v>4815.78</v>
      </c>
      <c r="F43" s="887">
        <f>F36+E43</f>
        <v>6570.95</v>
      </c>
      <c r="G43" s="889">
        <f>G36+F43</f>
        <v>8103.3566830118743</v>
      </c>
      <c r="H43" s="890">
        <f t="shared" ref="H43:AE43" si="41">H36+G43</f>
        <v>10904.781363503669</v>
      </c>
      <c r="I43" s="890">
        <f t="shared" si="41"/>
        <v>11974.437884341683</v>
      </c>
      <c r="J43" s="891">
        <f t="shared" si="41"/>
        <v>12155.488675581424</v>
      </c>
      <c r="K43" s="850">
        <f t="shared" si="41"/>
        <v>12324.459214313358</v>
      </c>
      <c r="L43" s="552">
        <f t="shared" si="41"/>
        <v>12751.06769598304</v>
      </c>
      <c r="M43" s="552">
        <f t="shared" si="41"/>
        <v>13134.532720673431</v>
      </c>
      <c r="N43" s="552">
        <f t="shared" si="41"/>
        <v>13506.409755126489</v>
      </c>
      <c r="O43" s="552">
        <f t="shared" si="41"/>
        <v>13672.482335325005</v>
      </c>
      <c r="P43" s="552">
        <f t="shared" si="41"/>
        <v>13936.869362143956</v>
      </c>
      <c r="Q43" s="552">
        <f t="shared" si="41"/>
        <v>14308.390439923951</v>
      </c>
      <c r="R43" s="552">
        <f t="shared" si="41"/>
        <v>14695.201107838535</v>
      </c>
      <c r="S43" s="552">
        <f t="shared" si="41"/>
        <v>15095.307312186907</v>
      </c>
      <c r="T43" s="552">
        <f>T36+S43</f>
        <v>15506.861743164151</v>
      </c>
      <c r="U43" s="552">
        <f t="shared" si="41"/>
        <v>15928.093184375959</v>
      </c>
      <c r="V43" s="552">
        <f t="shared" si="41"/>
        <v>16357.687084465244</v>
      </c>
      <c r="W43" s="552">
        <f t="shared" si="41"/>
        <v>16794.027508045645</v>
      </c>
      <c r="X43" s="552">
        <f t="shared" si="41"/>
        <v>17115.755018735625</v>
      </c>
      <c r="Y43" s="552">
        <f t="shared" si="41"/>
        <v>17439.373899543163</v>
      </c>
      <c r="Z43" s="552">
        <f t="shared" si="41"/>
        <v>17577.295642401634</v>
      </c>
      <c r="AA43" s="552">
        <f t="shared" si="41"/>
        <v>17711.309144102815</v>
      </c>
      <c r="AB43" s="552">
        <f>AB36+AA43</f>
        <v>17840.200136180472</v>
      </c>
      <c r="AC43" s="552">
        <f t="shared" si="41"/>
        <v>17962.788751801228</v>
      </c>
      <c r="AD43" s="552">
        <f t="shared" si="41"/>
        <v>18077.941938851814</v>
      </c>
      <c r="AE43" s="552">
        <f t="shared" si="41"/>
        <v>18184.557507627058</v>
      </c>
      <c r="AF43" s="552">
        <f>AF36+AE43</f>
        <v>18281.558196479164</v>
      </c>
      <c r="AG43" s="461"/>
      <c r="AH43" s="7"/>
      <c r="AI43" s="7"/>
      <c r="AJ43" s="7"/>
      <c r="AK43" s="10"/>
      <c r="AL43" s="10"/>
      <c r="AM43" s="10"/>
      <c r="AN43" s="10"/>
    </row>
    <row r="44" spans="1:40" ht="17.25" customHeight="1">
      <c r="A44" s="1207"/>
      <c r="B44" s="243">
        <v>34</v>
      </c>
      <c r="C44" s="247" t="s">
        <v>311</v>
      </c>
      <c r="D44" s="540">
        <f>'Fin. Data'!D55</f>
        <v>6541.8700000000008</v>
      </c>
      <c r="E44" s="309">
        <f>'Fin. Data'!C55</f>
        <v>6357.9699999999993</v>
      </c>
      <c r="F44" s="887">
        <f>'Fin. Data'!B55</f>
        <v>5138.3</v>
      </c>
      <c r="G44" s="892">
        <v>4624.47</v>
      </c>
      <c r="H44" s="886">
        <v>4162.0230000000001</v>
      </c>
      <c r="I44" s="886">
        <v>3745.8207000000002</v>
      </c>
      <c r="J44" s="893">
        <v>3371.2386300000003</v>
      </c>
      <c r="K44" s="888">
        <v>3034.1147670000005</v>
      </c>
      <c r="L44" s="885">
        <v>2730.7032903000004</v>
      </c>
      <c r="M44" s="885">
        <v>2457.6329612700006</v>
      </c>
      <c r="N44" s="885">
        <v>2211.8696651430005</v>
      </c>
      <c r="O44" s="885">
        <v>1990.6826986287006</v>
      </c>
      <c r="P44" s="885">
        <v>1791.6144287658306</v>
      </c>
      <c r="Q44" s="885">
        <v>1612.4529858892474</v>
      </c>
      <c r="R44" s="885">
        <v>1451.2076873003227</v>
      </c>
      <c r="S44" s="885">
        <v>1306.0869185702904</v>
      </c>
      <c r="T44" s="885">
        <v>1175.4782267132614</v>
      </c>
      <c r="U44" s="885">
        <v>1057.9304040419354</v>
      </c>
      <c r="V44" s="885">
        <v>952.13736363774183</v>
      </c>
      <c r="W44" s="885">
        <v>856.92362727396767</v>
      </c>
      <c r="X44" s="885">
        <v>771.23126454657097</v>
      </c>
      <c r="Y44" s="885">
        <v>694.10813809191393</v>
      </c>
      <c r="Z44" s="885">
        <v>624.69732428272255</v>
      </c>
      <c r="AA44" s="885">
        <v>562.22759185445034</v>
      </c>
      <c r="AB44" s="885">
        <v>506.00483266900534</v>
      </c>
      <c r="AC44" s="885">
        <v>455.4043494021048</v>
      </c>
      <c r="AD44" s="885">
        <v>409.86391446189435</v>
      </c>
      <c r="AE44" s="885">
        <v>368.87752301570492</v>
      </c>
      <c r="AF44" s="885">
        <v>331.98977071413447</v>
      </c>
      <c r="AG44" s="474"/>
      <c r="AH44" s="10"/>
      <c r="AI44" s="10"/>
      <c r="AJ44" s="10"/>
      <c r="AK44" s="10"/>
      <c r="AL44" s="10"/>
      <c r="AM44" s="10"/>
      <c r="AN44" s="10"/>
    </row>
    <row r="45" spans="1:40" ht="15">
      <c r="A45" s="1207"/>
      <c r="B45" s="243">
        <v>35</v>
      </c>
      <c r="C45" s="247" t="s">
        <v>488</v>
      </c>
      <c r="D45" s="541"/>
      <c r="E45" s="404"/>
      <c r="F45" s="887">
        <f>1/((1+$F$50)^G50)</f>
        <v>1</v>
      </c>
      <c r="G45" s="892">
        <f t="shared" ref="G45:AF45" si="42">1/((1+$F$50)^G49)</f>
        <v>1</v>
      </c>
      <c r="H45" s="886">
        <f t="shared" si="42"/>
        <v>1</v>
      </c>
      <c r="I45" s="886">
        <f t="shared" si="42"/>
        <v>0.77431266125346698</v>
      </c>
      <c r="J45" s="893">
        <f t="shared" si="42"/>
        <v>0.71103091024193477</v>
      </c>
      <c r="K45" s="888">
        <f t="shared" si="42"/>
        <v>0.65292094604401729</v>
      </c>
      <c r="L45" s="885">
        <f t="shared" si="42"/>
        <v>0.59956009737742622</v>
      </c>
      <c r="M45" s="885">
        <f t="shared" si="42"/>
        <v>0.55056023634290752</v>
      </c>
      <c r="N45" s="885">
        <f t="shared" si="42"/>
        <v>0.50556495531947432</v>
      </c>
      <c r="O45" s="885">
        <f t="shared" si="42"/>
        <v>0.46424697458170283</v>
      </c>
      <c r="P45" s="885">
        <f t="shared" si="42"/>
        <v>0.42630576178301444</v>
      </c>
      <c r="Q45" s="885">
        <f t="shared" si="42"/>
        <v>0.39146534598991228</v>
      </c>
      <c r="R45" s="885">
        <f t="shared" si="42"/>
        <v>0.35947231036722888</v>
      </c>
      <c r="S45" s="885">
        <f t="shared" si="42"/>
        <v>0.33009394891389243</v>
      </c>
      <c r="T45" s="885">
        <f t="shared" si="42"/>
        <v>0.30311657384195817</v>
      </c>
      <c r="U45" s="885">
        <f t="shared" si="42"/>
        <v>0.27834396128738126</v>
      </c>
      <c r="V45" s="885">
        <f t="shared" si="42"/>
        <v>0.25559592404718207</v>
      </c>
      <c r="W45" s="885">
        <f t="shared" si="42"/>
        <v>0.23470700096159966</v>
      </c>
      <c r="X45" s="885">
        <f t="shared" si="42"/>
        <v>0.21552525340826414</v>
      </c>
      <c r="Y45" s="885">
        <f t="shared" si="42"/>
        <v>0.19791116015451257</v>
      </c>
      <c r="Z45" s="885">
        <f t="shared" si="42"/>
        <v>0.18173660252939627</v>
      </c>
      <c r="AA45" s="885">
        <f t="shared" si="42"/>
        <v>0.1668839325338809</v>
      </c>
      <c r="AB45" s="885">
        <f t="shared" si="42"/>
        <v>0.15324511711100172</v>
      </c>
      <c r="AC45" s="885">
        <f t="shared" si="42"/>
        <v>0.14072095235170037</v>
      </c>
      <c r="AD45" s="885">
        <f t="shared" si="42"/>
        <v>0.12922034192075335</v>
      </c>
      <c r="AE45" s="885">
        <f t="shared" si="42"/>
        <v>0.11865963445431897</v>
      </c>
      <c r="AF45" s="885">
        <f t="shared" si="42"/>
        <v>0.10896201510956743</v>
      </c>
      <c r="AG45" s="474"/>
      <c r="AH45" s="10"/>
      <c r="AJ45" s="10"/>
      <c r="AK45" s="10"/>
      <c r="AL45" s="10"/>
      <c r="AM45" s="10"/>
      <c r="AN45" s="10"/>
    </row>
    <row r="46" spans="1:40" ht="15">
      <c r="A46" s="1207"/>
      <c r="B46" s="243">
        <v>36</v>
      </c>
      <c r="C46" s="247" t="s">
        <v>489</v>
      </c>
      <c r="D46" s="542"/>
      <c r="E46" s="543" t="s">
        <v>490</v>
      </c>
      <c r="F46" s="887">
        <f>1/((1+$F$50+0.001)^G50)</f>
        <v>1</v>
      </c>
      <c r="G46" s="892">
        <f>1/((1+$F$50+0.001)^G49)</f>
        <v>1</v>
      </c>
      <c r="H46" s="886">
        <f t="shared" ref="H46:AF46" si="43">1/((1+$F$50+0.001)^H49)</f>
        <v>1</v>
      </c>
      <c r="I46" s="886">
        <f t="shared" si="43"/>
        <v>0.77218348006106452</v>
      </c>
      <c r="J46" s="893">
        <f t="shared" si="43"/>
        <v>0.70842521106519685</v>
      </c>
      <c r="K46" s="888">
        <f t="shared" si="43"/>
        <v>0.64993138629834579</v>
      </c>
      <c r="L46" s="885">
        <f t="shared" si="43"/>
        <v>0.59626732687921646</v>
      </c>
      <c r="M46" s="885">
        <f t="shared" si="43"/>
        <v>0.54703424484331786</v>
      </c>
      <c r="N46" s="885">
        <f t="shared" si="43"/>
        <v>0.50186627967276876</v>
      </c>
      <c r="O46" s="885">
        <f t="shared" si="43"/>
        <v>0.46042777951630176</v>
      </c>
      <c r="P46" s="885">
        <f t="shared" si="43"/>
        <v>0.42241080689568972</v>
      </c>
      <c r="Q46" s="885">
        <f t="shared" si="43"/>
        <v>0.3875328503630181</v>
      </c>
      <c r="R46" s="885">
        <f t="shared" si="43"/>
        <v>0.35553472510368633</v>
      </c>
      <c r="S46" s="885">
        <f t="shared" si="43"/>
        <v>0.32617864688411596</v>
      </c>
      <c r="T46" s="885">
        <f t="shared" si="43"/>
        <v>0.29924646503129909</v>
      </c>
      <c r="U46" s="885">
        <f t="shared" si="43"/>
        <v>0.27453804131311843</v>
      </c>
      <c r="V46" s="885">
        <f t="shared" si="43"/>
        <v>0.25186976267258576</v>
      </c>
      <c r="W46" s="885">
        <f t="shared" si="43"/>
        <v>0.2310731767638402</v>
      </c>
      <c r="X46" s="885">
        <f t="shared" si="43"/>
        <v>0.21199374015031211</v>
      </c>
      <c r="Y46" s="885">
        <f t="shared" si="43"/>
        <v>0.19448966986267169</v>
      </c>
      <c r="Z46" s="885">
        <f t="shared" si="43"/>
        <v>0.17843088978226762</v>
      </c>
      <c r="AA46" s="885">
        <f t="shared" si="43"/>
        <v>0.16369806402042905</v>
      </c>
      <c r="AB46" s="885">
        <f t="shared" si="43"/>
        <v>0.15018171011048537</v>
      </c>
      <c r="AC46" s="885">
        <f t="shared" si="43"/>
        <v>0.13778138542246365</v>
      </c>
      <c r="AD46" s="885">
        <f t="shared" si="43"/>
        <v>0.12640494075455383</v>
      </c>
      <c r="AE46" s="885">
        <f t="shared" si="43"/>
        <v>0.11596783555463655</v>
      </c>
      <c r="AF46" s="885">
        <f t="shared" si="43"/>
        <v>0.10639250968315282</v>
      </c>
      <c r="AG46" s="474"/>
      <c r="AH46" s="10"/>
      <c r="AI46" s="10"/>
      <c r="AJ46" s="10"/>
      <c r="AK46" s="10"/>
      <c r="AL46" s="10"/>
      <c r="AM46" s="10"/>
      <c r="AN46" s="10"/>
    </row>
    <row r="47" spans="1:40" ht="15">
      <c r="A47" s="1209"/>
      <c r="B47" s="244">
        <v>37</v>
      </c>
      <c r="C47" s="242" t="s">
        <v>491</v>
      </c>
      <c r="D47" s="542"/>
      <c r="E47" s="543" t="s">
        <v>492</v>
      </c>
      <c r="F47" s="887">
        <f>1/((1+$F$50+0.005)^G50)</f>
        <v>1</v>
      </c>
      <c r="G47" s="894">
        <f t="shared" ref="G47:AF47" si="44">1/((1+$F$50+0.005)^G49)</f>
        <v>1</v>
      </c>
      <c r="H47" s="895">
        <f t="shared" si="44"/>
        <v>1</v>
      </c>
      <c r="I47" s="895">
        <f t="shared" si="44"/>
        <v>0.76374439142014949</v>
      </c>
      <c r="J47" s="896">
        <f t="shared" si="44"/>
        <v>0.69812101592335418</v>
      </c>
      <c r="K47" s="888">
        <f t="shared" si="44"/>
        <v>0.63813621199575343</v>
      </c>
      <c r="L47" s="885">
        <f t="shared" si="44"/>
        <v>0.5833054954257344</v>
      </c>
      <c r="M47" s="885">
        <f t="shared" si="44"/>
        <v>0.5331860104439986</v>
      </c>
      <c r="N47" s="885">
        <f t="shared" si="44"/>
        <v>0.48737295287385612</v>
      </c>
      <c r="O47" s="885">
        <f t="shared" si="44"/>
        <v>0.4454963006159563</v>
      </c>
      <c r="P47" s="885">
        <f t="shared" si="44"/>
        <v>0.40721782506028914</v>
      </c>
      <c r="Q47" s="885">
        <f t="shared" si="44"/>
        <v>0.37222835928728443</v>
      </c>
      <c r="R47" s="885">
        <f t="shared" si="44"/>
        <v>0.34024530099386147</v>
      </c>
      <c r="S47" s="885">
        <f t="shared" si="44"/>
        <v>0.31101032997610739</v>
      </c>
      <c r="T47" s="885">
        <f t="shared" si="44"/>
        <v>0.28428732173318777</v>
      </c>
      <c r="U47" s="885">
        <f t="shared" si="44"/>
        <v>0.25986044034112232</v>
      </c>
      <c r="V47" s="885">
        <f t="shared" si="44"/>
        <v>0.237532395192982</v>
      </c>
      <c r="W47" s="885">
        <f t="shared" si="44"/>
        <v>0.21712284752557773</v>
      </c>
      <c r="X47" s="885">
        <f t="shared" si="44"/>
        <v>0.19846695386250252</v>
      </c>
      <c r="Y47" s="885">
        <f t="shared" si="44"/>
        <v>0.18141403460923447</v>
      </c>
      <c r="Z47" s="885">
        <f t="shared" si="44"/>
        <v>0.16582635704683224</v>
      </c>
      <c r="AA47" s="885">
        <f t="shared" si="44"/>
        <v>0.15157802289472785</v>
      </c>
      <c r="AB47" s="885">
        <f t="shared" si="44"/>
        <v>0.13855395145770369</v>
      </c>
      <c r="AC47" s="885">
        <f t="shared" si="44"/>
        <v>0.12664895014415331</v>
      </c>
      <c r="AD47" s="885">
        <f t="shared" si="44"/>
        <v>0.11576686484840337</v>
      </c>
      <c r="AE47" s="885">
        <f t="shared" si="44"/>
        <v>0.10581980333492085</v>
      </c>
      <c r="AF47" s="885">
        <f t="shared" si="44"/>
        <v>9.672742535184721E-2</v>
      </c>
      <c r="AG47" s="474"/>
      <c r="AH47" s="10"/>
      <c r="AI47" s="10"/>
      <c r="AJ47" s="10"/>
      <c r="AK47" s="10"/>
      <c r="AL47" s="10"/>
      <c r="AM47" s="10"/>
      <c r="AN47" s="10"/>
    </row>
    <row r="48" spans="1:40" ht="15.75" customHeight="1">
      <c r="A48" s="1219" t="s">
        <v>461</v>
      </c>
      <c r="B48" s="1220"/>
      <c r="C48" s="1220"/>
      <c r="D48" s="1220"/>
      <c r="E48" s="1220"/>
      <c r="F48" s="1220"/>
      <c r="G48" s="1221"/>
      <c r="H48" s="1221"/>
      <c r="I48" s="1221"/>
      <c r="J48" s="1221"/>
      <c r="K48" s="1220"/>
      <c r="L48" s="1220"/>
      <c r="M48" s="1220"/>
      <c r="N48" s="1220"/>
      <c r="O48" s="1220"/>
      <c r="P48" s="1220"/>
      <c r="Q48" s="1220"/>
      <c r="R48" s="1220"/>
      <c r="S48" s="1220"/>
      <c r="T48" s="1220"/>
      <c r="U48" s="1220"/>
      <c r="V48" s="1220"/>
      <c r="W48" s="1220"/>
      <c r="X48" s="1220"/>
      <c r="Y48" s="1220"/>
      <c r="Z48" s="1220"/>
      <c r="AA48" s="1220"/>
      <c r="AB48" s="1220"/>
      <c r="AC48" s="1220"/>
      <c r="AD48" s="1220"/>
      <c r="AE48" s="1220"/>
      <c r="AF48" s="1222"/>
      <c r="AG48" s="474"/>
      <c r="AH48" s="10"/>
      <c r="AI48" s="10"/>
      <c r="AJ48" s="476"/>
      <c r="AK48" s="10"/>
      <c r="AL48" s="10"/>
      <c r="AM48" s="10"/>
      <c r="AN48" s="10"/>
    </row>
    <row r="49" spans="1:40" ht="15">
      <c r="A49" s="1225" t="s">
        <v>493</v>
      </c>
      <c r="C49" s="258" t="s">
        <v>494</v>
      </c>
      <c r="D49" s="248" t="s">
        <v>495</v>
      </c>
      <c r="E49" s="249" t="s">
        <v>496</v>
      </c>
      <c r="F49" s="259" t="s">
        <v>497</v>
      </c>
      <c r="G49" s="305"/>
      <c r="H49" s="306"/>
      <c r="I49" s="306">
        <v>3</v>
      </c>
      <c r="J49" s="305">
        <v>4</v>
      </c>
      <c r="K49" s="306">
        <v>5</v>
      </c>
      <c r="L49" s="306">
        <v>6</v>
      </c>
      <c r="M49" s="305">
        <v>7</v>
      </c>
      <c r="N49" s="306">
        <v>8</v>
      </c>
      <c r="O49" s="306">
        <v>9</v>
      </c>
      <c r="P49" s="305">
        <v>10</v>
      </c>
      <c r="Q49" s="306">
        <v>11</v>
      </c>
      <c r="R49" s="306">
        <v>12</v>
      </c>
      <c r="S49" s="305">
        <v>13</v>
      </c>
      <c r="T49" s="306">
        <v>14</v>
      </c>
      <c r="U49" s="306">
        <v>15</v>
      </c>
      <c r="V49" s="305">
        <v>16</v>
      </c>
      <c r="W49" s="306">
        <v>17</v>
      </c>
      <c r="X49" s="306">
        <v>18</v>
      </c>
      <c r="Y49" s="305">
        <v>19</v>
      </c>
      <c r="Z49" s="306">
        <v>20</v>
      </c>
      <c r="AA49" s="306">
        <v>21</v>
      </c>
      <c r="AB49" s="305">
        <v>22</v>
      </c>
      <c r="AC49" s="306">
        <v>23</v>
      </c>
      <c r="AD49" s="306">
        <v>24</v>
      </c>
      <c r="AE49" s="305">
        <v>25</v>
      </c>
      <c r="AF49" s="306">
        <v>26</v>
      </c>
      <c r="AG49" s="474"/>
      <c r="AH49" s="10"/>
      <c r="AI49" s="10"/>
      <c r="AJ49" s="10"/>
      <c r="AK49" s="10"/>
      <c r="AL49" s="10"/>
      <c r="AM49" s="10"/>
      <c r="AN49" s="10"/>
    </row>
    <row r="50" spans="1:40" ht="12.75" customHeight="1">
      <c r="A50" s="1226"/>
      <c r="C50" s="254">
        <v>0.04</v>
      </c>
      <c r="D50" s="255">
        <v>4.5999999999999999E-2</v>
      </c>
      <c r="E50" s="256">
        <v>3.0000000000000001E-3</v>
      </c>
      <c r="F50" s="257">
        <f>E50+D50+C50</f>
        <v>8.8999999999999996E-2</v>
      </c>
      <c r="G50" s="874"/>
      <c r="H50" s="874"/>
      <c r="I50" s="874"/>
      <c r="J50" s="874"/>
      <c r="K50" s="874"/>
      <c r="L50" s="874"/>
      <c r="M50" s="874"/>
      <c r="N50" s="874"/>
      <c r="O50" s="874"/>
      <c r="P50" s="874"/>
      <c r="Q50" s="874"/>
      <c r="R50" s="874"/>
      <c r="S50" s="874"/>
      <c r="T50" s="874"/>
      <c r="U50" s="874"/>
      <c r="V50" s="874"/>
      <c r="W50" s="874"/>
      <c r="X50" s="874"/>
      <c r="Y50" s="874"/>
      <c r="Z50" s="874"/>
      <c r="AA50" s="874"/>
      <c r="AB50" s="874"/>
      <c r="AC50" s="874"/>
      <c r="AD50" s="874"/>
      <c r="AE50" s="874"/>
      <c r="AF50" s="874"/>
      <c r="AG50" s="874"/>
      <c r="AH50" s="874"/>
      <c r="AI50" s="874"/>
      <c r="AJ50" s="874"/>
      <c r="AK50" s="874"/>
      <c r="AL50" s="874"/>
      <c r="AM50" s="874"/>
      <c r="AN50" s="10"/>
    </row>
    <row r="51" spans="1:40" ht="15">
      <c r="A51" s="241"/>
      <c r="C51" s="241"/>
      <c r="D51" s="294"/>
      <c r="E51" s="294"/>
      <c r="F51" s="294"/>
      <c r="G51"/>
      <c r="H51" s="865"/>
      <c r="I51" s="241"/>
      <c r="J51" s="241"/>
      <c r="K51" s="241"/>
      <c r="S51" s="241"/>
      <c r="T51" s="241"/>
      <c r="U51" s="241"/>
      <c r="V51" s="241"/>
      <c r="W51" s="241"/>
      <c r="X51" s="241"/>
      <c r="Y51" s="241"/>
      <c r="Z51" s="241"/>
      <c r="AA51" s="241"/>
      <c r="AB51" s="241"/>
      <c r="AC51" s="241"/>
      <c r="AD51" s="241"/>
      <c r="AE51" s="241"/>
      <c r="AF51" s="241"/>
      <c r="AG51" s="473"/>
      <c r="AH51" s="10"/>
      <c r="AI51" s="10"/>
      <c r="AJ51" s="10"/>
      <c r="AK51" s="10"/>
      <c r="AL51" s="10"/>
      <c r="AM51" s="10"/>
      <c r="AN51" s="10"/>
    </row>
    <row r="52" spans="1:40" ht="15" customHeight="1">
      <c r="A52" s="1227" t="s">
        <v>498</v>
      </c>
      <c r="C52" s="423" t="s">
        <v>461</v>
      </c>
      <c r="D52" s="424" t="s">
        <v>438</v>
      </c>
      <c r="E52" s="425" t="s">
        <v>439</v>
      </c>
      <c r="F52" s="424" t="s">
        <v>499</v>
      </c>
      <c r="G52" s="241"/>
      <c r="H52" s="818"/>
      <c r="I52" s="443"/>
      <c r="J52" s="443"/>
      <c r="K52" s="241"/>
      <c r="S52" s="241"/>
      <c r="T52" s="241"/>
      <c r="U52" s="241"/>
      <c r="V52" s="241"/>
      <c r="W52" s="241"/>
      <c r="X52" s="241"/>
      <c r="Y52" s="241"/>
      <c r="Z52" s="241"/>
      <c r="AA52" s="241"/>
      <c r="AB52" s="241"/>
      <c r="AC52" s="241"/>
      <c r="AD52" s="241"/>
      <c r="AE52" s="241"/>
      <c r="AF52" s="241"/>
      <c r="AG52" s="473"/>
      <c r="AH52" s="10"/>
      <c r="AI52" s="10"/>
      <c r="AJ52" s="10"/>
      <c r="AK52" s="10"/>
      <c r="AL52" s="10"/>
      <c r="AM52" s="10"/>
      <c r="AN52" s="10"/>
    </row>
    <row r="53" spans="1:40" ht="15" customHeight="1">
      <c r="A53" s="1227"/>
      <c r="C53" s="426" t="s">
        <v>500</v>
      </c>
      <c r="D53" s="394">
        <f>Assumptions!S17</f>
        <v>9.8239007731220365E-2</v>
      </c>
      <c r="E53" s="395">
        <f>Assumptions!T17</f>
        <v>9.8498870691736809E-2</v>
      </c>
      <c r="F53" s="427" t="str">
        <f>Assumptions!V17</f>
        <v>% PPE</v>
      </c>
      <c r="G53" s="449"/>
      <c r="I53" s="241"/>
      <c r="J53" s="241"/>
      <c r="K53" s="241"/>
      <c r="S53" s="241"/>
      <c r="T53" s="241"/>
      <c r="U53" s="241"/>
      <c r="V53" s="241"/>
      <c r="W53" s="241"/>
      <c r="X53" s="241"/>
      <c r="Y53" s="241"/>
      <c r="Z53" s="241"/>
      <c r="AA53" s="241"/>
      <c r="AB53" s="241"/>
      <c r="AC53" s="241"/>
      <c r="AD53" s="241"/>
      <c r="AE53" s="241"/>
      <c r="AF53" s="241"/>
      <c r="AG53" s="473"/>
      <c r="AH53" s="10"/>
      <c r="AI53" s="10"/>
      <c r="AJ53" s="10"/>
      <c r="AK53" s="10"/>
      <c r="AL53" s="10"/>
      <c r="AM53" s="10"/>
      <c r="AN53" s="10"/>
    </row>
    <row r="54" spans="1:40" ht="15" customHeight="1">
      <c r="A54" s="1227"/>
      <c r="C54" s="428" t="s">
        <v>501</v>
      </c>
      <c r="D54" s="394">
        <f>Assumptions!S18</f>
        <v>0</v>
      </c>
      <c r="E54" s="395">
        <f>Assumptions!T18</f>
        <v>0</v>
      </c>
      <c r="F54" s="427" t="str">
        <f>Assumptions!V18</f>
        <v>% IA</v>
      </c>
      <c r="G54" s="241"/>
      <c r="I54" s="241"/>
      <c r="J54" s="241"/>
      <c r="K54" s="241"/>
      <c r="S54" s="241"/>
      <c r="T54" s="241"/>
      <c r="U54" s="241"/>
      <c r="V54" s="241"/>
      <c r="W54" s="241"/>
      <c r="X54" s="241"/>
      <c r="Y54" s="241"/>
      <c r="Z54" s="241"/>
      <c r="AA54" s="241"/>
      <c r="AB54" s="241"/>
      <c r="AC54" s="241"/>
      <c r="AD54" s="241"/>
      <c r="AE54" s="241"/>
      <c r="AF54" s="241"/>
      <c r="AG54" s="473"/>
      <c r="AH54" s="10"/>
      <c r="AI54" s="10"/>
      <c r="AJ54" s="10"/>
      <c r="AK54" s="10"/>
      <c r="AL54" s="10"/>
      <c r="AM54" s="10"/>
      <c r="AN54" s="10"/>
    </row>
    <row r="55" spans="1:40" ht="15" customHeight="1">
      <c r="A55" s="1227"/>
      <c r="C55" s="403" t="s">
        <v>502</v>
      </c>
      <c r="D55" s="394">
        <f>Assumptions!S19</f>
        <v>5.0410119756733804E-3</v>
      </c>
      <c r="E55" s="395">
        <f>Assumptions!T19</f>
        <v>5.0410119756733804E-3</v>
      </c>
      <c r="F55" s="427" t="str">
        <f>Assumptions!V19</f>
        <v>% Revenue</v>
      </c>
      <c r="G55" s="241"/>
      <c r="I55" s="241"/>
      <c r="J55" s="241"/>
      <c r="K55" s="241"/>
      <c r="L55" s="241"/>
      <c r="M55" s="241"/>
      <c r="N55" s="241"/>
      <c r="O55" s="241"/>
      <c r="P55" s="241"/>
      <c r="Q55" s="241"/>
      <c r="R55" s="241"/>
      <c r="S55" s="241"/>
      <c r="T55" s="241"/>
      <c r="U55" s="241"/>
      <c r="V55" s="241"/>
      <c r="W55" s="241"/>
      <c r="X55" s="241"/>
      <c r="Y55" s="241"/>
      <c r="Z55" s="241"/>
      <c r="AA55" s="241"/>
      <c r="AB55" s="241"/>
      <c r="AC55" s="241"/>
      <c r="AD55" s="241"/>
      <c r="AE55" s="241"/>
      <c r="AF55" s="241"/>
      <c r="AG55" s="473"/>
      <c r="AH55" s="10"/>
      <c r="AI55" s="10"/>
      <c r="AJ55" s="10"/>
      <c r="AK55" s="10"/>
      <c r="AL55" s="10"/>
      <c r="AM55" s="10"/>
      <c r="AN55" s="10"/>
    </row>
    <row r="56" spans="1:40" ht="15" customHeight="1">
      <c r="A56" s="1227"/>
      <c r="C56" s="428" t="s">
        <v>503</v>
      </c>
      <c r="D56" s="394">
        <f>Assumptions!S20</f>
        <v>0.23327437173824536</v>
      </c>
      <c r="E56" s="395">
        <f>Assumptions!T20</f>
        <v>0.25</v>
      </c>
      <c r="F56" s="427" t="str">
        <f>Assumptions!V20</f>
        <v>% EBT</v>
      </c>
      <c r="G56" s="241"/>
      <c r="I56" s="241"/>
      <c r="J56" s="241"/>
      <c r="K56" s="241"/>
      <c r="L56" s="241"/>
      <c r="M56" s="241"/>
      <c r="N56" s="241"/>
      <c r="O56" s="241"/>
      <c r="P56" s="241"/>
      <c r="Q56" s="241"/>
      <c r="R56" s="241"/>
      <c r="S56" s="241"/>
      <c r="T56" s="241"/>
      <c r="U56" s="241"/>
      <c r="V56" s="241"/>
      <c r="W56" s="241"/>
      <c r="X56" s="241"/>
      <c r="Y56" s="241"/>
      <c r="Z56" s="241"/>
      <c r="AA56" s="241"/>
      <c r="AB56" s="241"/>
      <c r="AC56" s="241"/>
      <c r="AD56" s="241"/>
      <c r="AE56" s="241"/>
      <c r="AF56" s="241"/>
      <c r="AG56" s="473"/>
      <c r="AH56" s="10"/>
      <c r="AI56" s="10"/>
      <c r="AJ56" s="10"/>
      <c r="AK56" s="10"/>
      <c r="AL56" s="10"/>
      <c r="AM56" s="10"/>
      <c r="AN56" s="10"/>
    </row>
    <row r="57" spans="1:40" ht="15" customHeight="1">
      <c r="A57" s="1227"/>
      <c r="C57" s="403" t="s">
        <v>504</v>
      </c>
      <c r="D57" s="394">
        <f>Assumptions!S21</f>
        <v>-6.2877744016385878E-2</v>
      </c>
      <c r="E57" s="395">
        <f>Assumptions!T21</f>
        <v>-4.7037227080441765E-2</v>
      </c>
      <c r="F57" s="427" t="str">
        <f>Assumptions!V21</f>
        <v>% Debt</v>
      </c>
      <c r="G57" s="241"/>
      <c r="I57" s="241"/>
      <c r="J57" s="241"/>
      <c r="K57" s="241"/>
      <c r="L57" s="241"/>
      <c r="M57" s="241"/>
      <c r="N57" s="241"/>
      <c r="O57" s="241"/>
      <c r="P57" s="241"/>
      <c r="Q57" s="241"/>
      <c r="R57" s="241"/>
      <c r="S57" s="241"/>
      <c r="T57" s="241"/>
      <c r="U57" s="241"/>
      <c r="V57" s="241"/>
      <c r="W57" s="241"/>
      <c r="X57" s="241"/>
      <c r="Y57" s="241"/>
      <c r="Z57" s="241"/>
      <c r="AA57" s="241"/>
      <c r="AB57" s="241"/>
      <c r="AC57" s="241"/>
      <c r="AD57" s="241"/>
      <c r="AE57" s="241"/>
      <c r="AF57" s="241"/>
      <c r="AG57" s="473"/>
      <c r="AH57" s="10"/>
      <c r="AI57" s="10"/>
      <c r="AJ57" s="10"/>
      <c r="AK57" s="10"/>
      <c r="AL57" s="10"/>
      <c r="AM57" s="10"/>
      <c r="AN57" s="10"/>
    </row>
    <row r="58" spans="1:40" ht="15" customHeight="1">
      <c r="A58" s="1227"/>
      <c r="C58" s="428" t="s">
        <v>505</v>
      </c>
      <c r="D58" s="394">
        <f>Assumptions!S22</f>
        <v>2.9000000000000001E-2</v>
      </c>
      <c r="E58" s="395">
        <f>Assumptions!T22</f>
        <v>2.5000000000000001E-2</v>
      </c>
      <c r="F58" s="427" t="str">
        <f>Assumptions!V22</f>
        <v xml:space="preserve">% Cash </v>
      </c>
      <c r="G58" s="241"/>
      <c r="H58" s="241"/>
      <c r="I58" s="242"/>
      <c r="J58" s="261"/>
      <c r="K58" s="261"/>
      <c r="L58" s="261"/>
      <c r="M58" s="261"/>
      <c r="N58" s="261"/>
      <c r="O58" s="241"/>
      <c r="P58" s="241"/>
      <c r="Q58" s="241"/>
      <c r="R58" s="241"/>
      <c r="S58" s="241"/>
      <c r="T58" s="241"/>
      <c r="U58" s="241"/>
      <c r="V58" s="241"/>
      <c r="W58" s="241"/>
      <c r="X58" s="241"/>
      <c r="Y58" s="241"/>
      <c r="Z58" s="241"/>
      <c r="AA58" s="241"/>
      <c r="AB58" s="241"/>
      <c r="AC58" s="241"/>
      <c r="AD58" s="241"/>
      <c r="AE58" s="241"/>
      <c r="AF58" s="241"/>
      <c r="AG58" s="473"/>
      <c r="AH58" s="10"/>
      <c r="AI58" s="10"/>
      <c r="AJ58" s="10"/>
      <c r="AK58" s="10"/>
      <c r="AL58" s="10"/>
      <c r="AM58" s="10"/>
      <c r="AN58" s="10"/>
    </row>
    <row r="59" spans="1:40" ht="15" customHeight="1">
      <c r="A59" s="1227"/>
      <c r="C59" s="403" t="s">
        <v>506</v>
      </c>
      <c r="D59" s="394" t="str">
        <f>Assumptions!S23</f>
        <v>- -</v>
      </c>
      <c r="E59" s="395" t="str">
        <f>Assumptions!T23</f>
        <v>- -</v>
      </c>
      <c r="F59" s="427" t="str">
        <f>Assumptions!V23</f>
        <v>Growing with CAPEX</v>
      </c>
      <c r="G59" s="241"/>
      <c r="H59" s="241"/>
      <c r="I59" s="241"/>
      <c r="J59" s="262"/>
      <c r="K59" s="262"/>
      <c r="L59" s="262"/>
      <c r="M59" s="262"/>
      <c r="N59" s="261"/>
      <c r="O59" s="241"/>
      <c r="P59" s="241"/>
      <c r="Q59" s="241"/>
      <c r="R59" s="241"/>
      <c r="S59" s="241"/>
      <c r="T59" s="241"/>
      <c r="U59" s="241"/>
      <c r="V59" s="241"/>
      <c r="W59" s="241"/>
      <c r="X59" s="241"/>
      <c r="Y59" s="241"/>
      <c r="Z59" s="241"/>
      <c r="AA59" s="241"/>
      <c r="AB59" s="241"/>
      <c r="AC59" s="241"/>
      <c r="AD59" s="241"/>
      <c r="AE59" s="241"/>
      <c r="AF59" s="241"/>
      <c r="AG59" s="473"/>
      <c r="AH59" s="10"/>
      <c r="AI59" s="10"/>
      <c r="AJ59" s="10"/>
      <c r="AK59" s="10"/>
      <c r="AL59" s="10"/>
      <c r="AM59" s="10"/>
      <c r="AN59" s="10"/>
    </row>
    <row r="60" spans="1:40" ht="15" customHeight="1">
      <c r="A60" s="1227"/>
      <c r="C60" s="423" t="s">
        <v>507</v>
      </c>
      <c r="D60" s="394">
        <f>Assumptions!S24</f>
        <v>0.33463363386109052</v>
      </c>
      <c r="E60" s="395">
        <f>Assumptions!T24</f>
        <v>0.15271515096659552</v>
      </c>
      <c r="F60" s="427" t="str">
        <f>Assumptions!V24</f>
        <v xml:space="preserve">% Change in Revenues </v>
      </c>
      <c r="G60" s="241"/>
      <c r="H60" s="241"/>
      <c r="I60" s="241"/>
      <c r="J60" s="261"/>
      <c r="K60" s="261"/>
      <c r="L60" s="261"/>
      <c r="M60" s="261"/>
      <c r="N60" s="261"/>
      <c r="O60" s="241"/>
      <c r="P60" s="241"/>
      <c r="Q60" s="241"/>
      <c r="R60" s="241"/>
      <c r="S60" s="241"/>
      <c r="T60" s="241"/>
      <c r="U60" s="241"/>
      <c r="V60" s="241"/>
      <c r="W60" s="241"/>
      <c r="X60" s="241"/>
      <c r="Y60" s="241"/>
      <c r="Z60" s="241"/>
      <c r="AA60" s="241"/>
      <c r="AB60" s="241"/>
      <c r="AC60" s="241"/>
      <c r="AD60" s="241"/>
      <c r="AE60" s="241"/>
      <c r="AF60" s="241"/>
      <c r="AG60" s="473"/>
      <c r="AH60" s="10"/>
      <c r="AI60" s="10"/>
      <c r="AJ60" s="10"/>
      <c r="AK60" s="10"/>
      <c r="AL60" s="10"/>
      <c r="AM60" s="10"/>
      <c r="AN60" s="10"/>
    </row>
    <row r="61" spans="1:40" ht="15" customHeight="1">
      <c r="A61" s="1227"/>
      <c r="C61" s="430" t="s">
        <v>508</v>
      </c>
      <c r="D61" s="394" t="str">
        <f>Assumptions!S25</f>
        <v>- -</v>
      </c>
      <c r="E61" s="395" t="str">
        <f>Assumptions!T25</f>
        <v>- -</v>
      </c>
      <c r="F61" s="427" t="str">
        <f>Assumptions!V25</f>
        <v>Growing with Amortization</v>
      </c>
      <c r="G61" s="241"/>
      <c r="H61" s="241"/>
      <c r="I61" s="241"/>
      <c r="J61" s="241"/>
      <c r="K61" s="241"/>
      <c r="L61" s="241"/>
      <c r="M61" s="241"/>
      <c r="N61" s="241"/>
      <c r="O61" s="241"/>
      <c r="P61" s="241"/>
      <c r="Q61" s="241"/>
      <c r="R61" s="241"/>
      <c r="S61" s="241"/>
      <c r="T61" s="241"/>
      <c r="U61" s="241"/>
      <c r="V61" s="241"/>
      <c r="W61" s="241"/>
      <c r="X61" s="241"/>
      <c r="Y61" s="241"/>
      <c r="Z61" s="241"/>
      <c r="AA61" s="241"/>
      <c r="AB61" s="241"/>
      <c r="AC61" s="241"/>
      <c r="AD61" s="241"/>
      <c r="AE61" s="241"/>
      <c r="AF61" s="241"/>
      <c r="AG61" s="473"/>
      <c r="AH61" s="10"/>
      <c r="AI61" s="10"/>
      <c r="AJ61" s="10"/>
      <c r="AK61" s="10"/>
      <c r="AL61" s="10"/>
      <c r="AM61" s="10"/>
      <c r="AN61" s="10"/>
    </row>
    <row r="62" spans="1:40" ht="15" customHeight="1">
      <c r="A62" s="1227"/>
      <c r="C62" s="430" t="s">
        <v>509</v>
      </c>
      <c r="D62" s="394">
        <f>Assumptions!S26</f>
        <v>-4.8999999999999998E-3</v>
      </c>
      <c r="E62" s="395">
        <f>Assumptions!T26</f>
        <v>-2.8999999999999998E-3</v>
      </c>
      <c r="F62" s="427" t="str">
        <f>Assumptions!V26</f>
        <v>% Revenue</v>
      </c>
      <c r="G62" s="241"/>
      <c r="H62" s="241"/>
      <c r="I62" s="241"/>
      <c r="J62" s="241"/>
      <c r="K62" s="241"/>
      <c r="L62" s="241"/>
      <c r="M62" s="241"/>
      <c r="N62" s="241"/>
      <c r="O62" s="241"/>
      <c r="P62" s="241"/>
      <c r="Q62" s="241"/>
      <c r="R62" s="241"/>
      <c r="S62" s="241"/>
      <c r="T62" s="241"/>
      <c r="U62" s="241"/>
      <c r="V62" s="241"/>
      <c r="W62" s="241"/>
      <c r="X62" s="241"/>
      <c r="Y62" s="241"/>
      <c r="Z62" s="241"/>
      <c r="AA62" s="241"/>
      <c r="AB62" s="241"/>
      <c r="AC62" s="241"/>
      <c r="AD62" s="241"/>
      <c r="AE62" s="241"/>
      <c r="AF62" s="241"/>
      <c r="AG62" s="473"/>
      <c r="AH62" s="10"/>
      <c r="AI62" s="10"/>
      <c r="AJ62" s="10"/>
      <c r="AK62" s="10"/>
      <c r="AL62" s="10"/>
      <c r="AM62" s="10"/>
      <c r="AN62" s="10"/>
    </row>
    <row r="63" spans="1:40" ht="15" customHeight="1">
      <c r="A63" s="1227"/>
      <c r="C63" s="430" t="s">
        <v>510</v>
      </c>
      <c r="D63" s="394">
        <f>Assumptions!S27</f>
        <v>-2.4131962058493092E-2</v>
      </c>
      <c r="E63" s="395">
        <f>Assumptions!T27</f>
        <v>-0.04</v>
      </c>
      <c r="F63" s="427" t="str">
        <f>Assumptions!V27</f>
        <v>% Revenue</v>
      </c>
      <c r="G63" s="241"/>
      <c r="H63" s="241"/>
      <c r="I63" s="241"/>
      <c r="J63" s="241"/>
      <c r="K63" s="241"/>
      <c r="L63" s="241"/>
      <c r="M63" s="241"/>
      <c r="N63" s="241"/>
      <c r="O63" s="241"/>
      <c r="P63" s="241"/>
      <c r="Q63" s="241"/>
      <c r="R63" s="241"/>
      <c r="S63" s="241"/>
      <c r="T63" s="241"/>
      <c r="U63" s="241"/>
      <c r="V63" s="241"/>
      <c r="W63" s="241"/>
      <c r="X63" s="241"/>
      <c r="Y63" s="241"/>
      <c r="Z63" s="241"/>
      <c r="AA63" s="241"/>
      <c r="AB63" s="241"/>
      <c r="AC63" s="241"/>
      <c r="AD63" s="241"/>
      <c r="AE63" s="241"/>
      <c r="AF63" s="241"/>
      <c r="AG63" s="473"/>
      <c r="AH63" s="10"/>
      <c r="AI63" s="10"/>
      <c r="AJ63" s="10"/>
      <c r="AK63" s="10"/>
      <c r="AL63" s="10"/>
      <c r="AM63" s="10"/>
      <c r="AN63" s="10"/>
    </row>
    <row r="64" spans="1:40" ht="15" customHeight="1">
      <c r="A64" s="1227"/>
      <c r="C64" s="430" t="s">
        <v>135</v>
      </c>
      <c r="D64" s="394">
        <f>Assumptions!S28</f>
        <v>0.13500000000000001</v>
      </c>
      <c r="E64" s="395">
        <f>Assumptions!T28</f>
        <v>0.35</v>
      </c>
      <c r="F64" s="427" t="str">
        <f>Assumptions!V28</f>
        <v>% Net Income</v>
      </c>
      <c r="G64" s="241"/>
      <c r="I64" s="241"/>
      <c r="J64" s="241"/>
      <c r="K64" s="241"/>
      <c r="L64" s="241"/>
      <c r="M64" s="241"/>
      <c r="N64" s="241"/>
      <c r="O64" s="241"/>
      <c r="P64" s="241"/>
      <c r="Q64" s="241"/>
      <c r="R64" s="241"/>
      <c r="S64" s="241"/>
      <c r="T64" s="241"/>
      <c r="U64" s="241"/>
      <c r="V64" s="241"/>
      <c r="W64" s="241"/>
      <c r="X64" s="241"/>
      <c r="Y64" s="241"/>
      <c r="Z64" s="241"/>
      <c r="AA64" s="241"/>
      <c r="AB64" s="241"/>
      <c r="AC64" s="241"/>
      <c r="AD64" s="241"/>
      <c r="AE64" s="241"/>
      <c r="AF64" s="241"/>
      <c r="AG64" s="241"/>
    </row>
    <row r="65" spans="1:33" ht="15" customHeight="1">
      <c r="A65" s="1227"/>
      <c r="C65" s="430" t="s">
        <v>511</v>
      </c>
      <c r="D65" s="394">
        <f>Assumptions!S29</f>
        <v>0.28102338401564197</v>
      </c>
      <c r="E65" s="395">
        <f>Assumptions!T29</f>
        <v>0.2514646486658042</v>
      </c>
      <c r="F65" s="427" t="str">
        <f>Assumptions!V29</f>
        <v>% Net Income</v>
      </c>
      <c r="G65" s="241"/>
      <c r="I65" s="241"/>
      <c r="J65" s="241"/>
      <c r="K65" s="241"/>
      <c r="L65" s="241"/>
      <c r="M65" s="241"/>
      <c r="N65" s="241"/>
      <c r="O65" s="241"/>
      <c r="P65" s="241"/>
      <c r="Q65" s="241"/>
      <c r="R65" s="241"/>
      <c r="S65" s="241"/>
      <c r="T65" s="241"/>
      <c r="U65" s="241"/>
      <c r="V65" s="241"/>
      <c r="W65" s="241"/>
      <c r="X65" s="241"/>
      <c r="Y65" s="241"/>
      <c r="Z65" s="241"/>
      <c r="AA65" s="241"/>
      <c r="AB65" s="241"/>
      <c r="AC65" s="241"/>
      <c r="AD65" s="241"/>
      <c r="AE65" s="241"/>
      <c r="AF65" s="241"/>
      <c r="AG65" s="241"/>
    </row>
    <row r="66" spans="1:33" ht="15" customHeight="1">
      <c r="A66" s="1227"/>
      <c r="C66" s="430" t="s">
        <v>512</v>
      </c>
      <c r="D66" s="394">
        <f>Assumptions!S30</f>
        <v>1E-3</v>
      </c>
      <c r="E66" s="395">
        <f>Assumptions!T30</f>
        <v>5.0000000000000001E-4</v>
      </c>
      <c r="F66" s="427" t="str">
        <f>Assumptions!V30</f>
        <v>% Revenue</v>
      </c>
      <c r="G66" s="241"/>
      <c r="I66" s="241"/>
      <c r="J66" s="241"/>
      <c r="K66" s="241"/>
      <c r="L66" s="241"/>
      <c r="M66" s="241"/>
      <c r="N66" s="241"/>
      <c r="O66" s="241"/>
      <c r="P66" s="241"/>
      <c r="Q66" s="241"/>
      <c r="R66" s="241"/>
      <c r="S66" s="241"/>
      <c r="T66" s="241"/>
      <c r="U66" s="241"/>
      <c r="V66" s="241"/>
      <c r="W66" s="241"/>
      <c r="X66" s="241"/>
      <c r="Y66" s="241"/>
      <c r="Z66" s="241"/>
      <c r="AA66" s="241"/>
      <c r="AB66" s="241"/>
      <c r="AC66" s="241"/>
      <c r="AD66" s="241"/>
      <c r="AE66" s="241"/>
      <c r="AF66" s="241"/>
      <c r="AG66" s="241"/>
    </row>
    <row r="67" spans="1:33" ht="15.75" customHeight="1">
      <c r="A67" s="1227"/>
      <c r="C67" s="428" t="s">
        <v>311</v>
      </c>
      <c r="D67" s="636" t="s">
        <v>513</v>
      </c>
      <c r="E67" s="636" t="s">
        <v>513</v>
      </c>
      <c r="F67" s="635" t="str">
        <f>Assumptions!V31</f>
        <v>% EBITDA</v>
      </c>
      <c r="G67" s="241"/>
      <c r="J67" s="241"/>
      <c r="K67" s="241"/>
      <c r="L67" s="241"/>
      <c r="M67" s="241"/>
      <c r="N67" s="241"/>
      <c r="O67" s="241"/>
      <c r="P67" s="241"/>
      <c r="Q67" s="241"/>
      <c r="R67" s="241"/>
      <c r="S67" s="241"/>
      <c r="T67" s="241"/>
      <c r="U67" s="241"/>
      <c r="V67" s="241"/>
      <c r="W67" s="241"/>
      <c r="X67" s="241"/>
      <c r="Y67" s="241"/>
      <c r="Z67" s="241"/>
      <c r="AA67" s="241"/>
      <c r="AB67" s="241"/>
      <c r="AC67" s="241"/>
      <c r="AD67" s="241"/>
      <c r="AE67" s="241"/>
      <c r="AF67" s="241"/>
      <c r="AG67" s="241"/>
    </row>
    <row r="68" spans="1:33" ht="15">
      <c r="A68" s="241"/>
      <c r="C68" s="241"/>
      <c r="D68" s="241"/>
      <c r="E68" s="241"/>
      <c r="F68" s="241"/>
      <c r="G68" s="241"/>
      <c r="H68" s="241"/>
      <c r="I68" s="241"/>
      <c r="J68" s="241"/>
      <c r="K68" s="241"/>
      <c r="L68" s="241"/>
      <c r="M68" s="241"/>
      <c r="N68" s="241"/>
      <c r="O68" s="241"/>
      <c r="P68" s="241"/>
      <c r="Q68" s="241"/>
      <c r="R68" s="241"/>
      <c r="S68" s="241"/>
      <c r="T68" s="241"/>
      <c r="U68" s="241"/>
      <c r="V68" s="241"/>
      <c r="W68" s="241"/>
      <c r="X68" s="241"/>
      <c r="Y68" s="241"/>
      <c r="Z68" s="241"/>
      <c r="AA68" s="241"/>
      <c r="AB68" s="241"/>
      <c r="AC68" s="241"/>
      <c r="AD68" s="241"/>
      <c r="AE68" s="241"/>
      <c r="AF68" s="241"/>
      <c r="AG68" s="241"/>
    </row>
    <row r="69" spans="1:33" ht="15">
      <c r="A69" s="1203" t="s">
        <v>110</v>
      </c>
      <c r="C69" s="307"/>
      <c r="D69" s="397" t="s">
        <v>514</v>
      </c>
      <c r="E69" s="2"/>
      <c r="G69" s="241"/>
      <c r="H69" s="241"/>
      <c r="I69" s="241"/>
      <c r="J69" s="241"/>
      <c r="K69" s="241"/>
      <c r="L69" s="241"/>
      <c r="M69" s="241"/>
      <c r="N69" s="241"/>
      <c r="O69" s="241"/>
      <c r="P69" s="241"/>
      <c r="Q69" s="241"/>
      <c r="R69" s="241"/>
      <c r="S69" s="241"/>
      <c r="T69" s="241"/>
      <c r="U69" s="241"/>
      <c r="V69" s="241"/>
      <c r="W69" s="241"/>
      <c r="X69" s="241"/>
      <c r="Y69" s="241"/>
      <c r="Z69" s="241"/>
      <c r="AA69" s="241"/>
      <c r="AB69" s="241"/>
      <c r="AC69" s="241"/>
      <c r="AD69" s="241"/>
      <c r="AE69" s="241"/>
      <c r="AF69" s="241"/>
      <c r="AG69" s="241"/>
    </row>
    <row r="70" spans="1:33" ht="15">
      <c r="A70" s="1204"/>
      <c r="C70" s="307" t="s">
        <v>515</v>
      </c>
      <c r="D70" s="398">
        <f>SUMPRODUCT(G35:AF35,G45:AF45)+((AF43-AF44)*AF45)</f>
        <v>30915.444998493007</v>
      </c>
      <c r="E70" s="356">
        <f>D70/D72</f>
        <v>0.80483832097909525</v>
      </c>
      <c r="G70" s="241"/>
      <c r="H70" s="241"/>
      <c r="I70" s="241"/>
      <c r="J70" s="241"/>
      <c r="K70" s="241"/>
      <c r="L70" s="241"/>
      <c r="M70" s="241"/>
      <c r="N70" s="241"/>
      <c r="O70" s="241"/>
      <c r="P70" s="241"/>
      <c r="Q70" s="241"/>
      <c r="R70" s="241"/>
      <c r="S70" s="241"/>
      <c r="T70" s="241"/>
      <c r="U70" s="241"/>
      <c r="V70" s="241"/>
      <c r="W70" s="241"/>
      <c r="X70" s="241"/>
      <c r="Y70" s="241"/>
      <c r="Z70" s="241"/>
      <c r="AA70" s="241"/>
      <c r="AB70" s="241"/>
      <c r="AC70" s="241"/>
      <c r="AD70" s="241"/>
      <c r="AE70" s="241"/>
      <c r="AF70" s="241"/>
      <c r="AG70" s="241"/>
    </row>
    <row r="71" spans="1:33" ht="15">
      <c r="A71" s="1204"/>
      <c r="C71" s="307" t="s">
        <v>516</v>
      </c>
      <c r="D71" s="398">
        <f>(AF34/(F50-AF5))*AF45</f>
        <v>7496.5493022803503</v>
      </c>
      <c r="E71" s="356">
        <f>D71/D72</f>
        <v>0.19516167902090467</v>
      </c>
      <c r="G71" s="241"/>
      <c r="H71" s="241"/>
      <c r="I71" s="241"/>
      <c r="J71" s="241"/>
      <c r="K71" s="241"/>
      <c r="L71" s="241"/>
      <c r="M71" s="241"/>
      <c r="N71" s="241"/>
      <c r="O71" s="241"/>
      <c r="P71" s="241"/>
      <c r="Q71" s="241"/>
      <c r="R71" s="241"/>
      <c r="S71" s="241"/>
      <c r="T71" s="241"/>
      <c r="U71" s="241"/>
      <c r="V71" s="241"/>
      <c r="W71" s="241"/>
      <c r="X71" s="241"/>
      <c r="Y71" s="241"/>
      <c r="Z71" s="241"/>
      <c r="AA71" s="241"/>
      <c r="AB71" s="241"/>
      <c r="AC71" s="241"/>
      <c r="AD71" s="241"/>
      <c r="AE71" s="241"/>
      <c r="AF71" s="241"/>
      <c r="AG71" s="241"/>
    </row>
    <row r="72" spans="1:33" ht="15">
      <c r="A72" s="1204"/>
      <c r="C72" s="307" t="s">
        <v>517</v>
      </c>
      <c r="D72" s="398">
        <f>D70+D71</f>
        <v>38411.99430077336</v>
      </c>
      <c r="E72" s="2"/>
      <c r="G72" s="241"/>
      <c r="H72" s="241"/>
      <c r="I72" s="241"/>
      <c r="J72" s="241"/>
      <c r="K72" s="241"/>
      <c r="L72" s="241"/>
      <c r="M72" s="241"/>
      <c r="N72" s="241"/>
      <c r="O72" s="241"/>
      <c r="P72" s="241"/>
      <c r="Q72" s="241"/>
      <c r="R72" s="241"/>
      <c r="S72" s="241"/>
      <c r="T72" s="241"/>
      <c r="U72" s="241"/>
      <c r="V72" s="241"/>
      <c r="W72" s="241"/>
      <c r="X72" s="241"/>
      <c r="Y72" s="241"/>
      <c r="Z72" s="241"/>
      <c r="AA72" s="241"/>
      <c r="AB72" s="241"/>
      <c r="AC72" s="241"/>
      <c r="AD72" s="241"/>
      <c r="AE72" s="241"/>
      <c r="AF72" s="241"/>
      <c r="AG72" s="241"/>
    </row>
    <row r="73" spans="1:33" ht="15">
      <c r="A73" s="1204"/>
      <c r="C73" s="629" t="s">
        <v>518</v>
      </c>
      <c r="D73" s="630">
        <f>OP!C20</f>
        <v>185.72</v>
      </c>
      <c r="E73" s="308"/>
      <c r="G73" s="241"/>
      <c r="H73" s="241"/>
      <c r="I73" s="241"/>
      <c r="J73" s="241"/>
      <c r="K73" s="241"/>
      <c r="L73" s="241"/>
      <c r="M73" s="241"/>
      <c r="N73" s="241"/>
      <c r="O73" s="241"/>
      <c r="P73" s="241"/>
      <c r="Q73" s="241"/>
      <c r="R73" s="241"/>
      <c r="S73" s="241"/>
      <c r="T73" s="241"/>
      <c r="U73" s="241"/>
      <c r="V73" s="241"/>
      <c r="W73" s="241"/>
      <c r="X73" s="241"/>
      <c r="Y73" s="241"/>
      <c r="Z73" s="241"/>
      <c r="AA73" s="241"/>
      <c r="AB73" s="241"/>
      <c r="AC73" s="241"/>
      <c r="AD73" s="241"/>
      <c r="AE73" s="241"/>
      <c r="AF73" s="241"/>
      <c r="AG73" s="241"/>
    </row>
    <row r="74" spans="1:33" ht="15">
      <c r="A74" s="1204"/>
      <c r="C74" s="629" t="s">
        <v>519</v>
      </c>
      <c r="D74" s="399">
        <f ca="1">D75/D73-1</f>
        <v>-0.21758811730036864</v>
      </c>
      <c r="H74" s="241"/>
      <c r="I74" s="241"/>
      <c r="J74" s="241"/>
      <c r="K74" s="241"/>
      <c r="L74" s="241"/>
      <c r="M74" s="241"/>
      <c r="N74" s="241"/>
      <c r="O74" s="241"/>
      <c r="P74" s="241"/>
      <c r="Q74" s="241"/>
      <c r="R74" s="241"/>
      <c r="S74" s="241"/>
      <c r="T74" s="241"/>
      <c r="U74" s="241"/>
      <c r="V74" s="241"/>
      <c r="W74" s="241"/>
      <c r="X74" s="241"/>
      <c r="Y74" s="241"/>
      <c r="Z74" s="241"/>
      <c r="AA74" s="241"/>
      <c r="AB74" s="241"/>
      <c r="AC74" s="241"/>
      <c r="AD74" s="241"/>
      <c r="AE74" s="241"/>
      <c r="AF74" s="241"/>
      <c r="AG74" s="241"/>
    </row>
    <row r="75" spans="1:33" ht="15">
      <c r="A75" s="1205"/>
      <c r="C75" s="400" t="s">
        <v>520</v>
      </c>
      <c r="D75" s="401">
        <f ca="1">D72*1000000/OP!C21</f>
        <v>145.30953485497554</v>
      </c>
    </row>
    <row r="76" spans="1:33" ht="15">
      <c r="A76" s="383"/>
      <c r="C76" s="308"/>
      <c r="D76" s="631"/>
    </row>
    <row r="77" spans="1:33" ht="15">
      <c r="A77" s="1199" t="s">
        <v>521</v>
      </c>
      <c r="C77" s="422" t="s">
        <v>522</v>
      </c>
      <c r="D77" s="630">
        <f ca="1">(SUMPRODUCT(G35:AF35,G45:AF45)+((AF43-AF44)*AF45)+(AF34/(F50+0.001-AF5))*AF45)*1000000/OP!C21</f>
        <v>144.89024353147019</v>
      </c>
      <c r="E77" s="402">
        <f ca="1">D77/D75-1</f>
        <v>-2.8855045467168772E-3</v>
      </c>
    </row>
    <row r="78" spans="1:33" ht="15">
      <c r="A78" s="1200"/>
      <c r="C78" s="422" t="s">
        <v>523</v>
      </c>
      <c r="D78" s="630">
        <f ca="1">(SUMPRODUCT(G35:AF35,G45:AF45)+((AF43-AF44)*AF45)+(AF34/(F50+0.005-AF5))*AF45)*1000000/OP!C21</f>
        <v>143.33014116730615</v>
      </c>
      <c r="E78" s="402">
        <f ca="1">D78/D75-1</f>
        <v>-1.3621911938847653E-2</v>
      </c>
    </row>
    <row r="79" spans="1:33" ht="15">
      <c r="A79" s="420"/>
      <c r="C79" s="421"/>
      <c r="D79" s="631"/>
      <c r="E79" s="402"/>
    </row>
    <row r="80" spans="1:33" ht="15">
      <c r="A80" s="671" t="s">
        <v>524</v>
      </c>
      <c r="C80" s="637" t="s">
        <v>525</v>
      </c>
      <c r="D80" s="401">
        <f ca="1">D75/1.15</f>
        <v>126.35611726519613</v>
      </c>
      <c r="J80" s="5"/>
    </row>
    <row r="81" spans="7:12">
      <c r="G81" s="1"/>
      <c r="H81" s="1"/>
      <c r="I81" s="1"/>
      <c r="J81" s="4"/>
    </row>
    <row r="82" spans="7:12">
      <c r="G82" s="1"/>
      <c r="H82" s="1"/>
      <c r="I82" s="1"/>
      <c r="J82" s="4"/>
    </row>
    <row r="83" spans="7:12">
      <c r="G83" s="1"/>
      <c r="H83" s="1"/>
      <c r="I83" s="1"/>
      <c r="K83" s="4"/>
    </row>
    <row r="84" spans="7:12">
      <c r="L84" s="5"/>
    </row>
    <row r="85" spans="7:12">
      <c r="G85" s="1"/>
      <c r="H85" s="1"/>
      <c r="I85" s="1"/>
    </row>
    <row r="86" spans="7:12">
      <c r="G86" s="1"/>
      <c r="H86" s="1"/>
      <c r="I86" s="1"/>
    </row>
    <row r="87" spans="7:12">
      <c r="G87" s="1"/>
      <c r="H87" s="1"/>
      <c r="I87" s="1"/>
    </row>
  </sheetData>
  <mergeCells count="15">
    <mergeCell ref="A33:AF33"/>
    <mergeCell ref="A77:A78"/>
    <mergeCell ref="A1:AF2"/>
    <mergeCell ref="A69:A75"/>
    <mergeCell ref="A5:A17"/>
    <mergeCell ref="A19:A32"/>
    <mergeCell ref="A43:A47"/>
    <mergeCell ref="G3:J3"/>
    <mergeCell ref="K3:AF3"/>
    <mergeCell ref="A42:AF42"/>
    <mergeCell ref="A48:AF48"/>
    <mergeCell ref="A34:A36"/>
    <mergeCell ref="A38:A41"/>
    <mergeCell ref="A49:A50"/>
    <mergeCell ref="A52:A67"/>
  </mergeCells>
  <phoneticPr fontId="0" type="noConversion"/>
  <conditionalFormatting sqref="D74">
    <cfRule type="cellIs" dxfId="27" priority="1" operator="lessThan">
      <formula>0</formula>
    </cfRule>
    <cfRule type="cellIs" dxfId="26" priority="2" operator="greaterThan">
      <formula>0%</formula>
    </cfRule>
  </conditionalFormatting>
  <pageMargins left="0.75" right="0.75" top="1" bottom="1" header="0" footer="0"/>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465F-F60F-4DA4-8EB4-9D275D264FB2}">
  <dimension ref="A1:AI180"/>
  <sheetViews>
    <sheetView showGridLines="0" topLeftCell="A28" zoomScale="85" zoomScaleNormal="85" workbookViewId="0">
      <selection activeCell="R47" sqref="R47"/>
    </sheetView>
  </sheetViews>
  <sheetFormatPr defaultColWidth="9.140625" defaultRowHeight="12.75" customHeight="1"/>
  <cols>
    <col min="1" max="1" width="4.7109375" style="749" customWidth="1"/>
    <col min="2" max="2" width="28.85546875" style="596" bestFit="1" customWidth="1"/>
    <col min="3" max="4" width="12.7109375" style="596" customWidth="1"/>
    <col min="5" max="5" width="13.42578125" style="596" customWidth="1"/>
    <col min="6" max="6" width="12.85546875" style="596" customWidth="1"/>
    <col min="7" max="13" width="14.140625" style="596" customWidth="1"/>
    <col min="14" max="16" width="11.28515625" style="596" bestFit="1" customWidth="1"/>
    <col min="17" max="17" width="11.7109375" style="596" bestFit="1" customWidth="1"/>
    <col min="18" max="18" width="11.28515625" style="596" bestFit="1" customWidth="1"/>
    <col min="19" max="19" width="18.42578125" style="596" bestFit="1" customWidth="1"/>
    <col min="20" max="20" width="18.140625" style="596" bestFit="1" customWidth="1"/>
    <col min="21" max="34" width="12.28515625" style="596" bestFit="1" customWidth="1"/>
    <col min="35" max="16384" width="9.140625" style="596"/>
  </cols>
  <sheetData>
    <row r="1" spans="1:34" ht="12.75" customHeight="1">
      <c r="A1" s="596"/>
    </row>
    <row r="2" spans="1:34" s="595" customFormat="1" ht="15" customHeight="1">
      <c r="A2" s="592" t="s">
        <v>526</v>
      </c>
      <c r="B2" s="593" t="s">
        <v>527</v>
      </c>
      <c r="C2" s="594"/>
      <c r="D2" s="592"/>
      <c r="E2" s="592"/>
      <c r="F2" s="592"/>
      <c r="G2" s="592"/>
      <c r="H2" s="592"/>
      <c r="I2" s="592"/>
      <c r="J2" s="592"/>
      <c r="K2" s="592"/>
      <c r="L2" s="592"/>
      <c r="M2" s="592"/>
      <c r="N2" s="592"/>
      <c r="O2" s="592"/>
      <c r="P2" s="592"/>
      <c r="Q2" s="592"/>
      <c r="R2" s="592"/>
      <c r="S2" s="592"/>
      <c r="T2" s="592"/>
      <c r="U2" s="592"/>
      <c r="V2" s="592"/>
      <c r="W2" s="592"/>
      <c r="X2" s="592"/>
      <c r="Y2" s="592"/>
      <c r="Z2" s="592"/>
      <c r="AA2" s="592"/>
      <c r="AB2" s="592"/>
      <c r="AC2" s="592"/>
      <c r="AD2" s="592"/>
      <c r="AE2" s="592"/>
      <c r="AF2" s="592"/>
      <c r="AG2" s="592"/>
      <c r="AH2" s="592"/>
    </row>
    <row r="3" spans="1:34" ht="12.6" customHeight="1">
      <c r="A3" s="596"/>
      <c r="C3" s="597"/>
    </row>
    <row r="4" spans="1:34">
      <c r="A4" s="596"/>
      <c r="B4" s="596" t="s">
        <v>528</v>
      </c>
      <c r="F4" s="598"/>
      <c r="G4" s="599"/>
      <c r="H4" s="599"/>
      <c r="I4" s="599"/>
      <c r="J4" s="599"/>
      <c r="K4" s="599"/>
      <c r="L4" s="599"/>
      <c r="M4" s="599"/>
    </row>
    <row r="5" spans="1:34">
      <c r="A5" s="596"/>
      <c r="B5" s="600"/>
      <c r="G5" s="601"/>
      <c r="H5" s="601"/>
      <c r="I5" s="601"/>
      <c r="J5" s="601"/>
      <c r="K5" s="601"/>
      <c r="L5" s="601"/>
      <c r="M5" s="601"/>
    </row>
    <row r="6" spans="1:34">
      <c r="A6" s="596"/>
      <c r="B6" s="596" t="s">
        <v>529</v>
      </c>
    </row>
    <row r="7" spans="1:34" ht="12.75" customHeight="1">
      <c r="A7" s="596"/>
    </row>
    <row r="8" spans="1:34">
      <c r="A8" s="596"/>
      <c r="B8" s="599"/>
      <c r="C8" s="620">
        <v>2023</v>
      </c>
      <c r="D8" s="620">
        <f>C8-1</f>
        <v>2022</v>
      </c>
      <c r="E8" s="620">
        <f t="shared" ref="E8:G8" si="0">D8-1</f>
        <v>2021</v>
      </c>
      <c r="F8" s="620">
        <f t="shared" si="0"/>
        <v>2020</v>
      </c>
      <c r="G8" s="620">
        <f t="shared" si="0"/>
        <v>2019</v>
      </c>
      <c r="H8" s="620">
        <f t="shared" ref="H8" si="1">G8-1</f>
        <v>2018</v>
      </c>
      <c r="I8" s="620">
        <f t="shared" ref="I8" si="2">H8-1</f>
        <v>2017</v>
      </c>
      <c r="J8" s="620">
        <f t="shared" ref="J8" si="3">I8-1</f>
        <v>2016</v>
      </c>
      <c r="K8" s="620">
        <f t="shared" ref="K8:M8" si="4">J8-1</f>
        <v>2015</v>
      </c>
      <c r="L8" s="620">
        <f t="shared" si="4"/>
        <v>2014</v>
      </c>
      <c r="M8" s="620">
        <f t="shared" si="4"/>
        <v>2013</v>
      </c>
      <c r="O8" s="620" t="s">
        <v>530</v>
      </c>
      <c r="P8" s="620" t="s">
        <v>531</v>
      </c>
      <c r="Q8" s="620" t="s">
        <v>532</v>
      </c>
      <c r="S8" s="615" t="s">
        <v>533</v>
      </c>
      <c r="T8" s="615" t="s">
        <v>534</v>
      </c>
    </row>
    <row r="9" spans="1:34">
      <c r="A9" s="596"/>
      <c r="B9" s="619" t="s">
        <v>535</v>
      </c>
      <c r="C9" s="294">
        <f>(Inputs!B6-Inputs!C6)/Inputs!C6</f>
        <v>1.670148890692616E-2</v>
      </c>
      <c r="D9" s="294">
        <f>(Inputs!C6-Inputs!D6)/Inputs!D6</f>
        <v>0.24106785986460502</v>
      </c>
      <c r="E9" s="294">
        <f>(Inputs!D6-Inputs!E6)/Inputs!E6</f>
        <v>0.20639761661256611</v>
      </c>
      <c r="F9" s="294">
        <f>(Inputs!E6-Inputs!F6)/Inputs!F6</f>
        <v>1.0287511230907457E-2</v>
      </c>
      <c r="G9" s="294">
        <f>(Inputs!F6-Inputs!G6)/Inputs!G6</f>
        <v>8.2053276297880617E-2</v>
      </c>
      <c r="H9" s="294">
        <f>(Inputs!G6-Inputs!H6)/Inputs!H6</f>
        <v>0.62675944962834096</v>
      </c>
      <c r="I9" s="294">
        <f>(Inputs!H6-Inputs!I6)/Inputs!I6</f>
        <v>0.15488584474885844</v>
      </c>
      <c r="J9" s="294">
        <f>(Inputs!I6-Inputs!J6)/Inputs!J6</f>
        <v>0.15579480683977201</v>
      </c>
      <c r="K9" s="294">
        <f>(Inputs!J6-Inputs!K6)/Inputs!K6</f>
        <v>0.21776909432119074</v>
      </c>
      <c r="L9" s="294"/>
      <c r="M9" s="294"/>
      <c r="O9" s="601">
        <f>AVERAGE(C9:K9)</f>
        <v>0.19019077205011639</v>
      </c>
      <c r="P9" s="603">
        <f>AVERAGE(C9:G9)</f>
        <v>0.11130155058257707</v>
      </c>
      <c r="Q9" s="603">
        <f>AVERAGE(C9:E9)</f>
        <v>0.15472232179469911</v>
      </c>
      <c r="S9" s="616">
        <f>(Assumptions!I47/Assumptions!F47)^(1/4)-1</f>
        <v>4.4763116933605795E-2</v>
      </c>
      <c r="T9" s="616">
        <f>(AE61/J61)^(1/(AE37-J37))-1</f>
        <v>2.7816068554382456E-2</v>
      </c>
    </row>
    <row r="10" spans="1:34" ht="12.75" customHeight="1">
      <c r="A10" s="596"/>
      <c r="B10" s="619" t="s">
        <v>125</v>
      </c>
      <c r="C10" s="294">
        <f>Inputs!B7/Inputs!B6</f>
        <v>0.16473810959751956</v>
      </c>
      <c r="D10" s="294">
        <f>Inputs!C7/Inputs!C6</f>
        <v>0.20903709155145625</v>
      </c>
      <c r="E10" s="294">
        <f>Inputs!D7/Inputs!D6</f>
        <v>0.20077162839584239</v>
      </c>
      <c r="F10" s="294">
        <f>Inputs!E7/Inputs!E6</f>
        <v>0.15453821868469028</v>
      </c>
      <c r="G10" s="294">
        <f>Inputs!F7/Inputs!F6</f>
        <v>0.12869676549865228</v>
      </c>
      <c r="H10" s="294">
        <f>Inputs!G7/Inputs!G6</f>
        <v>0.11910363601011083</v>
      </c>
      <c r="I10" s="294">
        <f>Inputs!H7/Inputs!H6</f>
        <v>0.12319626759449628</v>
      </c>
      <c r="J10" s="294">
        <f>Inputs!I7/Inputs!I6</f>
        <v>0.13884292237442922</v>
      </c>
      <c r="K10" s="294">
        <f>Inputs!J7/Inputs!J6</f>
        <v>0.13981211737386531</v>
      </c>
      <c r="L10" s="294">
        <f>Inputs!K7/Inputs!K6</f>
        <v>0.14112830664027354</v>
      </c>
      <c r="M10" s="294"/>
      <c r="N10" s="603"/>
      <c r="O10" s="601">
        <f>AVERAGE(C10:L10)</f>
        <v>0.1519865063721336</v>
      </c>
      <c r="P10" s="603">
        <f>AVERAGE(C10:G10)</f>
        <v>0.17155636274563216</v>
      </c>
      <c r="Q10" s="603">
        <f>AVERAGE(C10:E10)</f>
        <v>0.19151560984827273</v>
      </c>
      <c r="S10" s="616">
        <f>(L73/F73)^(1/($AE$37-$J$37))-1</f>
        <v>1.3550376104522366E-2</v>
      </c>
      <c r="T10" s="616">
        <f>(AE73/J73)^(1/($AE$37-$J$37))-1</f>
        <v>2.2533399031340995E-2</v>
      </c>
    </row>
    <row r="11" spans="1:34" ht="12.75" customHeight="1">
      <c r="A11" s="596"/>
    </row>
    <row r="12" spans="1:34" ht="12.75" customHeight="1">
      <c r="A12" s="596"/>
    </row>
    <row r="13" spans="1:34" s="595" customFormat="1" ht="15">
      <c r="A13" s="592" t="s">
        <v>526</v>
      </c>
      <c r="B13" s="594" t="s">
        <v>536</v>
      </c>
      <c r="C13" s="594"/>
      <c r="D13" s="592"/>
      <c r="E13" s="592"/>
      <c r="F13" s="592"/>
      <c r="G13" s="592"/>
      <c r="H13" s="592"/>
      <c r="I13" s="592"/>
      <c r="J13" s="592"/>
      <c r="K13" s="592"/>
      <c r="L13" s="592"/>
      <c r="M13" s="592"/>
      <c r="N13" s="592"/>
      <c r="O13" s="592"/>
      <c r="P13" s="592"/>
      <c r="Q13" s="592"/>
      <c r="R13" s="592"/>
      <c r="S13" s="592"/>
      <c r="T13" s="592"/>
      <c r="U13" s="592"/>
      <c r="V13" s="592"/>
      <c r="W13" s="592"/>
      <c r="X13" s="592"/>
      <c r="Y13" s="592"/>
      <c r="Z13" s="592"/>
      <c r="AA13" s="592"/>
      <c r="AB13" s="592"/>
      <c r="AC13" s="592"/>
      <c r="AD13" s="592"/>
      <c r="AE13" s="592"/>
      <c r="AF13" s="592"/>
      <c r="AG13" s="592"/>
      <c r="AH13" s="592"/>
    </row>
    <row r="14" spans="1:34" ht="15">
      <c r="A14" s="617"/>
      <c r="B14" s="618"/>
      <c r="C14" s="618"/>
      <c r="D14" s="617"/>
      <c r="E14" s="617"/>
      <c r="F14" s="617"/>
      <c r="G14" s="617"/>
      <c r="H14" s="617"/>
      <c r="I14" s="617"/>
      <c r="J14" s="617"/>
      <c r="K14" s="617"/>
      <c r="L14" s="617"/>
      <c r="M14" s="617"/>
      <c r="N14" s="617"/>
      <c r="O14" s="617"/>
      <c r="P14" s="617"/>
      <c r="Q14" s="617"/>
      <c r="R14" s="617"/>
      <c r="S14" s="617"/>
      <c r="T14" s="617"/>
      <c r="U14" s="617"/>
      <c r="V14" s="617"/>
      <c r="W14" s="617"/>
      <c r="X14" s="617"/>
      <c r="Y14" s="617"/>
      <c r="Z14" s="617"/>
      <c r="AA14" s="617"/>
      <c r="AB14" s="617"/>
      <c r="AC14" s="617"/>
      <c r="AD14" s="617"/>
      <c r="AE14" s="617"/>
      <c r="AF14" s="617"/>
      <c r="AG14" s="617"/>
      <c r="AH14" s="617"/>
    </row>
    <row r="15" spans="1:34" ht="15">
      <c r="A15" s="596"/>
      <c r="C15" s="1228" t="s">
        <v>537</v>
      </c>
      <c r="D15" s="1228"/>
      <c r="E15" s="1228"/>
      <c r="F15" s="1228"/>
      <c r="G15" s="1228"/>
      <c r="H15" s="1228"/>
      <c r="I15" s="1228"/>
      <c r="J15" s="1228"/>
      <c r="K15" s="1228"/>
      <c r="L15" s="1228"/>
      <c r="M15" s="1228"/>
    </row>
    <row r="16" spans="1:34" ht="15">
      <c r="A16" s="596"/>
      <c r="B16"/>
      <c r="C16"/>
      <c r="D16"/>
      <c r="E16"/>
      <c r="F16"/>
      <c r="G16"/>
      <c r="H16"/>
      <c r="I16"/>
      <c r="J16"/>
      <c r="K16"/>
      <c r="L16"/>
      <c r="M16"/>
      <c r="N16" s="614"/>
      <c r="O16" s="614" t="str">
        <f t="shared" ref="O16:Q16" si="5">O8</f>
        <v xml:space="preserve">10Y Average </v>
      </c>
      <c r="P16" s="614" t="str">
        <f t="shared" si="5"/>
        <v xml:space="preserve">5Y Average </v>
      </c>
      <c r="Q16" s="614" t="str">
        <f t="shared" si="5"/>
        <v xml:space="preserve">3Y Average </v>
      </c>
      <c r="S16" s="615" t="s">
        <v>533</v>
      </c>
      <c r="T16" s="615" t="s">
        <v>534</v>
      </c>
      <c r="V16" s="634" t="s">
        <v>538</v>
      </c>
    </row>
    <row r="17" spans="2:35" s="596" customFormat="1" ht="15">
      <c r="B17" s="845" t="s">
        <v>500</v>
      </c>
      <c r="C17" s="756">
        <f>+Inputs!B60/Inputs!B32</f>
        <v>0.10243630277106192</v>
      </c>
      <c r="D17" s="756">
        <f>+Inputs!C60/Inputs!C32</f>
        <v>9.2934898612593381E-2</v>
      </c>
      <c r="E17" s="756">
        <f>+Inputs!D60/Inputs!D32</f>
        <v>9.7814953909184016E-2</v>
      </c>
      <c r="F17" s="756">
        <f>+Inputs!E60/Inputs!E32</f>
        <v>9.4493304017589444E-2</v>
      </c>
      <c r="G17" s="756">
        <f>+Inputs!F60/Inputs!F32</f>
        <v>8.8420891113796349E-2</v>
      </c>
      <c r="H17" s="756">
        <f>+Inputs!G60/Inputs!G32</f>
        <v>0.12379336093951532</v>
      </c>
      <c r="I17" s="756">
        <f>+Inputs!H60/Inputs!H32</f>
        <v>0.12561557693764677</v>
      </c>
      <c r="J17" s="756">
        <f>+Inputs!I60/Inputs!I32</f>
        <v>0.1254653109151323</v>
      </c>
      <c r="K17" s="756">
        <f>+Inputs!J60/Inputs!J32</f>
        <v>0.22520757052240731</v>
      </c>
      <c r="L17" s="756">
        <f>+Inputs!K60/Inputs!K32</f>
        <v>0.16676763305928169</v>
      </c>
      <c r="M17" s="757"/>
      <c r="O17" s="602">
        <f>AVERAGE(C17:L17)</f>
        <v>0.12429498027982085</v>
      </c>
      <c r="P17" s="603">
        <f t="shared" ref="P17:P31" si="6">AVERAGE(C17:G17)</f>
        <v>9.5220070084845024E-2</v>
      </c>
      <c r="Q17" s="603">
        <f t="shared" ref="Q17:Q31" si="7">AVERAGE(C17:E17)</f>
        <v>9.7728718430946437E-2</v>
      </c>
      <c r="S17" s="616">
        <f>+AVERAGE(F92:I92)</f>
        <v>9.8239007731220365E-2</v>
      </c>
      <c r="T17" s="616">
        <f>+AVERAGE(J92:AE92)</f>
        <v>9.8498870691736809E-2</v>
      </c>
      <c r="V17" s="633" t="s">
        <v>539</v>
      </c>
      <c r="AI17" s="604"/>
    </row>
    <row r="18" spans="2:35" s="596" customFormat="1" ht="15">
      <c r="B18" s="619" t="s">
        <v>501</v>
      </c>
      <c r="C18" s="797">
        <v>0</v>
      </c>
      <c r="D18" s="797">
        <v>0</v>
      </c>
      <c r="E18" s="797">
        <v>0</v>
      </c>
      <c r="F18" s="797">
        <v>0</v>
      </c>
      <c r="G18" s="797">
        <v>0</v>
      </c>
      <c r="H18" s="797">
        <v>0</v>
      </c>
      <c r="I18" s="797">
        <v>0</v>
      </c>
      <c r="J18" s="797">
        <v>0</v>
      </c>
      <c r="K18" s="797">
        <v>0</v>
      </c>
      <c r="L18" s="797">
        <v>0</v>
      </c>
      <c r="O18" s="602">
        <f>AVERAGE(C18:M18)</f>
        <v>0</v>
      </c>
      <c r="P18" s="603">
        <f t="shared" si="6"/>
        <v>0</v>
      </c>
      <c r="Q18" s="603">
        <f t="shared" si="7"/>
        <v>0</v>
      </c>
      <c r="S18" s="616">
        <f>+Q18</f>
        <v>0</v>
      </c>
      <c r="T18" s="616">
        <f>+Q18</f>
        <v>0</v>
      </c>
      <c r="V18" s="633" t="s">
        <v>540</v>
      </c>
    </row>
    <row r="19" spans="2:35" s="596" customFormat="1" ht="15">
      <c r="B19" s="786" t="s">
        <v>502</v>
      </c>
      <c r="C19" s="757">
        <f>Inputs!B91/Inputs!B6</f>
        <v>4.6942506325553844E-3</v>
      </c>
      <c r="D19" s="757">
        <f>Inputs!C91/Inputs!C6</f>
        <v>5.4676114556706191E-3</v>
      </c>
      <c r="E19" s="757">
        <f>Inputs!D91/Inputs!D6</f>
        <v>4.9611738387941385E-3</v>
      </c>
      <c r="F19" s="757">
        <f>Inputs!E91/Inputs!E6</f>
        <v>4.7623282493663563E-3</v>
      </c>
      <c r="G19" s="757">
        <f>Inputs!F91/Inputs!F6</f>
        <v>3.9038634321653192E-3</v>
      </c>
      <c r="H19" s="757">
        <f>Inputs!G91/Inputs!G6</f>
        <v>3.5339296130663038E-3</v>
      </c>
      <c r="I19" s="757">
        <f>Inputs!H91/Inputs!H6</f>
        <v>4.8552902103431916E-3</v>
      </c>
      <c r="J19" s="757">
        <f>Inputs!I91/Inputs!I6</f>
        <v>5.0684931506849318E-3</v>
      </c>
      <c r="K19" s="757">
        <f>Inputs!J91/Inputs!J6</f>
        <v>4.6337344310745194E-3</v>
      </c>
      <c r="L19" s="757">
        <f>Inputs!K91/Inputs!K6</f>
        <v>5.2314969536491939E-3</v>
      </c>
      <c r="O19" s="602">
        <f>AVERAGE(C19:M19)</f>
        <v>4.7112171967369958E-3</v>
      </c>
      <c r="P19" s="603">
        <f t="shared" si="6"/>
        <v>4.7578455217103634E-3</v>
      </c>
      <c r="Q19" s="603">
        <f t="shared" si="7"/>
        <v>5.0410119756733804E-3</v>
      </c>
      <c r="S19" s="616">
        <f>+Q19</f>
        <v>5.0410119756733804E-3</v>
      </c>
      <c r="T19" s="616">
        <f>+Q19</f>
        <v>5.0410119756733804E-3</v>
      </c>
      <c r="V19" s="633" t="s">
        <v>541</v>
      </c>
    </row>
    <row r="20" spans="2:35" s="596" customFormat="1" ht="12.6" customHeight="1">
      <c r="B20" s="786" t="s">
        <v>503</v>
      </c>
      <c r="C20" s="757">
        <f>-'Fin. Data'!B18/(-'Fin. Data'!B18+'Fin. Data'!B20)</f>
        <v>0.23855025661726542</v>
      </c>
      <c r="D20" s="757">
        <f>-'Fin. Data'!C18/(-'Fin. Data'!C18+'Fin. Data'!C20)</f>
        <v>0.22712679376913064</v>
      </c>
      <c r="E20" s="757">
        <f>-'Fin. Data'!D18/(-'Fin. Data'!D18+'Fin. Data'!D20)</f>
        <v>0.23414606482833997</v>
      </c>
      <c r="F20" s="757">
        <f>-'Fin. Data'!E18/(-'Fin. Data'!E18+'Fin. Data'!E20)</f>
        <v>0.21007814225668178</v>
      </c>
      <c r="G20" s="757">
        <f>-'Fin. Data'!F18/(-'Fin. Data'!F18+'Fin. Data'!F20)</f>
        <v>0.24326189566567663</v>
      </c>
      <c r="H20" s="757">
        <f>-'Fin. Data'!G18/(-'Fin. Data'!G18+'Fin. Data'!G20)</f>
        <v>0.21720721213447094</v>
      </c>
      <c r="I20" s="757">
        <f>-'Fin. Data'!H18/(-'Fin. Data'!H18+'Fin. Data'!H20)</f>
        <v>0.35125797530283032</v>
      </c>
      <c r="J20" s="757">
        <f>-'Fin. Data'!I18/(-'Fin. Data'!I18+'Fin. Data'!I20)</f>
        <v>0.31370868941050906</v>
      </c>
      <c r="K20" s="757">
        <f>-'Fin. Data'!J18/(-'Fin. Data'!J18+'Fin. Data'!J20)</f>
        <v>0.3227625204609712</v>
      </c>
      <c r="L20" s="757">
        <f>-'Fin. Data'!K18/(-'Fin. Data'!K18+'Fin. Data'!K20)</f>
        <v>0.35171894656520036</v>
      </c>
      <c r="M20" s="757"/>
      <c r="O20" s="602">
        <f>AVERAGE(C20:L20)</f>
        <v>0.27098184970110767</v>
      </c>
      <c r="P20" s="603">
        <f>AVERAGE(C20:G20)</f>
        <v>0.2306326306274189</v>
      </c>
      <c r="Q20" s="603">
        <f t="shared" si="7"/>
        <v>0.23327437173824536</v>
      </c>
      <c r="S20" s="753">
        <f>Q20</f>
        <v>0.23327437173824536</v>
      </c>
      <c r="T20" s="753">
        <v>0.25</v>
      </c>
      <c r="V20" s="633" t="s">
        <v>542</v>
      </c>
    </row>
    <row r="21" spans="2:35" s="596" customFormat="1" ht="15">
      <c r="B21" s="786" t="s">
        <v>504</v>
      </c>
      <c r="C21" s="758">
        <f>+Inputs!B9/Inputs!B47</f>
        <v>-8.2257309386004798E-2</v>
      </c>
      <c r="D21" s="758">
        <f>+Inputs!C9/Inputs!C47</f>
        <v>-7.4506888903183702E-2</v>
      </c>
      <c r="E21" s="758">
        <f>+Inputs!D9/Inputs!D47</f>
        <v>-6.0935271133530415E-2</v>
      </c>
      <c r="F21" s="758">
        <f>+Inputs!E9/Inputs!E47</f>
        <v>-5.2583049170281372E-2</v>
      </c>
      <c r="G21" s="758">
        <f>+Inputs!F9/Inputs!F47</f>
        <v>-4.4106201488929062E-2</v>
      </c>
      <c r="H21" s="758">
        <f>+Inputs!G9/Inputs!G47</f>
        <v>-2.1949409720833724E-3</v>
      </c>
      <c r="I21" s="758">
        <f>+Inputs!H9/Inputs!H47</f>
        <v>-4.2781926287762007E-2</v>
      </c>
      <c r="J21" s="758">
        <f>+Inputs!I9/Inputs!I47</f>
        <v>-4.2272058455705419E-2</v>
      </c>
      <c r="K21" s="758">
        <f>+Inputs!J9/Inputs!J47</f>
        <v>-3.5052997457204776E-2</v>
      </c>
      <c r="L21" s="758">
        <f>+Inputs!K9/Inputs!K47</f>
        <v>-3.368162754973264E-2</v>
      </c>
      <c r="M21" s="759"/>
      <c r="O21" s="602">
        <f>AVERAGE(C21:M21)</f>
        <v>-4.7037227080441765E-2</v>
      </c>
      <c r="P21" s="603">
        <f t="shared" si="6"/>
        <v>-6.2877744016385878E-2</v>
      </c>
      <c r="Q21" s="603">
        <f t="shared" si="7"/>
        <v>-7.2566489807572979E-2</v>
      </c>
      <c r="S21" s="616">
        <f>P21</f>
        <v>-6.2877744016385878E-2</v>
      </c>
      <c r="T21" s="616">
        <f>O21</f>
        <v>-4.7037227080441765E-2</v>
      </c>
      <c r="V21" s="633" t="s">
        <v>543</v>
      </c>
    </row>
    <row r="22" spans="2:35" s="596" customFormat="1" ht="15">
      <c r="B22" s="786" t="s">
        <v>505</v>
      </c>
      <c r="C22" s="797" t="s">
        <v>513</v>
      </c>
      <c r="D22" s="797" t="s">
        <v>513</v>
      </c>
      <c r="E22" s="797" t="s">
        <v>513</v>
      </c>
      <c r="F22" s="797" t="s">
        <v>513</v>
      </c>
      <c r="G22" s="797" t="s">
        <v>513</v>
      </c>
      <c r="H22" s="797" t="s">
        <v>513</v>
      </c>
      <c r="I22" s="797" t="s">
        <v>513</v>
      </c>
      <c r="J22" s="797" t="s">
        <v>513</v>
      </c>
      <c r="K22" s="797" t="s">
        <v>513</v>
      </c>
      <c r="L22" s="797" t="s">
        <v>513</v>
      </c>
      <c r="M22" s="759"/>
      <c r="O22" s="798" t="s">
        <v>513</v>
      </c>
      <c r="P22" s="799" t="s">
        <v>513</v>
      </c>
      <c r="Q22" s="799" t="s">
        <v>513</v>
      </c>
      <c r="S22" s="616">
        <f>C125</f>
        <v>2.9000000000000001E-2</v>
      </c>
      <c r="T22" s="616">
        <f>C126</f>
        <v>2.5000000000000001E-2</v>
      </c>
      <c r="V22" s="633" t="s">
        <v>544</v>
      </c>
    </row>
    <row r="23" spans="2:35" s="596" customFormat="1" ht="15">
      <c r="B23" s="786" t="s">
        <v>506</v>
      </c>
      <c r="C23" s="758">
        <f>Inputs!B32/Inputs!C32-1</f>
        <v>0.14770544290288168</v>
      </c>
      <c r="D23" s="758">
        <f>Inputs!C32/Inputs!D32-1</f>
        <v>6.6348014111755838E-2</v>
      </c>
      <c r="E23" s="758">
        <f>Inputs!D32/Inputs!E32-1</f>
        <v>-0.12182690385768535</v>
      </c>
      <c r="F23" s="758">
        <f>Inputs!E32/Inputs!F32-1</f>
        <v>-4.0412758693442297E-2</v>
      </c>
      <c r="G23" s="758">
        <f>Inputs!F32/Inputs!G32-1</f>
        <v>0.41570837010386263</v>
      </c>
      <c r="H23" s="758">
        <f>Inputs!G32/Inputs!H32-1</f>
        <v>0.39508674899613583</v>
      </c>
      <c r="I23" s="758">
        <f>Inputs!H32/Inputs!I32-1</f>
        <v>0.31900966847378043</v>
      </c>
      <c r="J23" s="758">
        <f>Inputs!I32/Inputs!J32-1</f>
        <v>1.064205043576917</v>
      </c>
      <c r="K23" s="758">
        <f>Inputs!J32/Inputs!K32-1</f>
        <v>-0.16092600605798357</v>
      </c>
      <c r="L23" s="758"/>
      <c r="M23" s="759"/>
      <c r="O23" s="602">
        <f>AVERAGE(C23:K23)</f>
        <v>0.23165529106180247</v>
      </c>
      <c r="P23" s="603">
        <f t="shared" si="6"/>
        <v>9.3504432913474503E-2</v>
      </c>
      <c r="Q23" s="603">
        <f t="shared" si="7"/>
        <v>3.0742184385650722E-2</v>
      </c>
      <c r="S23" s="616" t="s">
        <v>545</v>
      </c>
      <c r="T23" s="616" t="s">
        <v>545</v>
      </c>
      <c r="V23" s="633" t="s">
        <v>546</v>
      </c>
    </row>
    <row r="24" spans="2:35" s="596" customFormat="1" ht="15">
      <c r="B24" s="619" t="s">
        <v>507</v>
      </c>
      <c r="C24" s="760">
        <f>Inputs!B61/(Inputs!B6-Inputs!C6)</f>
        <v>1.0163312919218435</v>
      </c>
      <c r="D24" s="760">
        <f>Inputs!C61/(Inputs!C6-Inputs!D6)</f>
        <v>-0.35492988584375035</v>
      </c>
      <c r="E24" s="760">
        <f>Inputs!D61/(Inputs!D6-Inputs!E6)</f>
        <v>-0.35566894371774338</v>
      </c>
      <c r="F24" s="760">
        <f>Inputs!E61/(Inputs!E6-Inputs!F6)</f>
        <v>5.7602620087336245</v>
      </c>
      <c r="G24" s="760">
        <f>Inputs!F61/(Inputs!F6-Inputs!G6)</f>
        <v>-0.48997037914691949</v>
      </c>
      <c r="H24" s="760">
        <f>Inputs!G61/(Inputs!G6-Inputs!H6)</f>
        <v>-2.1873580620741864E-2</v>
      </c>
      <c r="I24" s="760">
        <f>Inputs!H61/(Inputs!H6-Inputs!I6)</f>
        <v>-0.11047169811320756</v>
      </c>
      <c r="J24" s="760">
        <f>Inputs!I61/(Inputs!I6-Inputs!J6)</f>
        <v>-0.46413279132791324</v>
      </c>
      <c r="K24" s="760">
        <f>Inputs!J61/(Inputs!J6-Inputs!K6)</f>
        <v>-0.77533349073308944</v>
      </c>
      <c r="L24" s="760">
        <f>Inputs!K61/(Inputs!K6-Inputs!L6)</f>
        <v>-0.85787619254119674</v>
      </c>
      <c r="M24" s="761"/>
      <c r="O24" s="602">
        <f t="shared" ref="O24:O30" si="8">AVERAGE(C24:M24)</f>
        <v>0.33463363386109052</v>
      </c>
      <c r="P24" s="603">
        <f t="shared" si="6"/>
        <v>1.115204818389411</v>
      </c>
      <c r="Q24" s="603">
        <f t="shared" si="7"/>
        <v>0.10191082078678322</v>
      </c>
      <c r="S24" s="753">
        <f>O24</f>
        <v>0.33463363386109052</v>
      </c>
      <c r="T24" s="753">
        <f>C136</f>
        <v>0.15271515096659552</v>
      </c>
      <c r="V24" s="633" t="s">
        <v>547</v>
      </c>
    </row>
    <row r="25" spans="2:35" s="596" customFormat="1" ht="15">
      <c r="B25" s="619" t="s">
        <v>508</v>
      </c>
      <c r="C25" s="843">
        <v>3442.4</v>
      </c>
      <c r="D25" s="843">
        <v>3442.4</v>
      </c>
      <c r="E25" s="843">
        <v>3442.4</v>
      </c>
      <c r="F25" s="843">
        <v>3442.4</v>
      </c>
      <c r="G25" s="843">
        <v>3442.4</v>
      </c>
      <c r="H25" s="843">
        <v>3442.4</v>
      </c>
      <c r="I25" s="843">
        <v>136.6</v>
      </c>
      <c r="J25" s="797" t="s">
        <v>513</v>
      </c>
      <c r="K25" s="797" t="s">
        <v>513</v>
      </c>
      <c r="L25" s="797" t="s">
        <v>513</v>
      </c>
      <c r="M25" s="757"/>
      <c r="O25" s="798" t="s">
        <v>513</v>
      </c>
      <c r="P25" s="798" t="s">
        <v>513</v>
      </c>
      <c r="Q25" s="798" t="s">
        <v>513</v>
      </c>
      <c r="S25" s="616" t="s">
        <v>545</v>
      </c>
      <c r="T25" s="616" t="s">
        <v>545</v>
      </c>
      <c r="V25" s="633" t="s">
        <v>548</v>
      </c>
    </row>
    <row r="26" spans="2:35" s="596" customFormat="1" ht="12.6" customHeight="1">
      <c r="B26" s="619" t="s">
        <v>549</v>
      </c>
      <c r="C26" s="757">
        <f>Inputs!B64/Inputs!B6</f>
        <v>-2.9152844625328399E-3</v>
      </c>
      <c r="D26" s="757">
        <f>Inputs!C64/Inputs!C6</f>
        <v>-1.6990877315530481E-3</v>
      </c>
      <c r="E26" s="757">
        <f>Inputs!D64/Inputs!D6</f>
        <v>-2.4020780020372512E-3</v>
      </c>
      <c r="F26" s="757">
        <f>Inputs!E64/Inputs!E6</f>
        <v>-3.2460313931255281E-3</v>
      </c>
      <c r="G26" s="757">
        <f>Inputs!F64/Inputs!F6</f>
        <v>-3.998203054806828E-3</v>
      </c>
      <c r="H26" s="757">
        <f>Inputs!G64/Inputs!G6</f>
        <v>-6.3192689091969671E-3</v>
      </c>
      <c r="I26" s="757">
        <f>Inputs!H64/Inputs!H6</f>
        <v>-8.8565554325478416E-3</v>
      </c>
      <c r="J26" s="757">
        <f>Inputs!I64/Inputs!I6</f>
        <v>-6.9406392694063923E-3</v>
      </c>
      <c r="K26" s="757">
        <f>Inputs!J64/Inputs!J6</f>
        <v>-9.6052353810428537E-3</v>
      </c>
      <c r="L26" s="757">
        <f>Inputs!K64/Inputs!K6</f>
        <v>-2.9563741998508957E-3</v>
      </c>
      <c r="M26" s="757"/>
      <c r="O26" s="602">
        <f t="shared" si="8"/>
        <v>-4.8938757836100447E-3</v>
      </c>
      <c r="P26" s="603">
        <f t="shared" si="6"/>
        <v>-2.8521369288110991E-3</v>
      </c>
      <c r="Q26" s="603">
        <f t="shared" si="7"/>
        <v>-2.3388167320410463E-3</v>
      </c>
      <c r="S26" s="616">
        <v>-4.8999999999999998E-3</v>
      </c>
      <c r="T26" s="616">
        <v>-2.8999999999999998E-3</v>
      </c>
      <c r="V26" s="633" t="s">
        <v>541</v>
      </c>
    </row>
    <row r="27" spans="2:35" s="596" customFormat="1" ht="15">
      <c r="B27" s="786" t="s">
        <v>510</v>
      </c>
      <c r="C27" s="757">
        <f>Inputs!B65/Inputs!B6</f>
        <v>-5.9699066694171993E-3</v>
      </c>
      <c r="D27" s="757">
        <f>Inputs!C65/Inputs!C6</f>
        <v>-1.5297729411740247E-2</v>
      </c>
      <c r="E27" s="757">
        <f>Inputs!D65/Inputs!D6</f>
        <v>-1.7435982796742699E-2</v>
      </c>
      <c r="F27" s="757">
        <f>Inputs!E65/Inputs!E6</f>
        <v>-2.0482013428787409E-2</v>
      </c>
      <c r="G27" s="757">
        <f>Inputs!F65/Inputs!F6</f>
        <v>-1.657142857142857E-2</v>
      </c>
      <c r="H27" s="757">
        <f>Inputs!G65/Inputs!G6</f>
        <v>-4.2750826365934282E-2</v>
      </c>
      <c r="I27" s="757">
        <f>Inputs!H65/Inputs!H6</f>
        <v>-9.2424482049659973E-2</v>
      </c>
      <c r="J27" s="757">
        <f>Inputs!I65/Inputs!I6</f>
        <v>-4.0306849315068498E-2</v>
      </c>
      <c r="K27" s="757">
        <f>Inputs!J65/Inputs!J6</f>
        <v>-3.3427274646400676E-2</v>
      </c>
      <c r="L27" s="757">
        <f>Inputs!K65/Inputs!K6</f>
        <v>4.3346872670248594E-2</v>
      </c>
      <c r="M27" s="757"/>
      <c r="O27" s="602">
        <f t="shared" si="8"/>
        <v>-2.4131962058493092E-2</v>
      </c>
      <c r="P27" s="603">
        <f t="shared" si="6"/>
        <v>-1.5151412175623224E-2</v>
      </c>
      <c r="Q27" s="603">
        <f t="shared" si="7"/>
        <v>-1.2901206292633383E-2</v>
      </c>
      <c r="S27" s="616">
        <f>+O27</f>
        <v>-2.4131962058493092E-2</v>
      </c>
      <c r="T27" s="616">
        <v>-0.04</v>
      </c>
      <c r="V27" s="633" t="s">
        <v>541</v>
      </c>
    </row>
    <row r="28" spans="2:35" s="596" customFormat="1" ht="15">
      <c r="B28" s="786" t="s">
        <v>135</v>
      </c>
      <c r="C28" s="757">
        <f>Inputs!B72/Inputs!B11</f>
        <v>-0.10869186552865355</v>
      </c>
      <c r="D28" s="757">
        <f>Inputs!C72/Inputs!C11</f>
        <v>-9.4232548133806604E-2</v>
      </c>
      <c r="E28" s="757">
        <f>Inputs!D72/Inputs!D11</f>
        <v>-6.9511168953562727E-2</v>
      </c>
      <c r="F28" s="757">
        <f>Inputs!E72/Inputs!E11</f>
        <v>-7.9041964701829739E-2</v>
      </c>
      <c r="G28" s="757">
        <f>Inputs!F72/Inputs!F11</f>
        <v>-2.7929776561787509E-2</v>
      </c>
      <c r="H28" s="757">
        <f>Inputs!G72/Inputs!G11</f>
        <v>-2.8622831890352893E-2</v>
      </c>
      <c r="I28" s="757">
        <f>Inputs!H72/Inputs!H11</f>
        <v>-4.8733398121153224E-2</v>
      </c>
      <c r="J28" s="757">
        <f>Inputs!I72/Inputs!I11</f>
        <v>-3.8681838592033641E-2</v>
      </c>
      <c r="K28" s="757">
        <f>Inputs!J72/Inputs!J11</f>
        <v>-4.0515136718749997E-2</v>
      </c>
      <c r="L28" s="757">
        <f>Inputs!K72/Inputs!K11</f>
        <v>-5.2140164468975167E-2</v>
      </c>
      <c r="M28" s="757"/>
      <c r="O28" s="602">
        <f t="shared" si="8"/>
        <v>-5.881006936709051E-2</v>
      </c>
      <c r="P28" s="603">
        <f t="shared" si="6"/>
        <v>-7.5881464775928026E-2</v>
      </c>
      <c r="Q28" s="603">
        <f t="shared" si="7"/>
        <v>-9.0811860872007641E-2</v>
      </c>
      <c r="S28" s="616">
        <v>0.13500000000000001</v>
      </c>
      <c r="T28" s="616">
        <v>0.35</v>
      </c>
      <c r="V28" s="633" t="s">
        <v>550</v>
      </c>
    </row>
    <row r="29" spans="2:35" s="596" customFormat="1" ht="15">
      <c r="B29" s="619" t="s">
        <v>511</v>
      </c>
      <c r="C29" s="757">
        <f>Inputs!B73/Inputs!B11</f>
        <v>-0.29856713343380564</v>
      </c>
      <c r="D29" s="757">
        <f>Inputs!C73/Inputs!C11</f>
        <v>-0.22357943422609444</v>
      </c>
      <c r="E29" s="757">
        <f>Inputs!D73/Inputs!D11</f>
        <v>-0.32092358438702584</v>
      </c>
      <c r="F29" s="757">
        <f>Inputs!E73/Inputs!E11</f>
        <v>-0.13030090575672224</v>
      </c>
      <c r="G29" s="757">
        <f>Inputs!F73/Inputs!F11</f>
        <v>-0.28395218552537294</v>
      </c>
      <c r="H29" s="757">
        <f>Inputs!G73/Inputs!G11</f>
        <v>-0.17457423828682223</v>
      </c>
      <c r="I29" s="757">
        <f>Inputs!H73/Inputs!H11</f>
        <v>-3.6351149983803045E-2</v>
      </c>
      <c r="J29" s="757">
        <f>Inputs!I73/Inputs!I11</f>
        <v>-2.1796317997130624E-2</v>
      </c>
      <c r="K29" s="757">
        <f>Inputs!J73/Inputs!J11</f>
        <v>-2.8305664062499996E-2</v>
      </c>
      <c r="L29" s="757">
        <f>Inputs!K73/Inputs!K11</f>
        <v>-3.2486599118802584E-2</v>
      </c>
      <c r="M29" s="757"/>
      <c r="O29" s="602">
        <f t="shared" si="8"/>
        <v>-0.15508372127780795</v>
      </c>
      <c r="P29" s="603">
        <f t="shared" si="6"/>
        <v>-0.2514646486658042</v>
      </c>
      <c r="Q29" s="603">
        <f t="shared" si="7"/>
        <v>-0.28102338401564197</v>
      </c>
      <c r="S29" s="616">
        <f>-Q29</f>
        <v>0.28102338401564197</v>
      </c>
      <c r="T29" s="616">
        <f>-P29</f>
        <v>0.2514646486658042</v>
      </c>
      <c r="V29" s="633" t="s">
        <v>550</v>
      </c>
    </row>
    <row r="30" spans="2:35" s="596" customFormat="1" ht="15">
      <c r="B30" s="786" t="s">
        <v>512</v>
      </c>
      <c r="C30" s="757">
        <f>C159</f>
        <v>1.9829558600478161E-2</v>
      </c>
      <c r="D30" s="757">
        <f t="shared" ref="D30:L30" si="9">D159</f>
        <v>1.6764830061220183E-2</v>
      </c>
      <c r="E30" s="757">
        <f t="shared" si="9"/>
        <v>1.49324200913242E-2</v>
      </c>
      <c r="F30" s="757">
        <f t="shared" si="9"/>
        <v>9.7137434761980068E-3</v>
      </c>
      <c r="G30" s="757" t="str">
        <f t="shared" si="9"/>
        <v>--</v>
      </c>
      <c r="H30" s="757" t="str">
        <f t="shared" si="9"/>
        <v>--</v>
      </c>
      <c r="I30" s="757" t="str">
        <f t="shared" si="9"/>
        <v>--</v>
      </c>
      <c r="J30" s="757" t="str">
        <f t="shared" si="9"/>
        <v>--</v>
      </c>
      <c r="K30" s="757" t="str">
        <f t="shared" si="9"/>
        <v>--</v>
      </c>
      <c r="L30" s="757" t="str">
        <f t="shared" si="9"/>
        <v>--</v>
      </c>
      <c r="M30" s="757"/>
      <c r="O30" s="602">
        <f t="shared" si="8"/>
        <v>1.5310138057305137E-2</v>
      </c>
      <c r="P30" s="603">
        <f t="shared" si="6"/>
        <v>1.5310138057305137E-2</v>
      </c>
      <c r="Q30" s="603">
        <f t="shared" si="7"/>
        <v>1.7175602917674181E-2</v>
      </c>
      <c r="S30" s="616">
        <v>1E-3</v>
      </c>
      <c r="T30" s="616">
        <v>5.0000000000000001E-4</v>
      </c>
      <c r="V30" s="633" t="s">
        <v>541</v>
      </c>
    </row>
    <row r="31" spans="2:35" s="596" customFormat="1" ht="15">
      <c r="B31" s="786" t="s">
        <v>311</v>
      </c>
      <c r="C31" s="762">
        <f>'Fin. Data'!B55/'Fin. Data'!B16</f>
        <v>0.86438319984792589</v>
      </c>
      <c r="D31" s="762">
        <f>'Fin. Data'!C55/'Fin. Data'!C16</f>
        <v>0.8113008437160254</v>
      </c>
      <c r="E31" s="762">
        <f>'Fin. Data'!D55/'Fin. Data'!D16</f>
        <v>1.3608001880446068</v>
      </c>
      <c r="F31" s="762">
        <f>'Fin. Data'!E55/'Fin. Data'!E16</f>
        <v>2.1267012076178018</v>
      </c>
      <c r="G31" s="762">
        <f>'Fin. Data'!F55/'Fin. Data'!F16</f>
        <v>3.199231411862991</v>
      </c>
      <c r="H31" s="762">
        <f>'Fin. Data'!G55/'Fin. Data'!G16</f>
        <v>3.6421911337994204</v>
      </c>
      <c r="I31" s="762">
        <f>'Fin. Data'!H55/'Fin. Data'!H16</f>
        <v>4.6492961196188434</v>
      </c>
      <c r="J31" s="762">
        <f>'Fin. Data'!I55/'Fin. Data'!I16</f>
        <v>4.1413412171525863</v>
      </c>
      <c r="K31" s="762">
        <f>'Fin. Data'!J55/'Fin. Data'!J16</f>
        <v>5.2690349703500203</v>
      </c>
      <c r="L31" s="762">
        <f>'Fin. Data'!K55/'Fin. Data'!K16</f>
        <v>5.6273480636998983</v>
      </c>
      <c r="M31" s="762"/>
      <c r="O31" s="716">
        <f>AVERAGE(C31:L31)</f>
        <v>3.169162835571012</v>
      </c>
      <c r="P31" s="717">
        <f t="shared" si="6"/>
        <v>1.6724833702178699</v>
      </c>
      <c r="Q31" s="717">
        <f t="shared" si="7"/>
        <v>1.012161410536186</v>
      </c>
      <c r="S31" s="625">
        <v>0.77</v>
      </c>
      <c r="T31" s="625">
        <v>0.6</v>
      </c>
      <c r="V31" s="633" t="s">
        <v>551</v>
      </c>
    </row>
    <row r="32" spans="2:35" s="596" customFormat="1" ht="12.75" customHeight="1"/>
    <row r="33" spans="1:31" ht="12.75" customHeight="1">
      <c r="A33" s="596"/>
    </row>
    <row r="34" spans="1:31" ht="15">
      <c r="A34" s="595"/>
      <c r="B34" s="605" t="s">
        <v>552</v>
      </c>
      <c r="C34" s="595"/>
      <c r="D34" s="595"/>
      <c r="E34" s="595"/>
      <c r="F34" s="595"/>
      <c r="G34" s="595"/>
      <c r="H34" s="595"/>
      <c r="I34" s="595"/>
      <c r="J34" s="595"/>
      <c r="K34" s="595"/>
      <c r="L34" s="595"/>
      <c r="M34" s="595"/>
      <c r="N34" s="595"/>
      <c r="O34" s="595"/>
      <c r="P34" s="595"/>
      <c r="Q34" s="595"/>
      <c r="R34" s="595"/>
      <c r="S34" s="595"/>
      <c r="T34" s="595"/>
      <c r="U34" s="595"/>
      <c r="V34" s="595"/>
      <c r="W34" s="595"/>
      <c r="X34" s="595"/>
      <c r="Y34" s="595"/>
      <c r="Z34" s="595"/>
      <c r="AA34" s="595"/>
      <c r="AB34" s="595"/>
      <c r="AC34" s="595"/>
      <c r="AD34" s="595"/>
      <c r="AE34" s="595"/>
    </row>
    <row r="35" spans="1:31" ht="12.75" customHeight="1">
      <c r="A35" s="596"/>
    </row>
    <row r="36" spans="1:31" s="736" customFormat="1" ht="20.100000000000001" customHeight="1">
      <c r="A36" s="721" t="s">
        <v>526</v>
      </c>
      <c r="B36" s="725" t="s">
        <v>553</v>
      </c>
      <c r="C36" s="721"/>
      <c r="D36" s="721"/>
      <c r="E36" s="829"/>
      <c r="F36" s="721"/>
      <c r="G36" s="721"/>
      <c r="H36" s="721"/>
      <c r="I36" s="721"/>
      <c r="J36" s="721"/>
      <c r="K36" s="721"/>
      <c r="L36" s="721"/>
      <c r="M36" s="721"/>
      <c r="N36" s="721"/>
      <c r="O36" s="721"/>
      <c r="P36" s="721"/>
      <c r="Q36" s="721"/>
      <c r="R36" s="721"/>
      <c r="S36" s="721"/>
      <c r="T36" s="721"/>
      <c r="U36" s="721"/>
      <c r="V36" s="721"/>
      <c r="W36" s="721"/>
      <c r="X36" s="721"/>
      <c r="Y36" s="721"/>
      <c r="Z36" s="721"/>
      <c r="AA36" s="721"/>
      <c r="AB36" s="721"/>
      <c r="AC36" s="721"/>
      <c r="AD36" s="721"/>
      <c r="AE36" s="721"/>
    </row>
    <row r="37" spans="1:31" s="736" customFormat="1" ht="12.75" customHeight="1">
      <c r="A37" s="721"/>
      <c r="B37" s="724" t="s">
        <v>554</v>
      </c>
      <c r="C37" s="722">
        <v>2021</v>
      </c>
      <c r="D37" s="722">
        <f>+C37+1</f>
        <v>2022</v>
      </c>
      <c r="E37" s="830">
        <v>2023</v>
      </c>
      <c r="F37" s="723">
        <f>+E37+1</f>
        <v>2024</v>
      </c>
      <c r="G37" s="723">
        <f t="shared" ref="G37:AE37" si="10">+F37+1</f>
        <v>2025</v>
      </c>
      <c r="H37" s="723">
        <f t="shared" si="10"/>
        <v>2026</v>
      </c>
      <c r="I37" s="723">
        <f t="shared" si="10"/>
        <v>2027</v>
      </c>
      <c r="J37" s="723">
        <f t="shared" si="10"/>
        <v>2028</v>
      </c>
      <c r="K37" s="723">
        <f t="shared" si="10"/>
        <v>2029</v>
      </c>
      <c r="L37" s="723">
        <f t="shared" si="10"/>
        <v>2030</v>
      </c>
      <c r="M37" s="723">
        <f t="shared" si="10"/>
        <v>2031</v>
      </c>
      <c r="N37" s="723">
        <f t="shared" si="10"/>
        <v>2032</v>
      </c>
      <c r="O37" s="723">
        <f t="shared" si="10"/>
        <v>2033</v>
      </c>
      <c r="P37" s="723">
        <f t="shared" si="10"/>
        <v>2034</v>
      </c>
      <c r="Q37" s="723">
        <f t="shared" si="10"/>
        <v>2035</v>
      </c>
      <c r="R37" s="723">
        <f t="shared" si="10"/>
        <v>2036</v>
      </c>
      <c r="S37" s="723">
        <f t="shared" si="10"/>
        <v>2037</v>
      </c>
      <c r="T37" s="723">
        <f t="shared" si="10"/>
        <v>2038</v>
      </c>
      <c r="U37" s="723">
        <f t="shared" si="10"/>
        <v>2039</v>
      </c>
      <c r="V37" s="723">
        <f t="shared" si="10"/>
        <v>2040</v>
      </c>
      <c r="W37" s="723">
        <f t="shared" si="10"/>
        <v>2041</v>
      </c>
      <c r="X37" s="723">
        <f t="shared" si="10"/>
        <v>2042</v>
      </c>
      <c r="Y37" s="723">
        <f t="shared" si="10"/>
        <v>2043</v>
      </c>
      <c r="Z37" s="723">
        <f t="shared" si="10"/>
        <v>2044</v>
      </c>
      <c r="AA37" s="723">
        <f t="shared" si="10"/>
        <v>2045</v>
      </c>
      <c r="AB37" s="723">
        <f t="shared" si="10"/>
        <v>2046</v>
      </c>
      <c r="AC37" s="723">
        <f t="shared" si="10"/>
        <v>2047</v>
      </c>
      <c r="AD37" s="723">
        <f t="shared" si="10"/>
        <v>2048</v>
      </c>
      <c r="AE37" s="723">
        <f t="shared" si="10"/>
        <v>2049</v>
      </c>
    </row>
    <row r="38" spans="1:31" ht="12.75" customHeight="1">
      <c r="B38" s="769"/>
      <c r="C38" s="769"/>
      <c r="D38" s="769"/>
      <c r="E38" s="831"/>
    </row>
    <row r="39" spans="1:31" ht="12.75" customHeight="1">
      <c r="A39" s="749" t="s">
        <v>526</v>
      </c>
      <c r="B39" s="737" t="s">
        <v>555</v>
      </c>
      <c r="C39" s="595"/>
      <c r="D39" s="595"/>
      <c r="E39" s="832"/>
      <c r="F39" s="595"/>
      <c r="G39" s="595"/>
      <c r="H39" s="595"/>
      <c r="I39" s="595"/>
      <c r="J39" s="595"/>
      <c r="K39" s="595"/>
      <c r="L39" s="595"/>
      <c r="M39" s="595"/>
      <c r="N39" s="595"/>
      <c r="O39" s="595"/>
      <c r="P39" s="595"/>
      <c r="Q39" s="595"/>
      <c r="R39" s="595"/>
      <c r="S39" s="595"/>
      <c r="T39" s="595"/>
      <c r="U39" s="595"/>
      <c r="V39" s="595"/>
      <c r="W39" s="595"/>
      <c r="X39" s="595"/>
      <c r="Y39" s="595"/>
      <c r="Z39" s="595"/>
      <c r="AA39" s="595"/>
      <c r="AB39" s="595"/>
      <c r="AC39" s="595"/>
      <c r="AD39" s="595"/>
      <c r="AE39" s="595"/>
    </row>
    <row r="40" spans="1:31" ht="3.95" customHeight="1">
      <c r="B40" s="769"/>
      <c r="C40" s="769"/>
      <c r="D40" s="769"/>
      <c r="E40" s="831"/>
    </row>
    <row r="41" spans="1:31" ht="12.75" customHeight="1">
      <c r="B41" s="766" t="s">
        <v>556</v>
      </c>
      <c r="C41" s="767">
        <f>'Market Data'!C16</f>
        <v>538.85910652920961</v>
      </c>
      <c r="D41" s="767">
        <f>'Market Data'!D16</f>
        <v>627.28636884306991</v>
      </c>
      <c r="E41" s="833">
        <f>'Market Data'!E16</f>
        <v>786.97537227949601</v>
      </c>
      <c r="F41" s="717">
        <f>'Market Data'!F16</f>
        <v>903.00572737686139</v>
      </c>
      <c r="G41" s="717">
        <f>'Market Data'!G16</f>
        <v>850</v>
      </c>
      <c r="H41" s="717">
        <f>'Market Data'!H16</f>
        <v>846.26</v>
      </c>
      <c r="I41" s="717">
        <f>'Market Data'!I16</f>
        <v>869.61677600000007</v>
      </c>
      <c r="J41" s="717">
        <f>'Market Data'!J16</f>
        <v>895.5313559248001</v>
      </c>
      <c r="K41" s="717">
        <f>'Market Data'!K16</f>
        <v>945.68111185658893</v>
      </c>
      <c r="L41" s="717">
        <f>'Market Data'!L16</f>
        <v>1002.4219785679843</v>
      </c>
      <c r="M41" s="717">
        <f>'Market Data'!M16</f>
        <v>1062.5672972820635</v>
      </c>
    </row>
    <row r="42" spans="1:31" ht="12.75" customHeight="1">
      <c r="B42" s="766" t="s">
        <v>557</v>
      </c>
      <c r="C42" s="768">
        <v>-4.437272730153647E-2</v>
      </c>
      <c r="D42" s="768">
        <f t="shared" ref="D42:F42" si="11">+(D41-C41)/C41</f>
        <v>0.16410089621277835</v>
      </c>
      <c r="E42" s="834">
        <f t="shared" si="11"/>
        <v>0.2545711358768199</v>
      </c>
      <c r="F42" s="603">
        <f t="shared" si="11"/>
        <v>0.14743835599490265</v>
      </c>
      <c r="G42" s="603">
        <f>+(G41-F41)/F41</f>
        <v>-5.8699215043560758E-2</v>
      </c>
      <c r="H42" s="603">
        <f t="shared" ref="H42:M42" si="12">+(H41-G41)/G41</f>
        <v>-4.4000000000000107E-3</v>
      </c>
      <c r="I42" s="603">
        <f t="shared" si="12"/>
        <v>2.7600000000000097E-2</v>
      </c>
      <c r="J42" s="603">
        <f t="shared" si="12"/>
        <v>2.9800000000000024E-2</v>
      </c>
      <c r="K42" s="603">
        <f t="shared" si="12"/>
        <v>5.6000000000000029E-2</v>
      </c>
      <c r="L42" s="603">
        <f t="shared" si="12"/>
        <v>6.0000000000000039E-2</v>
      </c>
      <c r="M42" s="603">
        <f t="shared" si="12"/>
        <v>6.0000000000000109E-2</v>
      </c>
      <c r="N42" s="603">
        <v>0.02</v>
      </c>
      <c r="O42" s="603">
        <v>0.02</v>
      </c>
      <c r="P42" s="603">
        <v>0.02</v>
      </c>
      <c r="Q42" s="603">
        <v>0.02</v>
      </c>
      <c r="R42" s="603">
        <v>0.02</v>
      </c>
      <c r="S42" s="603">
        <v>0.02</v>
      </c>
      <c r="T42" s="603">
        <v>0.02</v>
      </c>
      <c r="U42" s="603">
        <v>0.02</v>
      </c>
      <c r="V42" s="603">
        <v>0.02</v>
      </c>
      <c r="W42" s="603">
        <v>0.02</v>
      </c>
      <c r="X42" s="603">
        <v>0.02</v>
      </c>
      <c r="Y42" s="603">
        <v>0.02</v>
      </c>
      <c r="Z42" s="603">
        <v>0.02</v>
      </c>
      <c r="AA42" s="603">
        <v>0.02</v>
      </c>
      <c r="AB42" s="603">
        <v>0.02</v>
      </c>
      <c r="AC42" s="603">
        <v>0.02</v>
      </c>
      <c r="AD42" s="603">
        <v>0.02</v>
      </c>
      <c r="AE42" s="603">
        <v>0.02</v>
      </c>
    </row>
    <row r="43" spans="1:31" ht="12.75" customHeight="1">
      <c r="B43" s="846"/>
      <c r="C43" s="769"/>
      <c r="D43" s="769"/>
      <c r="E43" s="831"/>
      <c r="G43" s="603"/>
    </row>
    <row r="44" spans="1:31" ht="12.75" customHeight="1">
      <c r="A44" s="749" t="s">
        <v>526</v>
      </c>
      <c r="B44" s="748" t="s">
        <v>558</v>
      </c>
      <c r="C44" s="595"/>
      <c r="D44" s="595"/>
      <c r="E44" s="832"/>
      <c r="F44" s="595"/>
      <c r="G44" s="595"/>
      <c r="H44" s="595"/>
      <c r="I44" s="595"/>
      <c r="J44" s="595"/>
      <c r="K44" s="595"/>
      <c r="L44" s="595"/>
      <c r="M44" s="595"/>
      <c r="N44" s="595"/>
      <c r="O44" s="595"/>
      <c r="P44" s="595"/>
      <c r="Q44" s="595"/>
      <c r="R44" s="595"/>
      <c r="S44" s="595"/>
      <c r="T44" s="595"/>
      <c r="U44" s="595"/>
      <c r="V44" s="595"/>
      <c r="W44" s="595"/>
      <c r="X44" s="595"/>
      <c r="Y44" s="595"/>
      <c r="Z44" s="595"/>
      <c r="AA44" s="595"/>
      <c r="AB44" s="595"/>
      <c r="AC44" s="595"/>
      <c r="AD44" s="595"/>
      <c r="AE44" s="595"/>
    </row>
    <row r="45" spans="1:31" ht="3.95" customHeight="1">
      <c r="B45" s="769"/>
      <c r="C45" s="769"/>
      <c r="D45" s="769"/>
      <c r="E45" s="831"/>
    </row>
    <row r="46" spans="1:31" ht="12.75" customHeight="1">
      <c r="B46" s="769" t="s">
        <v>559</v>
      </c>
      <c r="C46" s="770">
        <f>'Market Data'!C20</f>
        <v>5.1542229988265909E-2</v>
      </c>
      <c r="D46" s="770">
        <f>'Market Data'!D20</f>
        <v>5.337275232323084E-2</v>
      </c>
      <c r="E46" s="835">
        <f>'Market Data'!E20</f>
        <v>4.5058589187218306E-2</v>
      </c>
      <c r="F46" s="763">
        <f>'Market Data'!F20</f>
        <v>4.0938832256787822E-2</v>
      </c>
      <c r="G46" s="727">
        <f>'Market Data'!G20</f>
        <v>4.6464705882352936E-2</v>
      </c>
      <c r="H46" s="727">
        <f>'Market Data'!H20</f>
        <v>4.9646680689149909E-2</v>
      </c>
      <c r="I46" s="727">
        <f>'Market Data'!I20</f>
        <v>4.7839212138913428E-2</v>
      </c>
      <c r="J46" s="727">
        <f>'Market Data'!J20</f>
        <v>4.7896855903016872E-2</v>
      </c>
      <c r="K46" s="727">
        <f>'Market Data'!K20</f>
        <v>4.7959426272162833E-2</v>
      </c>
      <c r="L46" s="727">
        <f>'Market Data'!L20</f>
        <v>4.8087626010550777E-2</v>
      </c>
      <c r="M46" s="727">
        <f>'Market Data'!M20</f>
        <v>4.8249949641034011E-2</v>
      </c>
      <c r="N46" s="727">
        <f>'Market Data'!N20</f>
        <v>4.8371066859043299E-2</v>
      </c>
      <c r="O46" s="727">
        <f>'Market Data'!O20</f>
        <v>4.8468124006929847E-2</v>
      </c>
      <c r="P46" s="727">
        <f>'Market Data'!P20</f>
        <v>4.8580031973642746E-2</v>
      </c>
      <c r="Q46" s="727">
        <f>'Market Data'!Q20</f>
        <v>4.8692757186303989E-2</v>
      </c>
      <c r="R46" s="727">
        <f>'Market Data'!R20</f>
        <v>4.8806128992542372E-2</v>
      </c>
      <c r="S46" s="727">
        <f>'Market Data'!S20</f>
        <v>4.8919639422322747E-2</v>
      </c>
      <c r="T46" s="727">
        <f>'Market Data'!T20</f>
        <v>4.9033018189273206E-2</v>
      </c>
      <c r="U46" s="727">
        <f>'Market Data'!U20</f>
        <v>4.9146583198999165E-2</v>
      </c>
      <c r="V46" s="727">
        <f>'Market Data'!V20</f>
        <v>4.926052746228228E-2</v>
      </c>
      <c r="W46" s="727">
        <f>'Market Data'!W20</f>
        <v>4.9374740679743845E-2</v>
      </c>
      <c r="X46" s="727">
        <f>'Market Data'!X20</f>
        <v>4.9489218053197906E-2</v>
      </c>
      <c r="Y46" s="727">
        <f>'Market Data'!Y20</f>
        <v>4.9603957124710191E-2</v>
      </c>
      <c r="Z46" s="727">
        <f>'Market Data'!Z20</f>
        <v>4.9718959403685516E-2</v>
      </c>
      <c r="AA46" s="727">
        <f>'Market Data'!AA20</f>
        <v>4.9834228565908426E-2</v>
      </c>
      <c r="AB46" s="727">
        <f>'Market Data'!AB20</f>
        <v>4.9949765861947562E-2</v>
      </c>
      <c r="AC46" s="727">
        <f>'Market Data'!AC20</f>
        <v>5.006557102272835E-2</v>
      </c>
      <c r="AD46" s="727">
        <f>'Market Data'!AD20</f>
        <v>5.0181644623002938E-2</v>
      </c>
      <c r="AE46" s="727">
        <f>'Market Data'!AE20</f>
        <v>5.0297987289195101E-2</v>
      </c>
    </row>
    <row r="47" spans="1:31" ht="12.75" customHeight="1">
      <c r="B47" s="720" t="s">
        <v>560</v>
      </c>
      <c r="C47" s="731">
        <f>'Market Data'!C21</f>
        <v>5.03483668945462E-2</v>
      </c>
      <c r="D47" s="731">
        <f>'Market Data'!D21</f>
        <v>5.3677254396745193E-2</v>
      </c>
      <c r="E47" s="836">
        <f>'Market Data'!E21</f>
        <v>4.3499920335298557E-2</v>
      </c>
      <c r="F47" s="764">
        <f>'Market Data'!F21</f>
        <v>3.8871292767948207E-2</v>
      </c>
      <c r="G47" s="731">
        <f>'Market Data'!G21</f>
        <v>4.5100000000000001E-2</v>
      </c>
      <c r="H47" s="731">
        <f>'Market Data'!H21</f>
        <v>4.8069151324652004E-2</v>
      </c>
      <c r="I47" s="731">
        <f>'Market Data'!I21</f>
        <v>4.6312722738394298E-2</v>
      </c>
      <c r="J47" s="731">
        <f>'Market Data'!J21</f>
        <v>4.6364939063552026E-2</v>
      </c>
      <c r="K47" s="731">
        <f>'Market Data'!K21</f>
        <v>4.6409757067464551E-2</v>
      </c>
      <c r="L47" s="731">
        <f>'Market Data'!L21</f>
        <v>4.6534459690558805E-2</v>
      </c>
      <c r="M47" s="731">
        <f>'Market Data'!M21</f>
        <v>4.6697369338945735E-2</v>
      </c>
      <c r="N47" s="731">
        <f>'Market Data'!N21</f>
        <v>4.6813628378819062E-2</v>
      </c>
      <c r="O47" s="731">
        <f>'Market Data'!O21</f>
        <v>4.6907387008282148E-2</v>
      </c>
      <c r="P47" s="731">
        <f>'Market Data'!P21</f>
        <v>4.7015580318265894E-2</v>
      </c>
      <c r="Q47" s="731">
        <f>'Market Data'!Q21</f>
        <v>4.7124591968114388E-2</v>
      </c>
      <c r="R47" s="731">
        <f>'Market Data'!R21</f>
        <v>4.7234351777204447E-2</v>
      </c>
      <c r="S47" s="731">
        <f>'Market Data'!S21</f>
        <v>4.7344242426734906E-2</v>
      </c>
      <c r="T47" s="731">
        <f>'Market Data'!T21</f>
        <v>4.7453960559537045E-2</v>
      </c>
      <c r="U47" s="731">
        <f>'Market Data'!U21</f>
        <v>4.7563865874750907E-2</v>
      </c>
      <c r="V47" s="731">
        <f>'Market Data'!V21</f>
        <v>4.7674139625648357E-2</v>
      </c>
      <c r="W47" s="731">
        <f>'Market Data'!W21</f>
        <v>4.7784674538177363E-2</v>
      </c>
      <c r="X47" s="731">
        <f>'Market Data'!X21</f>
        <v>4.7895465757933534E-2</v>
      </c>
      <c r="Y47" s="731">
        <f>'Market Data'!Y21</f>
        <v>4.8006509954451021E-2</v>
      </c>
      <c r="Z47" s="731">
        <f>'Market Data'!Z21</f>
        <v>4.8117808602001835E-2</v>
      </c>
      <c r="AA47" s="731">
        <f>'Market Data'!AA21</f>
        <v>4.8229365607625981E-2</v>
      </c>
      <c r="AB47" s="731">
        <f>'Market Data'!AB21</f>
        <v>4.8341182131611996E-2</v>
      </c>
      <c r="AC47" s="731">
        <f>'Market Data'!AC21</f>
        <v>4.8453257902342596E-2</v>
      </c>
      <c r="AD47" s="731">
        <f>'Market Data'!AD21</f>
        <v>4.8565593469243815E-2</v>
      </c>
      <c r="AE47" s="731">
        <f>'Market Data'!AE21</f>
        <v>4.8678189433371405E-2</v>
      </c>
    </row>
    <row r="48" spans="1:31" ht="12.75" customHeight="1">
      <c r="B48" s="769" t="s">
        <v>561</v>
      </c>
      <c r="C48" s="770">
        <f>'Market Data'!C22</f>
        <v>2.5492749094433959E-2</v>
      </c>
      <c r="D48" s="770">
        <f>'Market Data'!D22</f>
        <v>2.5511474176483369E-2</v>
      </c>
      <c r="E48" s="835">
        <f>'Market Data'!E22</f>
        <v>2.1406006583414541E-2</v>
      </c>
      <c r="F48" s="763">
        <f>'Market Data'!F22</f>
        <v>1.9262336298273296E-2</v>
      </c>
      <c r="G48" s="727">
        <f>'Market Data'!G22</f>
        <v>2.1383529411764704E-2</v>
      </c>
      <c r="H48" s="727">
        <f>'Market Data'!H22</f>
        <v>2.3093375558339044E-2</v>
      </c>
      <c r="I48" s="727">
        <f>'Market Data'!I22</f>
        <v>2.2295662864640686E-2</v>
      </c>
      <c r="J48" s="727">
        <f>'Market Data'!J22</f>
        <v>2.2311480264049846E-2</v>
      </c>
      <c r="K48" s="727">
        <f>'Market Data'!K22</f>
        <v>2.2335444848680656E-2</v>
      </c>
      <c r="L48" s="727">
        <f>'Market Data'!L22</f>
        <v>2.2391804516580849E-2</v>
      </c>
      <c r="M48" s="727">
        <f>'Market Data'!M22</f>
        <v>2.2465799156095399E-2</v>
      </c>
      <c r="N48" s="727">
        <f>'Market Data'!N22</f>
        <v>2.2524138270522086E-2</v>
      </c>
      <c r="O48" s="727">
        <f>'Market Data'!O22</f>
        <v>2.2569546047822048E-2</v>
      </c>
      <c r="P48" s="727">
        <f>'Market Data'!P22</f>
        <v>2.2621510719943262E-2</v>
      </c>
      <c r="Q48" s="727">
        <f>'Market Data'!Q22</f>
        <v>2.2673937034301019E-2</v>
      </c>
      <c r="R48" s="727">
        <f>'Market Data'!R22</f>
        <v>2.272670500490729E-2</v>
      </c>
      <c r="S48" s="727">
        <f>'Market Data'!S22</f>
        <v>2.2779563761876637E-2</v>
      </c>
      <c r="T48" s="727">
        <f>'Market Data'!T22</f>
        <v>2.2832373931158102E-2</v>
      </c>
      <c r="U48" s="727">
        <f>'Market Data'!U22</f>
        <v>2.2885255941924046E-2</v>
      </c>
      <c r="V48" s="727">
        <f>'Market Data'!V22</f>
        <v>2.2938312742952334E-2</v>
      </c>
      <c r="W48" s="727">
        <f>'Market Data'!W22</f>
        <v>2.2991495885892582E-2</v>
      </c>
      <c r="X48" s="727">
        <f>'Market Data'!X22</f>
        <v>2.3044802543100436E-2</v>
      </c>
      <c r="Y48" s="727">
        <f>'Market Data'!Y22</f>
        <v>2.3098231252252681E-2</v>
      </c>
      <c r="Z48" s="727">
        <f>'Market Data'!Z22</f>
        <v>2.315178250997707E-2</v>
      </c>
      <c r="AA48" s="727">
        <f>'Market Data'!AA22</f>
        <v>2.3205457926316911E-2</v>
      </c>
      <c r="AB48" s="727">
        <f>'Market Data'!AB22</f>
        <v>2.3259258197697197E-2</v>
      </c>
      <c r="AC48" s="727">
        <f>'Market Data'!AC22</f>
        <v>2.3313183214083655E-2</v>
      </c>
      <c r="AD48" s="727">
        <f>'Market Data'!AD22</f>
        <v>2.3367233234779822E-2</v>
      </c>
      <c r="AE48" s="727">
        <f>'Market Data'!AE22</f>
        <v>2.3421408547466611E-2</v>
      </c>
    </row>
    <row r="49" spans="1:31" ht="12.75" customHeight="1">
      <c r="B49" s="769" t="s">
        <v>562</v>
      </c>
      <c r="C49" s="770">
        <f>'Market Data'!C23</f>
        <v>1.6148933727871028E-2</v>
      </c>
      <c r="D49" s="770">
        <f>'Market Data'!D23</f>
        <v>1.6462975305914125E-2</v>
      </c>
      <c r="E49" s="835">
        <f>'Market Data'!E23</f>
        <v>1.264019224793113E-2</v>
      </c>
      <c r="F49" s="763">
        <f>'Market Data'!F23</f>
        <v>1.1439573068941196E-2</v>
      </c>
      <c r="G49" s="727">
        <f>'Market Data'!G23</f>
        <v>1.2561176470588235E-2</v>
      </c>
      <c r="H49" s="727">
        <f>'Market Data'!H23</f>
        <v>1.3081086191005129E-2</v>
      </c>
      <c r="I49" s="727">
        <f>'Market Data'!I23</f>
        <v>1.2929212653890873E-2</v>
      </c>
      <c r="J49" s="727">
        <f>'Market Data'!J23</f>
        <v>1.2930822500309646E-2</v>
      </c>
      <c r="K49" s="727">
        <f>'Market Data'!K23</f>
        <v>1.2931529829199477E-2</v>
      </c>
      <c r="L49" s="727">
        <f>'Market Data'!L23</f>
        <v>1.2962100698843407E-2</v>
      </c>
      <c r="M49" s="727">
        <f>'Market Data'!M23</f>
        <v>1.3002655749927178E-2</v>
      </c>
      <c r="N49" s="727">
        <f>'Market Data'!N23</f>
        <v>1.3034953666760819E-2</v>
      </c>
      <c r="O49" s="727">
        <f>'Market Data'!O23</f>
        <v>1.3063430196729536E-2</v>
      </c>
      <c r="P49" s="727">
        <f>'Market Data'!P23</f>
        <v>1.3093339790137996E-2</v>
      </c>
      <c r="Q49" s="727">
        <f>'Market Data'!Q23</f>
        <v>1.3123550233189792E-2</v>
      </c>
      <c r="R49" s="727">
        <f>'Market Data'!R23</f>
        <v>1.3154060263161587E-2</v>
      </c>
      <c r="S49" s="727">
        <f>'Market Data'!S23</f>
        <v>1.3184639554383207E-2</v>
      </c>
      <c r="T49" s="727">
        <f>'Market Data'!T23</f>
        <v>1.3215208494792949E-2</v>
      </c>
      <c r="U49" s="727">
        <f>'Market Data'!U23</f>
        <v>1.3245830693623407E-2</v>
      </c>
      <c r="V49" s="727">
        <f>'Market Data'!V23</f>
        <v>1.3276537174135995E-2</v>
      </c>
      <c r="W49" s="727">
        <f>'Market Data'!W23</f>
        <v>1.3307317893572028E-2</v>
      </c>
      <c r="X49" s="727">
        <f>'Market Data'!X23</f>
        <v>1.3338171143505315E-2</v>
      </c>
      <c r="Y49" s="727">
        <f>'Market Data'!Y23</f>
        <v>1.3369095291633751E-2</v>
      </c>
      <c r="Z49" s="727">
        <f>'Market Data'!Z23</f>
        <v>1.3400090489512753E-2</v>
      </c>
      <c r="AA49" s="727">
        <f>'Market Data'!AA23</f>
        <v>1.3431157530021103E-2</v>
      </c>
      <c r="AB49" s="727">
        <f>'Market Data'!AB23</f>
        <v>1.3462296723432465E-2</v>
      </c>
      <c r="AC49" s="727">
        <f>'Market Data'!AC23</f>
        <v>1.3493508135927965E-2</v>
      </c>
      <c r="AD49" s="727">
        <f>'Market Data'!AD23</f>
        <v>1.3524791910368667E-2</v>
      </c>
      <c r="AE49" s="727">
        <f>'Market Data'!AE23</f>
        <v>1.3556148205158127E-2</v>
      </c>
    </row>
    <row r="50" spans="1:31" ht="12.75" customHeight="1">
      <c r="B50" s="769" t="s">
        <v>563</v>
      </c>
      <c r="C50" s="770">
        <f>'Market Data'!C24</f>
        <v>1.3920150757614408E-2</v>
      </c>
      <c r="D50" s="770">
        <f>'Market Data'!D24</f>
        <v>1.311203368753207E-2</v>
      </c>
      <c r="E50" s="835">
        <f>'Market Data'!E24</f>
        <v>9.4259620583977827E-3</v>
      </c>
      <c r="F50" s="763">
        <f>'Market Data'!F24</f>
        <v>8.7352712843957563E-3</v>
      </c>
      <c r="G50" s="727">
        <f>'Market Data'!G24</f>
        <v>9.9329411764705871E-3</v>
      </c>
      <c r="H50" s="727">
        <f>'Market Data'!H24</f>
        <v>8.8719778791387996E-3</v>
      </c>
      <c r="I50" s="727">
        <f>'Market Data'!I24</f>
        <v>9.4049487387922563E-3</v>
      </c>
      <c r="J50" s="727">
        <f>'Market Data'!J24</f>
        <v>9.3955767569828506E-3</v>
      </c>
      <c r="K50" s="727">
        <f>'Market Data'!K24</f>
        <v>9.387001041550741E-3</v>
      </c>
      <c r="L50" s="727">
        <f>'Market Data'!L24</f>
        <v>9.4071449662306954E-3</v>
      </c>
      <c r="M50" s="727">
        <f>'Market Data'!M24</f>
        <v>9.4331735482304606E-3</v>
      </c>
      <c r="N50" s="727">
        <f>'Market Data'!N24</f>
        <v>9.4501644665915853E-3</v>
      </c>
      <c r="O50" s="727">
        <f>'Market Data'!O24</f>
        <v>9.4755236932603411E-3</v>
      </c>
      <c r="P50" s="727">
        <f>'Market Data'!P24</f>
        <v>9.4970563604378187E-3</v>
      </c>
      <c r="Q50" s="727">
        <f>'Market Data'!Q24</f>
        <v>9.5188393073000425E-3</v>
      </c>
      <c r="R50" s="727">
        <f>'Market Data'!R24</f>
        <v>9.5409095842045495E-3</v>
      </c>
      <c r="S50" s="727">
        <f>'Market Data'!S24</f>
        <v>9.5630460627669639E-3</v>
      </c>
      <c r="T50" s="727">
        <f>'Market Data'!T24</f>
        <v>9.5852012198347075E-3</v>
      </c>
      <c r="U50" s="727">
        <f>'Market Data'!U24</f>
        <v>9.6074453737084852E-3</v>
      </c>
      <c r="V50" s="727">
        <f>'Market Data'!V24</f>
        <v>9.6297147401307112E-3</v>
      </c>
      <c r="W50" s="727">
        <f>'Market Data'!W24</f>
        <v>9.6520388283803209E-3</v>
      </c>
      <c r="X50" s="727">
        <f>'Market Data'!X24</f>
        <v>9.6744165254583382E-3</v>
      </c>
      <c r="Y50" s="727">
        <f>'Market Data'!Y24</f>
        <v>9.6968461115571041E-3</v>
      </c>
      <c r="Z50" s="727">
        <f>'Market Data'!Z24</f>
        <v>9.7193275711682965E-3</v>
      </c>
      <c r="AA50" s="727">
        <f>'Market Data'!AA24</f>
        <v>9.7418612769461337E-3</v>
      </c>
      <c r="AB50" s="727">
        <f>'Market Data'!AB24</f>
        <v>9.7644470597912751E-3</v>
      </c>
      <c r="AC50" s="727">
        <f>'Market Data'!AC24</f>
        <v>9.7870852418103678E-3</v>
      </c>
      <c r="AD50" s="727">
        <f>'Market Data'!AD24</f>
        <v>9.8097759227019424E-3</v>
      </c>
      <c r="AE50" s="727">
        <f>'Market Data'!AE24</f>
        <v>9.8325192096327327E-3</v>
      </c>
    </row>
    <row r="51" spans="1:31" ht="12.75" customHeight="1">
      <c r="B51" s="769" t="s">
        <v>564</v>
      </c>
      <c r="C51" s="770">
        <f>'Market Data'!C25</f>
        <v>1.0624298505178306E-2</v>
      </c>
      <c r="D51" s="770">
        <f>'Market Data'!D25</f>
        <v>1.1006137456379503E-2</v>
      </c>
      <c r="E51" s="835">
        <f>'Market Data'!E25</f>
        <v>8.1463794494996203E-3</v>
      </c>
      <c r="F51" s="763">
        <f>'Market Data'!F25</f>
        <v>7.5591990095442985E-3</v>
      </c>
      <c r="G51" s="727">
        <f>'Market Data'!G25</f>
        <v>8.4200000000000004E-3</v>
      </c>
      <c r="H51" s="727">
        <f>'Market Data'!H25</f>
        <v>8.9381513955521952E-3</v>
      </c>
      <c r="I51" s="727">
        <f>'Market Data'!I25</f>
        <v>8.7168337771291772E-3</v>
      </c>
      <c r="J51" s="727">
        <f>'Market Data'!J25</f>
        <v>8.7187866066445324E-3</v>
      </c>
      <c r="K51" s="727">
        <f>'Market Data'!K25</f>
        <v>8.7200085521281674E-3</v>
      </c>
      <c r="L51" s="727">
        <f>'Market Data'!L25</f>
        <v>8.7435772676550706E-3</v>
      </c>
      <c r="M51" s="727">
        <f>'Market Data'!M25</f>
        <v>8.7721924852248237E-3</v>
      </c>
      <c r="N51" s="727">
        <f>'Market Data'!N25</f>
        <v>8.79441931225277E-3</v>
      </c>
      <c r="O51" s="727">
        <f>'Market Data'!O25</f>
        <v>8.8127564658678249E-3</v>
      </c>
      <c r="P51" s="727">
        <f>'Market Data'!P25</f>
        <v>8.8329671381788336E-3</v>
      </c>
      <c r="Q51" s="727">
        <f>'Market Data'!Q25</f>
        <v>8.853383395919321E-3</v>
      </c>
      <c r="R51" s="727">
        <f>'Market Data'!R25</f>
        <v>8.8739963256424179E-3</v>
      </c>
      <c r="S51" s="727">
        <f>'Market Data'!S25</f>
        <v>8.8946332207925187E-3</v>
      </c>
      <c r="T51" s="727">
        <f>'Market Data'!T25</f>
        <v>8.9152531681611254E-3</v>
      </c>
      <c r="U51" s="727">
        <f>'Market Data'!U25</f>
        <v>8.9359054984394486E-3</v>
      </c>
      <c r="V51" s="727">
        <f>'Market Data'!V25</f>
        <v>8.9566214168370333E-3</v>
      </c>
      <c r="W51" s="727">
        <f>'Market Data'!W25</f>
        <v>8.9773872344223564E-3</v>
      </c>
      <c r="X51" s="727">
        <f>'Market Data'!X25</f>
        <v>8.998201707161816E-3</v>
      </c>
      <c r="Y51" s="727">
        <f>'Market Data'!Y25</f>
        <v>9.0190637726667473E-3</v>
      </c>
      <c r="Z51" s="727">
        <f>'Market Data'!Z25</f>
        <v>9.0399737090110233E-3</v>
      </c>
      <c r="AA51" s="727">
        <f>'Market Data'!AA25</f>
        <v>9.0609321300883158E-3</v>
      </c>
      <c r="AB51" s="727">
        <f>'Market Data'!AB25</f>
        <v>9.0819392738934156E-3</v>
      </c>
      <c r="AC51" s="727">
        <f>'Market Data'!AC25</f>
        <v>9.1029951332513605E-3</v>
      </c>
      <c r="AD51" s="727">
        <f>'Market Data'!AD25</f>
        <v>9.1240998054085282E-3</v>
      </c>
      <c r="AE51" s="727">
        <f>'Market Data'!AE25</f>
        <v>9.1452533993469851E-3</v>
      </c>
    </row>
    <row r="52" spans="1:31" ht="12.75" customHeight="1">
      <c r="B52" s="769" t="s">
        <v>565</v>
      </c>
      <c r="C52" s="770">
        <f>'Market Data'!C26</f>
        <v>9.5015560430590281E-3</v>
      </c>
      <c r="D52" s="770">
        <f>'Market Data'!D26</f>
        <v>9.9938406306551431E-3</v>
      </c>
      <c r="E52" s="835">
        <f>'Market Data'!E26</f>
        <v>7.7677144867869582E-3</v>
      </c>
      <c r="F52" s="763">
        <f>'Market Data'!F26</f>
        <v>6.9955259512586195E-3</v>
      </c>
      <c r="G52" s="727">
        <f>'Market Data'!G26</f>
        <v>7.8870588235294119E-3</v>
      </c>
      <c r="H52" s="727">
        <f>'Market Data'!H26</f>
        <v>8.0010871363410778E-3</v>
      </c>
      <c r="I52" s="727">
        <f>'Market Data'!I26</f>
        <v>7.953022248991996E-3</v>
      </c>
      <c r="J52" s="727">
        <f>'Market Data'!J26</f>
        <v>7.9578409160220263E-3</v>
      </c>
      <c r="K52" s="727">
        <f>'Market Data'!K26</f>
        <v>7.9593906319255538E-3</v>
      </c>
      <c r="L52" s="727">
        <f>'Market Data'!L26</f>
        <v>7.9783147659758212E-3</v>
      </c>
      <c r="M52" s="727">
        <f>'Market Data'!M26</f>
        <v>8.0036346084818751E-3</v>
      </c>
      <c r="N52" s="727">
        <f>'Market Data'!N26</f>
        <v>8.0223065059329308E-3</v>
      </c>
      <c r="O52" s="727">
        <f>'Market Data'!O26</f>
        <v>8.040207796714105E-3</v>
      </c>
      <c r="P52" s="727">
        <f>'Market Data'!P26</f>
        <v>8.0586559012688075E-3</v>
      </c>
      <c r="Q52" s="727">
        <f>'Market Data'!Q26</f>
        <v>8.0772563091706211E-3</v>
      </c>
      <c r="R52" s="727">
        <f>'Market Data'!R26</f>
        <v>8.0960321370294273E-3</v>
      </c>
      <c r="S52" s="727">
        <f>'Market Data'!S26</f>
        <v>8.1148496325691225E-3</v>
      </c>
      <c r="T52" s="727">
        <f>'Market Data'!T26</f>
        <v>8.1336579084714464E-3</v>
      </c>
      <c r="U52" s="727">
        <f>'Market Data'!U26</f>
        <v>8.1525083007375834E-3</v>
      </c>
      <c r="V52" s="727">
        <f>'Market Data'!V26</f>
        <v>8.1714077642557927E-3</v>
      </c>
      <c r="W52" s="727">
        <f>'Market Data'!W26</f>
        <v>8.1903525873048694E-3</v>
      </c>
      <c r="X52" s="727">
        <f>'Market Data'!X26</f>
        <v>8.2093419964930133E-3</v>
      </c>
      <c r="Y52" s="727">
        <f>'Market Data'!Y26</f>
        <v>8.2283750594792822E-3</v>
      </c>
      <c r="Z52" s="727">
        <f>'Market Data'!Z26</f>
        <v>8.247451877949492E-3</v>
      </c>
      <c r="AA52" s="727">
        <f>'Market Data'!AA26</f>
        <v>8.2665729625037571E-3</v>
      </c>
      <c r="AB52" s="727">
        <f>'Market Data'!AB26</f>
        <v>8.2857384318748249E-3</v>
      </c>
      <c r="AC52" s="727">
        <f>'Market Data'!AC26</f>
        <v>8.304948347729036E-3</v>
      </c>
      <c r="AD52" s="727">
        <f>'Market Data'!AD26</f>
        <v>8.3242028007765485E-3</v>
      </c>
      <c r="AE52" s="727">
        <f>'Market Data'!AE26</f>
        <v>8.3435018889671878E-3</v>
      </c>
    </row>
    <row r="53" spans="1:31" ht="12.75" customHeight="1">
      <c r="B53" s="769" t="s">
        <v>566</v>
      </c>
      <c r="C53" s="770">
        <f>'Market Data'!C27</f>
        <v>1.0670692821794807E-2</v>
      </c>
      <c r="D53" s="770">
        <f>'Market Data'!D27</f>
        <v>1.1006137456379503E-2</v>
      </c>
      <c r="E53" s="835">
        <f>'Market Data'!E27</f>
        <v>8.1463794494996203E-3</v>
      </c>
      <c r="F53" s="763">
        <f>'Market Data'!F27</f>
        <v>7.5591990095442985E-3</v>
      </c>
      <c r="G53" s="727">
        <f>'Market Data'!G27</f>
        <v>8.4200000000000004E-3</v>
      </c>
      <c r="H53" s="727">
        <f>'Market Data'!H27</f>
        <v>8.9381513955521952E-3</v>
      </c>
      <c r="I53" s="727">
        <f>'Market Data'!I27</f>
        <v>8.7175586883263094E-3</v>
      </c>
      <c r="J53" s="727">
        <f>'Market Data'!J27</f>
        <v>8.7191635604670411E-3</v>
      </c>
      <c r="K53" s="727">
        <f>'Market Data'!K27</f>
        <v>8.7203857959151539E-3</v>
      </c>
      <c r="L53" s="727">
        <f>'Market Data'!L27</f>
        <v>8.7439582867795719E-3</v>
      </c>
      <c r="M53" s="727">
        <f>'Market Data'!M27</f>
        <v>8.7725773522939459E-3</v>
      </c>
      <c r="N53" s="727">
        <f>'Market Data'!N27</f>
        <v>8.7948080664720305E-3</v>
      </c>
      <c r="O53" s="727">
        <f>'Market Data'!O27</f>
        <v>8.8131491465007795E-3</v>
      </c>
      <c r="P53" s="727">
        <f>'Market Data'!P27</f>
        <v>8.8333581215135262E-3</v>
      </c>
      <c r="Q53" s="727">
        <f>'Market Data'!Q27</f>
        <v>8.8537753271626402E-3</v>
      </c>
      <c r="R53" s="727">
        <f>'Market Data'!R27</f>
        <v>8.8743892384601716E-3</v>
      </c>
      <c r="S53" s="727">
        <f>'Market Data'!S27</f>
        <v>8.8950270958422818E-3</v>
      </c>
      <c r="T53" s="727">
        <f>'Market Data'!T27</f>
        <v>8.9156479848097291E-3</v>
      </c>
      <c r="U53" s="727">
        <f>'Market Data'!U27</f>
        <v>8.9363012355281879E-3</v>
      </c>
      <c r="V53" s="727">
        <f>'Market Data'!V27</f>
        <v>8.9570180526836185E-3</v>
      </c>
      <c r="W53" s="727">
        <f>'Market Data'!W27</f>
        <v>8.9777847910576837E-3</v>
      </c>
      <c r="X53" s="727">
        <f>'Market Data'!X27</f>
        <v>8.9986001866085435E-3</v>
      </c>
      <c r="Y53" s="727">
        <f>'Market Data'!Y27</f>
        <v>9.0194631765046669E-3</v>
      </c>
      <c r="Z53" s="727">
        <f>'Market Data'!Z27</f>
        <v>9.0403740389824079E-3</v>
      </c>
      <c r="AA53" s="727">
        <f>'Market Data'!AA27</f>
        <v>9.0613333881156832E-3</v>
      </c>
      <c r="AB53" s="727">
        <f>'Market Data'!AB27</f>
        <v>9.0823414620856083E-3</v>
      </c>
      <c r="AC53" s="727">
        <f>'Market Data'!AC27</f>
        <v>9.1033982539095726E-3</v>
      </c>
      <c r="AD53" s="727">
        <f>'Market Data'!AD27</f>
        <v>9.1245038606867709E-3</v>
      </c>
      <c r="AE53" s="727">
        <f>'Market Data'!AE27</f>
        <v>9.1456583914035321E-3</v>
      </c>
    </row>
    <row r="54" spans="1:31" ht="12.75" customHeight="1">
      <c r="B54" s="769" t="s">
        <v>567</v>
      </c>
      <c r="C54" s="770">
        <f>'Market Data'!C28</f>
        <v>7.484331156573645E-3</v>
      </c>
      <c r="D54" s="770">
        <f>'Market Data'!D28</f>
        <v>7.1833220420692411E-3</v>
      </c>
      <c r="E54" s="835">
        <f>'Market Data'!E28</f>
        <v>4.6913793366951491E-3</v>
      </c>
      <c r="F54" s="763">
        <f>'Market Data'!F28</f>
        <v>4.7685190353205032E-3</v>
      </c>
      <c r="G54" s="727">
        <f>'Market Data'!G28</f>
        <v>5.438823529411765E-3</v>
      </c>
      <c r="H54" s="727">
        <f>'Market Data'!H28</f>
        <v>5.7866376763642379E-3</v>
      </c>
      <c r="I54" s="727">
        <f>'Market Data'!I28</f>
        <v>5.5994550501569816E-3</v>
      </c>
      <c r="J54" s="727">
        <f>'Market Data'!J28</f>
        <v>5.5951064372357475E-3</v>
      </c>
      <c r="K54" s="727">
        <f>'Market Data'!K28</f>
        <v>5.5948943120252264E-3</v>
      </c>
      <c r="L54" s="727">
        <f>'Market Data'!L28</f>
        <v>5.614189732825443E-3</v>
      </c>
      <c r="M54" s="727">
        <f>'Market Data'!M28</f>
        <v>5.633270529398258E-3</v>
      </c>
      <c r="N54" s="727">
        <f>'Market Data'!N28</f>
        <v>5.647303233834439E-3</v>
      </c>
      <c r="O54" s="727">
        <f>'Market Data'!O28</f>
        <v>5.6587084863705499E-3</v>
      </c>
      <c r="P54" s="727">
        <f>'Market Data'!P28</f>
        <v>5.6716638811802646E-3</v>
      </c>
      <c r="Q54" s="727">
        <f>'Market Data'!Q28</f>
        <v>5.6847983048992599E-3</v>
      </c>
      <c r="R54" s="727">
        <f>'Market Data'!R28</f>
        <v>5.698067520372746E-3</v>
      </c>
      <c r="S54" s="727">
        <f>'Market Data'!S28</f>
        <v>5.7113200304435095E-3</v>
      </c>
      <c r="T54" s="727">
        <f>'Market Data'!T28</f>
        <v>5.7245558298377281E-3</v>
      </c>
      <c r="U54" s="727">
        <f>'Market Data'!U28</f>
        <v>5.7378141896157163E-3</v>
      </c>
      <c r="V54" s="727">
        <f>'Market Data'!V28</f>
        <v>5.7511162550598835E-3</v>
      </c>
      <c r="W54" s="727">
        <f>'Market Data'!W28</f>
        <v>5.7644505641932034E-3</v>
      </c>
      <c r="X54" s="727">
        <f>'Market Data'!X28</f>
        <v>5.7778159261694436E-3</v>
      </c>
      <c r="Y54" s="727">
        <f>'Market Data'!Y28</f>
        <v>5.7912115865479882E-3</v>
      </c>
      <c r="Z54" s="727">
        <f>'Market Data'!Z28</f>
        <v>5.8046379712794142E-3</v>
      </c>
      <c r="AA54" s="727">
        <f>'Market Data'!AA28</f>
        <v>5.8180955224189151E-3</v>
      </c>
      <c r="AB54" s="727">
        <f>'Market Data'!AB28</f>
        <v>5.831584379798126E-3</v>
      </c>
      <c r="AC54" s="727">
        <f>'Market Data'!AC28</f>
        <v>5.8451045164272441E-3</v>
      </c>
      <c r="AD54" s="727">
        <f>'Market Data'!AD28</f>
        <v>5.8586559929250485E-3</v>
      </c>
      <c r="AE54" s="727">
        <f>'Market Data'!AE28</f>
        <v>5.8722388806960787E-3</v>
      </c>
    </row>
    <row r="55" spans="1:31" ht="12.75" customHeight="1">
      <c r="B55" s="769" t="s">
        <v>568</v>
      </c>
      <c r="C55" s="770">
        <f>'Market Data'!C29</f>
        <v>5.6601066272128969E-3</v>
      </c>
      <c r="D55" s="770">
        <f>'Market Data'!D29</f>
        <v>3.6729636007384664E-3</v>
      </c>
      <c r="E55" s="835">
        <f>'Market Data'!E29</f>
        <v>2.9975525068428647E-3</v>
      </c>
      <c r="F55" s="763">
        <f>'Market Data'!F29</f>
        <v>2.7175907368036495E-3</v>
      </c>
      <c r="G55" s="727">
        <f>'Market Data'!G29</f>
        <v>3.7129411764705886E-3</v>
      </c>
      <c r="H55" s="727">
        <f>'Market Data'!H29</f>
        <v>4.4076288611065153E-3</v>
      </c>
      <c r="I55" s="727">
        <f>'Market Data'!I29</f>
        <v>3.9504674542444485E-3</v>
      </c>
      <c r="J55" s="727">
        <f>'Market Data'!J29</f>
        <v>3.9411809316931721E-3</v>
      </c>
      <c r="K55" s="727">
        <f>'Market Data'!K29</f>
        <v>3.9518048476538219E-3</v>
      </c>
      <c r="L55" s="727">
        <f>'Market Data'!L29</f>
        <v>3.9680107563302564E-3</v>
      </c>
      <c r="M55" s="727">
        <f>'Market Data'!M29</f>
        <v>3.9866217453490447E-3</v>
      </c>
      <c r="N55" s="727">
        <f>'Market Data'!N29</f>
        <v>3.997666719751547E-3</v>
      </c>
      <c r="O55" s="727">
        <f>'Market Data'!O29</f>
        <v>4.0033192362156928E-3</v>
      </c>
      <c r="P55" s="727">
        <f>'Market Data'!P29</f>
        <v>4.0125459267562058E-3</v>
      </c>
      <c r="Q55" s="727">
        <f>'Market Data'!Q29</f>
        <v>4.0219731769003206E-3</v>
      </c>
      <c r="R55" s="727">
        <f>'Market Data'!R29</f>
        <v>4.0314137057984693E-3</v>
      </c>
      <c r="S55" s="727">
        <f>'Market Data'!S29</f>
        <v>4.0408221641116057E-3</v>
      </c>
      <c r="T55" s="727">
        <f>'Market Data'!T29</f>
        <v>4.0501789879503133E-3</v>
      </c>
      <c r="U55" s="727">
        <f>'Market Data'!U29</f>
        <v>4.0595425748201448E-3</v>
      </c>
      <c r="V55" s="727">
        <f>'Market Data'!V29</f>
        <v>4.0689557049041099E-3</v>
      </c>
      <c r="W55" s="727">
        <f>'Market Data'!W29</f>
        <v>4.0783913782012071E-3</v>
      </c>
      <c r="X55" s="727">
        <f>'Market Data'!X29</f>
        <v>4.0878479832716572E-3</v>
      </c>
      <c r="Y55" s="727">
        <f>'Market Data'!Y29</f>
        <v>4.0973256095785272E-3</v>
      </c>
      <c r="Z55" s="727">
        <f>'Market Data'!Z29</f>
        <v>4.1068247187802595E-3</v>
      </c>
      <c r="AA55" s="727">
        <f>'Market Data'!AA29</f>
        <v>4.1163459337167172E-3</v>
      </c>
      <c r="AB55" s="727">
        <f>'Market Data'!AB29</f>
        <v>4.1258894288374662E-3</v>
      </c>
      <c r="AC55" s="727">
        <f>'Market Data'!AC29</f>
        <v>4.1354550416324853E-3</v>
      </c>
      <c r="AD55" s="727">
        <f>'Market Data'!AD29</f>
        <v>4.1450428155345633E-3</v>
      </c>
      <c r="AE55" s="727">
        <f>'Market Data'!AE29</f>
        <v>4.1546528090596196E-3</v>
      </c>
    </row>
    <row r="56" spans="1:31" ht="12.75" customHeight="1">
      <c r="B56" s="769" t="s">
        <v>569</v>
      </c>
      <c r="C56" s="770">
        <f>'Market Data'!C30</f>
        <v>0.79860658438344989</v>
      </c>
      <c r="D56" s="770">
        <f>'Market Data'!D30</f>
        <v>0.79500110892387255</v>
      </c>
      <c r="E56" s="835">
        <f>'Market Data'!E30</f>
        <v>0.83621992435841541</v>
      </c>
      <c r="F56" s="763">
        <f>'Market Data'!F30</f>
        <v>0.85115266058118244</v>
      </c>
      <c r="G56" s="727">
        <f>'Market Data'!G30</f>
        <v>0.8306788235294118</v>
      </c>
      <c r="H56" s="727">
        <f>'Market Data'!H30</f>
        <v>0.821166071892799</v>
      </c>
      <c r="I56" s="727">
        <f>'Market Data'!I30</f>
        <v>0.82628090364651952</v>
      </c>
      <c r="J56" s="727">
        <f>'Market Data'!J30</f>
        <v>0.82616824706002623</v>
      </c>
      <c r="K56" s="727">
        <f>'Market Data'!K30</f>
        <v>0.82603035680129377</v>
      </c>
      <c r="L56" s="727">
        <f>'Market Data'!L30</f>
        <v>0.82556881330766929</v>
      </c>
      <c r="M56" s="727">
        <f>'Market Data'!M30</f>
        <v>0.82498275584501923</v>
      </c>
      <c r="N56" s="727">
        <f>'Market Data'!N30</f>
        <v>0.82454954452001938</v>
      </c>
      <c r="O56" s="727">
        <f>'Market Data'!O30</f>
        <v>0.82418784791530708</v>
      </c>
      <c r="P56" s="727">
        <f>'Market Data'!P30</f>
        <v>0.82378328986867466</v>
      </c>
      <c r="Q56" s="727">
        <f>'Market Data'!Q30</f>
        <v>0.82337513775673865</v>
      </c>
      <c r="R56" s="727">
        <f>'Market Data'!R30</f>
        <v>0.82296394545067653</v>
      </c>
      <c r="S56" s="727">
        <f>'Market Data'!S30</f>
        <v>0.82255221662815647</v>
      </c>
      <c r="T56" s="727">
        <f>'Market Data'!T30</f>
        <v>0.82214094372617363</v>
      </c>
      <c r="U56" s="727">
        <f>'Market Data'!U30</f>
        <v>0.82172894711785294</v>
      </c>
      <c r="V56" s="727">
        <f>'Market Data'!V30</f>
        <v>0.82131564906110988</v>
      </c>
      <c r="W56" s="727">
        <f>'Market Data'!W30</f>
        <v>0.82090136561905458</v>
      </c>
      <c r="X56" s="727">
        <f>'Market Data'!X30</f>
        <v>0.82048611817710004</v>
      </c>
      <c r="Y56" s="727">
        <f>'Market Data'!Y30</f>
        <v>0.82006992106061793</v>
      </c>
      <c r="Z56" s="727">
        <f>'Market Data'!Z30</f>
        <v>0.81965276910765195</v>
      </c>
      <c r="AA56" s="727">
        <f>'Market Data'!AA30</f>
        <v>0.81923464915633804</v>
      </c>
      <c r="AB56" s="727">
        <f>'Market Data'!AB30</f>
        <v>0.81881555704903008</v>
      </c>
      <c r="AC56" s="727">
        <f>'Market Data'!AC30</f>
        <v>0.81839549319015736</v>
      </c>
      <c r="AD56" s="727">
        <f>'Market Data'!AD30</f>
        <v>0.81797445556457138</v>
      </c>
      <c r="AE56" s="727">
        <f>'Market Data'!AE30</f>
        <v>0.81755244194570265</v>
      </c>
    </row>
    <row r="57" spans="1:31" ht="12.75" customHeight="1">
      <c r="B57" s="769"/>
      <c r="C57" s="769"/>
      <c r="D57" s="769"/>
      <c r="E57" s="831"/>
    </row>
    <row r="58" spans="1:31" ht="12.75" customHeight="1">
      <c r="A58" s="749" t="s">
        <v>526</v>
      </c>
      <c r="B58" s="748" t="s">
        <v>570</v>
      </c>
      <c r="C58" s="595"/>
      <c r="D58" s="595"/>
      <c r="E58" s="832"/>
      <c r="F58" s="595"/>
      <c r="G58" s="595"/>
      <c r="H58" s="595"/>
      <c r="I58" s="595"/>
      <c r="J58" s="595"/>
      <c r="K58" s="595"/>
      <c r="L58" s="595"/>
      <c r="M58" s="595"/>
      <c r="N58" s="595"/>
      <c r="O58" s="595"/>
      <c r="P58" s="595"/>
      <c r="Q58" s="595"/>
      <c r="R58" s="595"/>
      <c r="S58" s="595"/>
      <c r="T58" s="595"/>
      <c r="U58" s="595"/>
      <c r="V58" s="595"/>
      <c r="W58" s="595"/>
      <c r="X58" s="595"/>
      <c r="Y58" s="595"/>
      <c r="Z58" s="595"/>
      <c r="AA58" s="595"/>
      <c r="AB58" s="595"/>
      <c r="AC58" s="595"/>
      <c r="AD58" s="595"/>
      <c r="AE58" s="595"/>
    </row>
    <row r="59" spans="1:31" ht="3.95" customHeight="1">
      <c r="B59" s="772"/>
      <c r="C59" s="769"/>
      <c r="D59" s="769"/>
      <c r="E59" s="831"/>
    </row>
    <row r="60" spans="1:31" ht="12.75" hidden="1" customHeight="1">
      <c r="B60" s="769" t="s">
        <v>559</v>
      </c>
      <c r="C60" s="767">
        <f>'Market Data'!C5</f>
        <v>27.774000000000001</v>
      </c>
      <c r="D60" s="767">
        <f>'Market Data'!D5</f>
        <v>33.479999999999997</v>
      </c>
      <c r="E60" s="833">
        <f>'Market Data'!E5</f>
        <v>35.46</v>
      </c>
      <c r="F60" s="717">
        <f>'Market Data'!F5</f>
        <v>36.968000000000004</v>
      </c>
      <c r="G60" s="717">
        <f>'Market Data'!G5</f>
        <v>39.494999999999997</v>
      </c>
      <c r="H60" s="717">
        <f>'Market Data'!H5</f>
        <v>42.014000000000003</v>
      </c>
      <c r="I60" s="717">
        <f>'Market Data'!I5</f>
        <v>41.601781426621962</v>
      </c>
      <c r="J60" s="717">
        <f>'Market Data'!J5</f>
        <v>42.893136311363463</v>
      </c>
      <c r="K60" s="717">
        <f>'Market Data'!K5</f>
        <v>45.354323561063048</v>
      </c>
      <c r="L60" s="717">
        <f>'Market Data'!L5</f>
        <v>48.204093210133578</v>
      </c>
      <c r="M60" s="717">
        <f>'Market Data'!M5</f>
        <v>51.26881858406918</v>
      </c>
      <c r="N60" s="717">
        <f>'Market Data'!N5</f>
        <v>52.425464054644905</v>
      </c>
      <c r="O60" s="717">
        <f>'Market Data'!O5</f>
        <v>53.581269529002519</v>
      </c>
      <c r="P60" s="717">
        <f>'Market Data'!P5</f>
        <v>54.77908289303393</v>
      </c>
      <c r="Q60" s="717">
        <f>'Market Data'!Q5</f>
        <v>56.004316244975264</v>
      </c>
      <c r="R60" s="717">
        <f>'Market Data'!R5</f>
        <v>57.257405855658241</v>
      </c>
      <c r="S60" s="717">
        <f>'Market Data'!S5</f>
        <v>58.538383204438887</v>
      </c>
      <c r="T60" s="717">
        <f>'Market Data'!T5</f>
        <v>59.847535982994465</v>
      </c>
      <c r="U60" s="717">
        <f>'Market Data'!U5</f>
        <v>61.185871385509145</v>
      </c>
      <c r="V60" s="717">
        <f>'Market Data'!V5</f>
        <v>62.554282791035249</v>
      </c>
      <c r="W60" s="717">
        <f>'Market Data'!W5</f>
        <v>63.953304670787283</v>
      </c>
      <c r="X60" s="717">
        <f>'Market Data'!X5</f>
        <v>65.383614707289311</v>
      </c>
      <c r="Y60" s="717">
        <f>'Market Data'!Y5</f>
        <v>66.845908485659777</v>
      </c>
      <c r="Z60" s="717">
        <f>'Market Data'!Z5</f>
        <v>68.340902359547826</v>
      </c>
      <c r="AA60" s="717">
        <f>'Market Data'!AA5</f>
        <v>69.869331804646649</v>
      </c>
      <c r="AB60" s="717">
        <f>'Market Data'!AB5</f>
        <v>71.431945518255901</v>
      </c>
      <c r="AC60" s="717">
        <f>'Market Data'!AC5</f>
        <v>73.029506775878048</v>
      </c>
      <c r="AD60" s="717">
        <f>'Market Data'!AD5</f>
        <v>74.662797103497354</v>
      </c>
      <c r="AE60" s="717">
        <f>'Market Data'!AE5</f>
        <v>76.332615578034236</v>
      </c>
    </row>
    <row r="61" spans="1:31" ht="12.75" customHeight="1">
      <c r="B61" s="769" t="s">
        <v>571</v>
      </c>
      <c r="C61" s="767">
        <f>'Market Data'!C6</f>
        <v>27.130676000000001</v>
      </c>
      <c r="D61" s="767">
        <f>'Market Data'!D6</f>
        <v>33.671010000000003</v>
      </c>
      <c r="E61" s="833">
        <f>'Market Data'!E6</f>
        <v>34.233366000000004</v>
      </c>
      <c r="F61" s="717">
        <f>'Market Data'!F6</f>
        <v>35.100999999999999</v>
      </c>
      <c r="G61" s="717">
        <f>'Market Data'!G6</f>
        <v>38.335000000000001</v>
      </c>
      <c r="H61" s="717">
        <f>'Market Data'!H6</f>
        <v>40.679000000000002</v>
      </c>
      <c r="I61" s="717">
        <f>'Market Data'!I6</f>
        <v>40.274320635544342</v>
      </c>
      <c r="J61" s="717">
        <f>'Market Data'!J6</f>
        <v>41.521256746953476</v>
      </c>
      <c r="K61" s="717">
        <f>'Market Data'!K6</f>
        <v>43.888830664554064</v>
      </c>
      <c r="L61" s="717">
        <f>'Market Data'!L6</f>
        <v>46.647165154602071</v>
      </c>
      <c r="M61" s="717">
        <f>'Market Data'!M6</f>
        <v>49.619097528665868</v>
      </c>
      <c r="N61" s="717">
        <f>'Market Data'!N6</f>
        <v>50.737483194097656</v>
      </c>
      <c r="O61" s="717">
        <f>'Market Data'!O6</f>
        <v>51.855882555566694</v>
      </c>
      <c r="P61" s="717">
        <f>'Market Data'!P6</f>
        <v>53.014999514938808</v>
      </c>
      <c r="Q61" s="717">
        <f>'Market Data'!Q6</f>
        <v>54.200680018999471</v>
      </c>
      <c r="R61" s="717">
        <f>'Market Data'!R6</f>
        <v>55.413459454028413</v>
      </c>
      <c r="S61" s="717">
        <f>'Market Data'!S6</f>
        <v>56.653226361178085</v>
      </c>
      <c r="T61" s="717">
        <f>'Market Data'!T6</f>
        <v>57.920207994534415</v>
      </c>
      <c r="U61" s="717">
        <f>'Market Data'!U6</f>
        <v>59.215440638595219</v>
      </c>
      <c r="V61" s="717">
        <f>'Market Data'!V6</f>
        <v>60.539782369271812</v>
      </c>
      <c r="W61" s="717">
        <f>'Market Data'!W6</f>
        <v>61.893749866076725</v>
      </c>
      <c r="X61" s="717">
        <f>'Market Data'!X6</f>
        <v>63.277998774937963</v>
      </c>
      <c r="Y61" s="717">
        <f>'Market Data'!Y6</f>
        <v>64.693201049731712</v>
      </c>
      <c r="Z61" s="717">
        <f>'Market Data'!Z6</f>
        <v>66.140049970174118</v>
      </c>
      <c r="AA61" s="717">
        <f>'Market Data'!AA6</f>
        <v>67.619257794071288</v>
      </c>
      <c r="AB61" s="717">
        <f>'Market Data'!AB6</f>
        <v>69.131549041834816</v>
      </c>
      <c r="AC61" s="717">
        <f>'Market Data'!AC6</f>
        <v>70.677662393705816</v>
      </c>
      <c r="AD61" s="717">
        <f>'Market Data'!AD6</f>
        <v>72.258354197959719</v>
      </c>
      <c r="AE61" s="717">
        <f>'Market Data'!AE6</f>
        <v>73.874397790276447</v>
      </c>
    </row>
    <row r="62" spans="1:31" ht="12.75" hidden="1" customHeight="1">
      <c r="B62" s="769" t="s">
        <v>561</v>
      </c>
      <c r="C62" s="767">
        <f>'Market Data'!C7</f>
        <v>13.737</v>
      </c>
      <c r="D62" s="767">
        <f>'Market Data'!D7</f>
        <v>16.003</v>
      </c>
      <c r="E62" s="833">
        <f>'Market Data'!E7</f>
        <v>16.846</v>
      </c>
      <c r="F62" s="717">
        <f>'Market Data'!F7</f>
        <v>17.393999999999998</v>
      </c>
      <c r="G62" s="717">
        <f>'Market Data'!G7</f>
        <v>18.175999999999998</v>
      </c>
      <c r="H62" s="717">
        <f>'Market Data'!H7</f>
        <v>19.542999999999999</v>
      </c>
      <c r="I62" s="717">
        <f>'Market Data'!I7</f>
        <v>19.388682459131761</v>
      </c>
      <c r="J62" s="717">
        <f>'Market Data'!J7</f>
        <v>19.980630173553976</v>
      </c>
      <c r="K62" s="717">
        <f>'Market Data'!K7</f>
        <v>21.122208318311845</v>
      </c>
      <c r="L62" s="717">
        <f>'Market Data'!L7</f>
        <v>22.446036987218502</v>
      </c>
      <c r="M62" s="717">
        <f>'Market Data'!M7</f>
        <v>23.87142349057395</v>
      </c>
      <c r="N62" s="717">
        <f>'Market Data'!N7</f>
        <v>24.412080980230471</v>
      </c>
      <c r="O62" s="717">
        <f>'Market Data'!O7</f>
        <v>24.950520671332015</v>
      </c>
      <c r="P62" s="717">
        <f>'Market Data'!P7</f>
        <v>25.508126704522383</v>
      </c>
      <c r="Q62" s="717">
        <f>'Market Data'!Q7</f>
        <v>26.078587731828492</v>
      </c>
      <c r="R62" s="717">
        <f>'Market Data'!R7</f>
        <v>26.662064767042516</v>
      </c>
      <c r="S62" s="717">
        <f>'Market Data'!S7</f>
        <v>27.258558085655025</v>
      </c>
      <c r="T62" s="717">
        <f>'Market Data'!T7</f>
        <v>27.868187007119737</v>
      </c>
      <c r="U62" s="717">
        <f>'Market Data'!U7</f>
        <v>28.491387102482005</v>
      </c>
      <c r="V62" s="717">
        <f>'Market Data'!V7</f>
        <v>29.128589887116245</v>
      </c>
      <c r="W62" s="717">
        <f>'Market Data'!W7</f>
        <v>29.78004787437537</v>
      </c>
      <c r="X62" s="717">
        <f>'Market Data'!X7</f>
        <v>30.446075928376409</v>
      </c>
      <c r="Y62" s="717">
        <f>'Market Data'!Y7</f>
        <v>31.126997561642828</v>
      </c>
      <c r="Z62" s="717">
        <f>'Market Data'!Z7</f>
        <v>31.82314607828549</v>
      </c>
      <c r="AA62" s="717">
        <f>'Market Data'!AA7</f>
        <v>32.534863811291515</v>
      </c>
      <c r="AB62" s="717">
        <f>'Market Data'!AB7</f>
        <v>33.262499547343673</v>
      </c>
      <c r="AC62" s="717">
        <f>'Market Data'!AC7</f>
        <v>34.006408730009277</v>
      </c>
      <c r="AD62" s="717">
        <f>'Market Data'!AD7</f>
        <v>34.766955267917304</v>
      </c>
      <c r="AE62" s="717">
        <f>'Market Data'!AE7</f>
        <v>35.544511247946275</v>
      </c>
    </row>
    <row r="63" spans="1:31" ht="12.75" hidden="1" customHeight="1">
      <c r="B63" s="769" t="s">
        <v>562</v>
      </c>
      <c r="C63" s="767">
        <f>'Market Data'!C8</f>
        <v>8.702</v>
      </c>
      <c r="D63" s="767">
        <f>'Market Data'!D8</f>
        <v>10.327</v>
      </c>
      <c r="E63" s="833">
        <f>'Market Data'!E8</f>
        <v>9.9475200000000008</v>
      </c>
      <c r="F63" s="717">
        <f>'Market Data'!F8</f>
        <v>10.33</v>
      </c>
      <c r="G63" s="717">
        <f>'Market Data'!G8</f>
        <v>10.677</v>
      </c>
      <c r="H63" s="717">
        <f>'Market Data'!H8</f>
        <v>11.07</v>
      </c>
      <c r="I63" s="717">
        <f>'Market Data'!I8</f>
        <v>11.243460224294985</v>
      </c>
      <c r="J63" s="717">
        <f>'Market Data'!J8</f>
        <v>11.579957006925211</v>
      </c>
      <c r="K63" s="717">
        <f>'Market Data'!K8</f>
        <v>12.229103506884007</v>
      </c>
      <c r="L63" s="717">
        <f>'Market Data'!L8</f>
        <v>12.99349462893206</v>
      </c>
      <c r="M63" s="717">
        <f>'Market Data'!M8</f>
        <v>13.816196777689203</v>
      </c>
      <c r="N63" s="717">
        <f>'Market Data'!N8</f>
        <v>14.127525797644706</v>
      </c>
      <c r="O63" s="717">
        <f>'Market Data'!O8</f>
        <v>14.44155697555362</v>
      </c>
      <c r="P63" s="717">
        <f>'Market Data'!P8</f>
        <v>14.764114319640017</v>
      </c>
      <c r="Q63" s="717">
        <f>'Market Data'!Q8</f>
        <v>15.094143359027315</v>
      </c>
      <c r="R63" s="717">
        <f>'Market Data'!R8</f>
        <v>15.431819377699764</v>
      </c>
      <c r="S63" s="717">
        <f>'Market Data'!S8</f>
        <v>15.777047659404856</v>
      </c>
      <c r="T63" s="717">
        <f>'Market Data'!T8</f>
        <v>16.129899710883333</v>
      </c>
      <c r="U63" s="717">
        <f>'Market Data'!U8</f>
        <v>16.490621330330356</v>
      </c>
      <c r="V63" s="717">
        <f>'Market Data'!V8</f>
        <v>16.859426881137118</v>
      </c>
      <c r="W63" s="717">
        <f>'Market Data'!W8</f>
        <v>17.236484564419719</v>
      </c>
      <c r="X63" s="717">
        <f>'Market Data'!X8</f>
        <v>17.621976609316878</v>
      </c>
      <c r="Y63" s="717">
        <f>'Market Data'!Y8</f>
        <v>18.016089284042902</v>
      </c>
      <c r="Z63" s="717">
        <f>'Market Data'!Z8</f>
        <v>18.41901533612976</v>
      </c>
      <c r="AA63" s="717">
        <f>'Market Data'!AA8</f>
        <v>18.830952720466101</v>
      </c>
      <c r="AB63" s="717">
        <f>'Market Data'!AB8</f>
        <v>19.252103178153479</v>
      </c>
      <c r="AC63" s="717">
        <f>'Market Data'!AC8</f>
        <v>19.682672617391344</v>
      </c>
      <c r="AD63" s="717">
        <f>'Market Data'!AD8</f>
        <v>20.122871656701204</v>
      </c>
      <c r="AE63" s="717">
        <f>'Market Data'!AE8</f>
        <v>20.572915645980178</v>
      </c>
    </row>
    <row r="64" spans="1:31" ht="12.75" hidden="1" customHeight="1">
      <c r="B64" s="769" t="s">
        <v>563</v>
      </c>
      <c r="C64" s="767">
        <f>'Market Data'!C9</f>
        <v>7.5010000000000003</v>
      </c>
      <c r="D64" s="767">
        <f>'Market Data'!D9</f>
        <v>8.2249999999999996</v>
      </c>
      <c r="E64" s="833">
        <f>'Market Data'!E9</f>
        <v>7.4180000000000001</v>
      </c>
      <c r="F64" s="717">
        <f>'Market Data'!F9</f>
        <v>7.8879999999999999</v>
      </c>
      <c r="G64" s="717">
        <f>'Market Data'!G9</f>
        <v>8.4429999999999996</v>
      </c>
      <c r="H64" s="717">
        <f>'Market Data'!H9</f>
        <v>7.508</v>
      </c>
      <c r="I64" s="717">
        <f>'Market Data'!I9</f>
        <v>8.1787012006737889</v>
      </c>
      <c r="J64" s="717">
        <f>'Market Data'!J9</f>
        <v>8.4140335928763879</v>
      </c>
      <c r="K64" s="717">
        <f>'Market Data'!K9</f>
        <v>8.8771095819726629</v>
      </c>
      <c r="L64" s="717">
        <f>'Market Data'!L9</f>
        <v>9.4299288697248276</v>
      </c>
      <c r="M64" s="717">
        <f>'Market Data'!M9</f>
        <v>10.023381721935893</v>
      </c>
      <c r="N64" s="717">
        <f>'Market Data'!N9</f>
        <v>10.242264430459958</v>
      </c>
      <c r="O64" s="717">
        <f>'Market Data'!O9</f>
        <v>10.475144217763422</v>
      </c>
      <c r="P64" s="717">
        <f>'Market Data'!P9</f>
        <v>10.708927443491522</v>
      </c>
      <c r="Q64" s="717">
        <f>'Market Data'!Q9</f>
        <v>10.948159801496699</v>
      </c>
      <c r="R64" s="717">
        <f>'Market Data'!R9</f>
        <v>11.193014967001639</v>
      </c>
      <c r="S64" s="717">
        <f>'Market Data'!S9</f>
        <v>11.443364293656378</v>
      </c>
      <c r="T64" s="717">
        <f>'Market Data'!T9</f>
        <v>11.699273185548995</v>
      </c>
      <c r="U64" s="717">
        <f>'Market Data'!U9</f>
        <v>11.960951885481292</v>
      </c>
      <c r="V64" s="717">
        <f>'Market Data'!V9</f>
        <v>12.228450040701782</v>
      </c>
      <c r="W64" s="717">
        <f>'Market Data'!W9</f>
        <v>12.501934620568377</v>
      </c>
      <c r="X64" s="717">
        <f>'Market Data'!X9</f>
        <v>12.781538029929056</v>
      </c>
      <c r="Y64" s="717">
        <f>'Market Data'!Y9</f>
        <v>13.067394727058463</v>
      </c>
      <c r="Z64" s="717">
        <f>'Market Data'!Z9</f>
        <v>13.359644379291586</v>
      </c>
      <c r="AA64" s="717">
        <f>'Market Data'!AA9</f>
        <v>13.658430310676575</v>
      </c>
      <c r="AB64" s="717">
        <f>'Market Data'!AB9</f>
        <v>13.963898295712831</v>
      </c>
      <c r="AC64" s="717">
        <f>'Market Data'!AC9</f>
        <v>14.276198061506417</v>
      </c>
      <c r="AD64" s="717">
        <f>'Market Data'!AD9</f>
        <v>14.59548236909975</v>
      </c>
      <c r="AE64" s="717">
        <f>'Market Data'!AE9</f>
        <v>14.921907405105294</v>
      </c>
    </row>
    <row r="65" spans="1:31" hidden="1">
      <c r="A65" s="750"/>
      <c r="B65" s="769" t="s">
        <v>564</v>
      </c>
      <c r="C65" s="767">
        <f>'Market Data'!C10</f>
        <v>5.7249999999999996</v>
      </c>
      <c r="D65" s="767">
        <f>'Market Data'!D10</f>
        <v>6.9039999999999999</v>
      </c>
      <c r="E65" s="833">
        <f>'Market Data'!E10</f>
        <v>6.4109999999999996</v>
      </c>
      <c r="F65" s="717">
        <f>'Market Data'!F10</f>
        <v>6.8259999999999996</v>
      </c>
      <c r="G65" s="717">
        <f>'Market Data'!G10</f>
        <v>7.157</v>
      </c>
      <c r="H65" s="717">
        <f>'Market Data'!H10</f>
        <v>7.5640000000000001</v>
      </c>
      <c r="I65" s="717">
        <f>'Market Data'!I10</f>
        <v>7.5803048861949787</v>
      </c>
      <c r="J65" s="717">
        <f>'Market Data'!J10</f>
        <v>7.8079467918673648</v>
      </c>
      <c r="K65" s="717">
        <f>'Market Data'!K10</f>
        <v>8.2463473829755287</v>
      </c>
      <c r="L65" s="717">
        <f>'Market Data'!L10</f>
        <v>8.7647540244048461</v>
      </c>
      <c r="M65" s="717">
        <f>'Market Data'!M10</f>
        <v>9.3210448602633686</v>
      </c>
      <c r="N65" s="717">
        <f>'Market Data'!N10</f>
        <v>9.5315556069813212</v>
      </c>
      <c r="O65" s="717">
        <f>'Market Data'!O10</f>
        <v>9.7424583510517113</v>
      </c>
      <c r="P65" s="717">
        <f>'Market Data'!P10</f>
        <v>9.960097171534672</v>
      </c>
      <c r="Q65" s="717">
        <f>'Market Data'!Q10</f>
        <v>10.182781017020375</v>
      </c>
      <c r="R65" s="717">
        <f>'Market Data'!R10</f>
        <v>10.410618905190502</v>
      </c>
      <c r="S65" s="717">
        <f>'Market Data'!S10</f>
        <v>10.643525874070368</v>
      </c>
      <c r="T65" s="717">
        <f>'Market Data'!T10</f>
        <v>10.881564188429923</v>
      </c>
      <c r="U65" s="717">
        <f>'Market Data'!U10</f>
        <v>11.12490694066631</v>
      </c>
      <c r="V65" s="717">
        <f>'Market Data'!V10</f>
        <v>11.373711525725279</v>
      </c>
      <c r="W65" s="717">
        <f>'Market Data'!W10</f>
        <v>11.628082964012197</v>
      </c>
      <c r="X65" s="717">
        <f>'Market Data'!X10</f>
        <v>11.888144056895722</v>
      </c>
      <c r="Y65" s="717">
        <f>'Market Data'!Y10</f>
        <v>12.154020495951173</v>
      </c>
      <c r="Z65" s="717">
        <f>'Market Data'!Z10</f>
        <v>12.425842535525918</v>
      </c>
      <c r="AA65" s="717">
        <f>'Market Data'!AA10</f>
        <v>12.703743825777106</v>
      </c>
      <c r="AB65" s="717">
        <f>'Market Data'!AB10</f>
        <v>12.987860507812366</v>
      </c>
      <c r="AC65" s="717">
        <f>'Market Data'!AC10</f>
        <v>13.278331419864772</v>
      </c>
      <c r="AD65" s="717">
        <f>'Market Data'!AD10</f>
        <v>13.575298650355609</v>
      </c>
      <c r="AE65" s="717">
        <f>'Market Data'!AE10</f>
        <v>13.878907481572814</v>
      </c>
    </row>
    <row r="66" spans="1:31" hidden="1">
      <c r="A66" s="750"/>
      <c r="B66" s="769" t="s">
        <v>565</v>
      </c>
      <c r="C66" s="767">
        <f>'Market Data'!C11</f>
        <v>5.12</v>
      </c>
      <c r="D66" s="767">
        <f>'Market Data'!D11</f>
        <v>6.2690000000000001</v>
      </c>
      <c r="E66" s="833">
        <f>'Market Data'!E11</f>
        <v>6.1130000000000004</v>
      </c>
      <c r="F66" s="717">
        <f>'Market Data'!F11</f>
        <v>6.3170000000000002</v>
      </c>
      <c r="G66" s="717">
        <f>'Market Data'!G11</f>
        <v>6.7039999999999997</v>
      </c>
      <c r="H66" s="717">
        <f>'Market Data'!H11</f>
        <v>6.7709999999999999</v>
      </c>
      <c r="I66" s="717">
        <f>'Market Data'!I11</f>
        <v>6.9160815676246896</v>
      </c>
      <c r="J66" s="717">
        <f>'Market Data'!J11</f>
        <v>7.1264960657590581</v>
      </c>
      <c r="K66" s="717">
        <f>'Market Data'!K11</f>
        <v>7.5270453825002752</v>
      </c>
      <c r="L66" s="717">
        <f>'Market Data'!L11</f>
        <v>7.9976380733476473</v>
      </c>
      <c r="M66" s="717">
        <f>'Market Data'!M11</f>
        <v>8.5044003943677726</v>
      </c>
      <c r="N66" s="717">
        <f>'Market Data'!N11</f>
        <v>8.6947253528170183</v>
      </c>
      <c r="O66" s="717">
        <f>'Market Data'!O11</f>
        <v>8.8884096476135657</v>
      </c>
      <c r="P66" s="717">
        <f>'Market Data'!P11</f>
        <v>9.0869800139602397</v>
      </c>
      <c r="Q66" s="717">
        <f>'Market Data'!Q11</f>
        <v>9.2901130038647857</v>
      </c>
      <c r="R66" s="717">
        <f>'Market Data'!R11</f>
        <v>9.4979423170638704</v>
      </c>
      <c r="S66" s="717">
        <f>'Market Data'!S11</f>
        <v>9.710418618109605</v>
      </c>
      <c r="T66" s="717">
        <f>'Market Data'!T11</f>
        <v>9.9275835411882429</v>
      </c>
      <c r="U66" s="717">
        <f>'Market Data'!U11</f>
        <v>10.149603327223438</v>
      </c>
      <c r="V66" s="717">
        <f>'Market Data'!V11</f>
        <v>10.37659518521192</v>
      </c>
      <c r="W66" s="717">
        <f>'Market Data'!W11</f>
        <v>10.608665628738583</v>
      </c>
      <c r="X66" s="717">
        <f>'Market Data'!X11</f>
        <v>10.84592715775157</v>
      </c>
      <c r="Y66" s="717">
        <f>'Market Data'!Y11</f>
        <v>11.088494509193877</v>
      </c>
      <c r="Z66" s="717">
        <f>'Market Data'!Z11</f>
        <v>11.336486327673118</v>
      </c>
      <c r="AA66" s="717">
        <f>'Market Data'!AA11</f>
        <v>11.590024483686259</v>
      </c>
      <c r="AB66" s="717">
        <f>'Market Data'!AB11</f>
        <v>11.849233045056049</v>
      </c>
      <c r="AC66" s="717">
        <f>'Market Data'!AC11</f>
        <v>12.114238772158579</v>
      </c>
      <c r="AD66" s="717">
        <f>'Market Data'!AD11</f>
        <v>12.385171299823213</v>
      </c>
      <c r="AE66" s="717">
        <f>'Market Data'!AE11</f>
        <v>12.662163171724929</v>
      </c>
    </row>
    <row r="67" spans="1:31" hidden="1">
      <c r="A67" s="750"/>
      <c r="B67" s="769" t="s">
        <v>566</v>
      </c>
      <c r="C67" s="767">
        <f>'Market Data'!C12</f>
        <v>5.75</v>
      </c>
      <c r="D67" s="767">
        <f>'Market Data'!D12</f>
        <v>6.9039999999999999</v>
      </c>
      <c r="E67" s="833">
        <f>'Market Data'!E12</f>
        <v>6.4109999999999996</v>
      </c>
      <c r="F67" s="717">
        <f>'Market Data'!F12</f>
        <v>6.8259999999999996</v>
      </c>
      <c r="G67" s="717">
        <f>'Market Data'!G12</f>
        <v>7.157</v>
      </c>
      <c r="H67" s="717">
        <f>'Market Data'!H12</f>
        <v>7.5640000000000001</v>
      </c>
      <c r="I67" s="717">
        <f>'Market Data'!I12</f>
        <v>7.5809352811331143</v>
      </c>
      <c r="J67" s="717">
        <f>'Market Data'!J12</f>
        <v>7.8082843658351573</v>
      </c>
      <c r="K67" s="717">
        <f>'Market Data'!K12</f>
        <v>8.2467041352994475</v>
      </c>
      <c r="L67" s="717">
        <f>'Market Data'!L12</f>
        <v>8.7651359663495008</v>
      </c>
      <c r="M67" s="717">
        <f>'Market Data'!M12</f>
        <v>9.3214538074248185</v>
      </c>
      <c r="N67" s="717">
        <f>'Market Data'!N12</f>
        <v>9.53197694605179</v>
      </c>
      <c r="O67" s="717">
        <f>'Market Data'!O12</f>
        <v>9.7428924575343583</v>
      </c>
      <c r="P67" s="717">
        <f>'Market Data'!P12</f>
        <v>9.960538046265107</v>
      </c>
      <c r="Q67" s="717">
        <f>'Market Data'!Q12</f>
        <v>10.183231799489175</v>
      </c>
      <c r="R67" s="717">
        <f>'Market Data'!R12</f>
        <v>10.411079854852694</v>
      </c>
      <c r="S67" s="717">
        <f>'Market Data'!S12</f>
        <v>10.643997194155101</v>
      </c>
      <c r="T67" s="717">
        <f>'Market Data'!T12</f>
        <v>10.882046084190302</v>
      </c>
      <c r="U67" s="717">
        <f>'Market Data'!U12</f>
        <v>11.125399620259437</v>
      </c>
      <c r="V67" s="717">
        <f>'Market Data'!V12</f>
        <v>11.374215200212552</v>
      </c>
      <c r="W67" s="717">
        <f>'Market Data'!W12</f>
        <v>11.628597904653363</v>
      </c>
      <c r="X67" s="717">
        <f>'Market Data'!X12</f>
        <v>11.888670515539413</v>
      </c>
      <c r="Y67" s="717">
        <f>'Market Data'!Y12</f>
        <v>12.15455872947015</v>
      </c>
      <c r="Z67" s="717">
        <f>'Market Data'!Z12</f>
        <v>12.426392806726565</v>
      </c>
      <c r="AA67" s="717">
        <f>'Market Data'!AA12</f>
        <v>12.704306403568721</v>
      </c>
      <c r="AB67" s="717">
        <f>'Market Data'!AB12</f>
        <v>12.988435667365911</v>
      </c>
      <c r="AC67" s="717">
        <f>'Market Data'!AC12</f>
        <v>13.278919442776306</v>
      </c>
      <c r="AD67" s="717">
        <f>'Market Data'!AD12</f>
        <v>13.57589982430048</v>
      </c>
      <c r="AE67" s="717">
        <f>'Market Data'!AE12</f>
        <v>13.879522100658599</v>
      </c>
    </row>
    <row r="68" spans="1:31" ht="12.75" hidden="1" customHeight="1">
      <c r="B68" s="769" t="s">
        <v>567</v>
      </c>
      <c r="C68" s="767">
        <f>'Market Data'!C13</f>
        <v>4.0330000000000004</v>
      </c>
      <c r="D68" s="767">
        <f>'Market Data'!D13</f>
        <v>4.5060000000000002</v>
      </c>
      <c r="E68" s="833">
        <f>'Market Data'!E13</f>
        <v>3.6920000000000002</v>
      </c>
      <c r="F68" s="717">
        <f>'Market Data'!F13</f>
        <v>4.306</v>
      </c>
      <c r="G68" s="717">
        <f>'Market Data'!G13</f>
        <v>4.6230000000000002</v>
      </c>
      <c r="H68" s="717">
        <f>'Market Data'!H13</f>
        <v>4.8970000000000002</v>
      </c>
      <c r="I68" s="717">
        <f>'Market Data'!I13</f>
        <v>4.8693800480744329</v>
      </c>
      <c r="J68" s="717">
        <f>'Market Data'!J13</f>
        <v>5.0105932542813063</v>
      </c>
      <c r="K68" s="717">
        <f>'Market Data'!K13</f>
        <v>5.2909858737161208</v>
      </c>
      <c r="L68" s="717">
        <f>'Market Data'!L13</f>
        <v>5.6277871800349439</v>
      </c>
      <c r="M68" s="717">
        <f>'Market Data'!M13</f>
        <v>5.9857290412814059</v>
      </c>
      <c r="N68" s="717">
        <f>'Market Data'!N13</f>
        <v>6.1206525287898712</v>
      </c>
      <c r="O68" s="717">
        <f>'Market Data'!O13</f>
        <v>6.2556740292016135</v>
      </c>
      <c r="P68" s="717">
        <f>'Market Data'!P13</f>
        <v>6.3953960766671658</v>
      </c>
      <c r="Q68" s="717">
        <f>'Market Data'!Q13</f>
        <v>6.5384106477755095</v>
      </c>
      <c r="R68" s="717">
        <f>'Market Data'!R13</f>
        <v>6.6847457756131172</v>
      </c>
      <c r="S68" s="717">
        <f>'Market Data'!S13</f>
        <v>6.8342989542300145</v>
      </c>
      <c r="T68" s="717">
        <f>'Market Data'!T13</f>
        <v>6.9871399653677404</v>
      </c>
      <c r="U68" s="717">
        <f>'Market Data'!U13</f>
        <v>7.1433889843012714</v>
      </c>
      <c r="V68" s="717">
        <f>'Market Data'!V13</f>
        <v>7.3031486083577501</v>
      </c>
      <c r="W68" s="717">
        <f>'Market Data'!W13</f>
        <v>7.4664830258598576</v>
      </c>
      <c r="X68" s="717">
        <f>'Market Data'!X13</f>
        <v>7.6334705866683574</v>
      </c>
      <c r="Y68" s="717">
        <f>'Market Data'!Y13</f>
        <v>7.8041918865911679</v>
      </c>
      <c r="Z68" s="717">
        <f>'Market Data'!Z13</f>
        <v>7.9787308822542355</v>
      </c>
      <c r="AA68" s="717">
        <f>'Market Data'!AA13</f>
        <v>8.1571734573836068</v>
      </c>
      <c r="AB68" s="717">
        <f>'Market Data'!AB13</f>
        <v>8.3396070134573801</v>
      </c>
      <c r="AC68" s="717">
        <f>'Market Data'!AC13</f>
        <v>8.5261206687197113</v>
      </c>
      <c r="AD68" s="717">
        <f>'Market Data'!AD13</f>
        <v>8.7168056564339782</v>
      </c>
      <c r="AE68" s="717">
        <f>'Market Data'!AE13</f>
        <v>8.9117552653811742</v>
      </c>
    </row>
    <row r="69" spans="1:31" ht="12.75" hidden="1" customHeight="1">
      <c r="B69" s="769" t="s">
        <v>568</v>
      </c>
      <c r="C69" s="767">
        <f>'Market Data'!C14</f>
        <v>3.05</v>
      </c>
      <c r="D69" s="767">
        <f>'Market Data'!D14</f>
        <v>2.3039999999999998</v>
      </c>
      <c r="E69" s="833">
        <f>'Market Data'!E14</f>
        <v>2.359</v>
      </c>
      <c r="F69" s="717">
        <f>'Market Data'!F14</f>
        <v>2.4540000000000002</v>
      </c>
      <c r="G69" s="717">
        <f>'Market Data'!G14</f>
        <v>3.1560000000000001</v>
      </c>
      <c r="H69" s="717">
        <f>'Market Data'!H14</f>
        <v>3.73</v>
      </c>
      <c r="I69" s="717">
        <f>'Market Data'!I14</f>
        <v>3.4353927712529853</v>
      </c>
      <c r="J69" s="717">
        <f>'Market Data'!J14</f>
        <v>3.5294511037041532</v>
      </c>
      <c r="K69" s="717">
        <f>'Market Data'!K14</f>
        <v>3.7371472021695245</v>
      </c>
      <c r="L69" s="717">
        <f>'Market Data'!L14</f>
        <v>3.9776211933396195</v>
      </c>
      <c r="M69" s="717">
        <f>'Market Data'!M14</f>
        <v>4.2360538932414373</v>
      </c>
      <c r="N69" s="717">
        <f>'Market Data'!N14</f>
        <v>4.3327457202776705</v>
      </c>
      <c r="O69" s="717">
        <f>'Market Data'!O14</f>
        <v>4.425649463462717</v>
      </c>
      <c r="P69" s="717">
        <f>'Market Data'!P14</f>
        <v>4.5245665143476854</v>
      </c>
      <c r="Q69" s="717">
        <f>'Market Data'!Q14</f>
        <v>4.6259006625176236</v>
      </c>
      <c r="R69" s="717">
        <f>'Market Data'!R14</f>
        <v>4.7294939281137616</v>
      </c>
      <c r="S69" s="717">
        <f>'Market Data'!S14</f>
        <v>4.8353421876576039</v>
      </c>
      <c r="T69" s="717">
        <f>'Market Data'!T14</f>
        <v>4.9434695572534038</v>
      </c>
      <c r="U69" s="717">
        <f>'Market Data'!U14</f>
        <v>5.0539963045081482</v>
      </c>
      <c r="V69" s="717">
        <f>'Market Data'!V14</f>
        <v>5.1670296470872428</v>
      </c>
      <c r="W69" s="717">
        <f>'Market Data'!W14</f>
        <v>5.2825919242512365</v>
      </c>
      <c r="X69" s="717">
        <f>'Market Data'!X14</f>
        <v>5.400737535050478</v>
      </c>
      <c r="Y69" s="717">
        <f>'Market Data'!Y14</f>
        <v>5.5215242615674001</v>
      </c>
      <c r="Z69" s="717">
        <f>'Market Data'!Z14</f>
        <v>5.6450116913173849</v>
      </c>
      <c r="AA69" s="717">
        <f>'Market Data'!AA14</f>
        <v>5.7712610015661543</v>
      </c>
      <c r="AB69" s="717">
        <f>'Market Data'!AB14</f>
        <v>5.9003341418981101</v>
      </c>
      <c r="AC69" s="717">
        <f>'Market Data'!AC14</f>
        <v>6.0322939659898127</v>
      </c>
      <c r="AD69" s="717">
        <f>'Market Data'!AD14</f>
        <v>6.1672050218079679</v>
      </c>
      <c r="AE69" s="717">
        <f>'Market Data'!AE14</f>
        <v>6.3051333229446005</v>
      </c>
    </row>
    <row r="70" spans="1:31" ht="12.75" hidden="1" customHeight="1">
      <c r="B70" s="769" t="s">
        <v>569</v>
      </c>
      <c r="C70" s="767">
        <f>'Market Data'!C15</f>
        <v>430.33643052920962</v>
      </c>
      <c r="D70" s="767">
        <f>'Market Data'!D15</f>
        <v>498.69335884306992</v>
      </c>
      <c r="E70" s="833">
        <f>'Market Data'!E15</f>
        <v>658.08448627949599</v>
      </c>
      <c r="F70" s="717">
        <f>'Market Data'!F15</f>
        <v>768.59572737686142</v>
      </c>
      <c r="G70" s="717">
        <f>'Market Data'!G15</f>
        <v>706.077</v>
      </c>
      <c r="H70" s="717">
        <f>'Market Data'!H15</f>
        <v>694.92000000000007</v>
      </c>
      <c r="I70" s="717">
        <f>'Market Data'!I15</f>
        <v>718.54773549945298</v>
      </c>
      <c r="J70" s="717">
        <f>'Market Data'!J15</f>
        <v>739.85957051168054</v>
      </c>
      <c r="K70" s="717">
        <f>'Market Data'!K15</f>
        <v>781.16130624714231</v>
      </c>
      <c r="L70" s="717">
        <f>'Market Data'!L15</f>
        <v>827.56832327989673</v>
      </c>
      <c r="M70" s="717">
        <f>'Market Data'!M15</f>
        <v>876.59969718255059</v>
      </c>
      <c r="N70" s="717">
        <f>'Market Data'!N15</f>
        <v>893.66216861570933</v>
      </c>
      <c r="O70" s="717">
        <f>'Market Data'!O15</f>
        <v>911.13555819417672</v>
      </c>
      <c r="P70" s="717">
        <f>'Market Data'!P15</f>
        <v>928.90208771570258</v>
      </c>
      <c r="Q70" s="717">
        <f>'Market Data'!Q15</f>
        <v>947.01069045539145</v>
      </c>
      <c r="R70" s="717">
        <f>'Market Data'!R15</f>
        <v>965.46850983496927</v>
      </c>
      <c r="S70" s="717">
        <f>'Market Data'!S15</f>
        <v>984.28519570542267</v>
      </c>
      <c r="T70" s="717">
        <f>'Market Data'!T15</f>
        <v>1003.4689180832277</v>
      </c>
      <c r="U70" s="717">
        <f>'Market Data'!U15</f>
        <v>1023.0253742873965</v>
      </c>
      <c r="V70" s="717">
        <f>'Market Data'!V15</f>
        <v>1042.9610485070311</v>
      </c>
      <c r="W70" s="717">
        <f>'Market Data'!W15</f>
        <v>1063.2836632120031</v>
      </c>
      <c r="X70" s="717">
        <f>'Market Data'!X15</f>
        <v>1084.0007244791054</v>
      </c>
      <c r="Y70" s="717">
        <f>'Market Data'!Y15</f>
        <v>1105.1198749575683</v>
      </c>
      <c r="Z70" s="717">
        <f>'Market Data'!Z15</f>
        <v>1126.6488787005217</v>
      </c>
      <c r="AA70" s="717">
        <f>'Market Data'!AA15</f>
        <v>1148.5956374756627</v>
      </c>
      <c r="AB70" s="717">
        <f>'Market Data'!AB15</f>
        <v>1170.9682167936821</v>
      </c>
      <c r="AC70" s="717">
        <f>'Market Data'!AC15</f>
        <v>1193.7748435575841</v>
      </c>
      <c r="AD70" s="717">
        <f>'Market Data'!AD15</f>
        <v>1217.0238992857994</v>
      </c>
      <c r="AE70" s="717">
        <f>'Market Data'!AE15</f>
        <v>1240.7239261307452</v>
      </c>
    </row>
    <row r="71" spans="1:31" ht="12.75" customHeight="1">
      <c r="B71" s="771" t="s">
        <v>572</v>
      </c>
      <c r="C71" s="768">
        <f>+E9</f>
        <v>0.20639761661256611</v>
      </c>
      <c r="D71" s="770">
        <f>(D61-C61)/C61</f>
        <v>0.24106785986460497</v>
      </c>
      <c r="E71" s="835">
        <f t="shared" ref="E71:AE71" si="13">(E61-D61)/D61</f>
        <v>1.6701488906926201E-2</v>
      </c>
      <c r="F71" s="763">
        <f t="shared" si="13"/>
        <v>2.5344688570793632E-2</v>
      </c>
      <c r="G71" s="727">
        <f t="shared" si="13"/>
        <v>9.2134127232842422E-2</v>
      </c>
      <c r="H71" s="727">
        <f t="shared" si="13"/>
        <v>6.1145167601408666E-2</v>
      </c>
      <c r="I71" s="727">
        <f t="shared" si="13"/>
        <v>-9.9481148616155785E-3</v>
      </c>
      <c r="J71" s="727">
        <f t="shared" si="13"/>
        <v>3.0961071266553987E-2</v>
      </c>
      <c r="K71" s="727">
        <f t="shared" si="13"/>
        <v>5.7020767266980729E-2</v>
      </c>
      <c r="L71" s="727">
        <f t="shared" si="13"/>
        <v>6.284821099769515E-2</v>
      </c>
      <c r="M71" s="727">
        <f t="shared" si="13"/>
        <v>6.3710889272991442E-2</v>
      </c>
      <c r="N71" s="727">
        <f t="shared" si="13"/>
        <v>2.2539419722127672E-2</v>
      </c>
      <c r="O71" s="727">
        <f t="shared" si="13"/>
        <v>2.2042862417723207E-2</v>
      </c>
      <c r="P71" s="727">
        <f t="shared" si="13"/>
        <v>2.2352660918075203E-2</v>
      </c>
      <c r="Q71" s="727">
        <f t="shared" si="13"/>
        <v>2.2365000752788022E-2</v>
      </c>
      <c r="R71" s="727">
        <f t="shared" si="13"/>
        <v>2.2375723599848105E-2</v>
      </c>
      <c r="S71" s="727">
        <f t="shared" si="13"/>
        <v>2.2373028490996774E-2</v>
      </c>
      <c r="T71" s="727">
        <f t="shared" si="13"/>
        <v>2.2363803700763917E-2</v>
      </c>
      <c r="U71" s="727">
        <f t="shared" si="13"/>
        <v>2.2362361754347061E-2</v>
      </c>
      <c r="V71" s="727">
        <f t="shared" si="13"/>
        <v>2.2364804118563276E-2</v>
      </c>
      <c r="W71" s="727">
        <f t="shared" si="13"/>
        <v>2.2364921772367423E-2</v>
      </c>
      <c r="X71" s="727">
        <f t="shared" si="13"/>
        <v>2.2364922336365493E-2</v>
      </c>
      <c r="Y71" s="727">
        <f t="shared" si="13"/>
        <v>2.2364839315276479E-2</v>
      </c>
      <c r="Z71" s="727">
        <f t="shared" si="13"/>
        <v>2.2364775540016445E-2</v>
      </c>
      <c r="AA71" s="727">
        <f t="shared" si="13"/>
        <v>2.2364782375644092E-2</v>
      </c>
      <c r="AB71" s="727">
        <f t="shared" si="13"/>
        <v>2.2364801050746265E-2</v>
      </c>
      <c r="AC71" s="727">
        <f t="shared" si="13"/>
        <v>2.2364801213052128E-2</v>
      </c>
      <c r="AD71" s="727">
        <f t="shared" si="13"/>
        <v>2.2364800287943177E-2</v>
      </c>
      <c r="AE71" s="727">
        <f t="shared" si="13"/>
        <v>2.2364799340563433E-2</v>
      </c>
    </row>
    <row r="72" spans="1:31" ht="12.75" customHeight="1">
      <c r="B72" s="769"/>
      <c r="C72" s="769"/>
      <c r="D72" s="769"/>
      <c r="E72" s="831"/>
    </row>
    <row r="73" spans="1:31" ht="12.75" customHeight="1">
      <c r="B73" s="769" t="s">
        <v>61</v>
      </c>
      <c r="C73" s="773">
        <f>'Fin. Data'!D8/1000</f>
        <v>5.4470700000000001</v>
      </c>
      <c r="D73" s="774">
        <f>'Fin. Data'!C8/1000</f>
        <v>7.0384899999999995</v>
      </c>
      <c r="E73" s="837">
        <f>'Fin. Data'!B8/1000</f>
        <v>5.6395400000000002</v>
      </c>
      <c r="F73" s="746">
        <v>5.4290000000000003</v>
      </c>
      <c r="G73" s="746">
        <v>5.9359999999999999</v>
      </c>
      <c r="H73" s="746">
        <v>6.4109999999999996</v>
      </c>
      <c r="I73" s="746">
        <f t="shared" ref="I73:AE73" si="14">I74*I61</f>
        <v>6.3150036471382744</v>
      </c>
      <c r="J73" s="746">
        <f t="shared" si="14"/>
        <v>6.4773064022233768</v>
      </c>
      <c r="K73" s="746">
        <f t="shared" si="14"/>
        <v>6.8115368285982845</v>
      </c>
      <c r="L73" s="746">
        <f t="shared" si="14"/>
        <v>7.2023125423797429</v>
      </c>
      <c r="M73" s="746">
        <f t="shared" si="14"/>
        <v>7.6214835778732457</v>
      </c>
      <c r="N73" s="746">
        <f t="shared" si="14"/>
        <v>7.7526779982010243</v>
      </c>
      <c r="O73" s="746">
        <f t="shared" si="14"/>
        <v>7.8820851092527207</v>
      </c>
      <c r="P73" s="746">
        <f t="shared" si="14"/>
        <v>8.0158593014982014</v>
      </c>
      <c r="Q73" s="746">
        <f t="shared" si="14"/>
        <v>8.1517740866568431</v>
      </c>
      <c r="R73" s="746">
        <f t="shared" si="14"/>
        <v>8.2898458068602583</v>
      </c>
      <c r="S73" s="746">
        <f t="shared" si="14"/>
        <v>8.4299928405565989</v>
      </c>
      <c r="T73" s="746">
        <f t="shared" si="14"/>
        <v>8.5721840523319397</v>
      </c>
      <c r="U73" s="746">
        <f t="shared" si="14"/>
        <v>8.7165066687618626</v>
      </c>
      <c r="V73" s="746">
        <f t="shared" si="14"/>
        <v>8.8630185106392254</v>
      </c>
      <c r="W73" s="746">
        <f t="shared" si="14"/>
        <v>9.0117249456659696</v>
      </c>
      <c r="X73" s="746">
        <f t="shared" si="14"/>
        <v>9.1626498105208842</v>
      </c>
      <c r="Y73" s="746">
        <f t="shared" si="14"/>
        <v>9.3158171921898507</v>
      </c>
      <c r="Z73" s="746">
        <f t="shared" si="14"/>
        <v>9.4712520812968783</v>
      </c>
      <c r="AA73" s="746">
        <f t="shared" si="14"/>
        <v>9.6289799524824584</v>
      </c>
      <c r="AB73" s="746">
        <f t="shared" si="14"/>
        <v>9.7890257375798626</v>
      </c>
      <c r="AC73" s="746">
        <f t="shared" si="14"/>
        <v>9.9514140436945535</v>
      </c>
      <c r="AD73" s="746">
        <f t="shared" si="14"/>
        <v>10.116169587714367</v>
      </c>
      <c r="AE73" s="746">
        <f t="shared" si="14"/>
        <v>10.342415690638704</v>
      </c>
    </row>
    <row r="74" spans="1:31" ht="12.75" customHeight="1">
      <c r="B74" s="771" t="s">
        <v>573</v>
      </c>
      <c r="C74" s="770">
        <f t="shared" ref="C74:H74" si="15">+C73/C61</f>
        <v>0.20077162839584239</v>
      </c>
      <c r="D74" s="770">
        <f t="shared" si="15"/>
        <v>0.20903709155145625</v>
      </c>
      <c r="E74" s="835">
        <f t="shared" si="15"/>
        <v>0.16473810959751956</v>
      </c>
      <c r="F74" s="763">
        <f t="shared" si="15"/>
        <v>0.15466795817782969</v>
      </c>
      <c r="G74" s="727">
        <f t="shared" si="15"/>
        <v>0.15484544150254337</v>
      </c>
      <c r="H74" s="727">
        <f t="shared" si="15"/>
        <v>0.15759974433983134</v>
      </c>
      <c r="I74" s="727">
        <f t="shared" ref="I74:AD74" si="16">+H74-(($H$74-$AE$74)/($AE$37-$I$37))</f>
        <v>0.15679975596074811</v>
      </c>
      <c r="J74" s="727">
        <f t="shared" si="16"/>
        <v>0.15599976758166487</v>
      </c>
      <c r="K74" s="727">
        <f t="shared" si="16"/>
        <v>0.15519977920258163</v>
      </c>
      <c r="L74" s="727">
        <f t="shared" si="16"/>
        <v>0.15439979082349839</v>
      </c>
      <c r="M74" s="727">
        <f t="shared" si="16"/>
        <v>0.15359980244441515</v>
      </c>
      <c r="N74" s="727">
        <f t="shared" si="16"/>
        <v>0.15279981406533191</v>
      </c>
      <c r="O74" s="727">
        <f t="shared" si="16"/>
        <v>0.15199982568624867</v>
      </c>
      <c r="P74" s="727">
        <f t="shared" si="16"/>
        <v>0.15119983730716544</v>
      </c>
      <c r="Q74" s="727">
        <f t="shared" si="16"/>
        <v>0.1503998489280822</v>
      </c>
      <c r="R74" s="727">
        <f t="shared" si="16"/>
        <v>0.14959986054899896</v>
      </c>
      <c r="S74" s="727">
        <f t="shared" si="16"/>
        <v>0.14879987216991572</v>
      </c>
      <c r="T74" s="727">
        <f t="shared" si="16"/>
        <v>0.14799988379083248</v>
      </c>
      <c r="U74" s="727">
        <f t="shared" si="16"/>
        <v>0.14719989541174924</v>
      </c>
      <c r="V74" s="727">
        <f t="shared" si="16"/>
        <v>0.146399907032666</v>
      </c>
      <c r="W74" s="727">
        <f t="shared" si="16"/>
        <v>0.14559991865358277</v>
      </c>
      <c r="X74" s="727">
        <f t="shared" si="16"/>
        <v>0.14479993027449953</v>
      </c>
      <c r="Y74" s="727">
        <f t="shared" si="16"/>
        <v>0.14399994189541629</v>
      </c>
      <c r="Z74" s="727">
        <f t="shared" si="16"/>
        <v>0.14319995351633305</v>
      </c>
      <c r="AA74" s="727">
        <f t="shared" si="16"/>
        <v>0.14239996513724981</v>
      </c>
      <c r="AB74" s="727">
        <f t="shared" si="16"/>
        <v>0.14159997675816657</v>
      </c>
      <c r="AC74" s="727">
        <f t="shared" si="16"/>
        <v>0.14079998837908334</v>
      </c>
      <c r="AD74" s="727">
        <f t="shared" si="16"/>
        <v>0.1400000000000001</v>
      </c>
      <c r="AE74" s="727">
        <v>0.14000000000000001</v>
      </c>
    </row>
    <row r="75" spans="1:31" ht="12.75" customHeight="1">
      <c r="B75" s="771"/>
      <c r="C75" s="770"/>
      <c r="D75" s="770"/>
      <c r="E75" s="835"/>
      <c r="F75" s="763"/>
      <c r="G75" s="727"/>
      <c r="H75" s="727"/>
      <c r="I75" s="727"/>
      <c r="J75" s="727"/>
      <c r="K75" s="727"/>
      <c r="L75" s="727"/>
      <c r="M75" s="727"/>
      <c r="N75" s="727"/>
      <c r="O75" s="727"/>
      <c r="P75" s="727"/>
      <c r="Q75" s="727"/>
      <c r="R75" s="727"/>
      <c r="S75" s="727"/>
      <c r="T75" s="727"/>
      <c r="U75" s="727"/>
      <c r="V75" s="727"/>
      <c r="W75" s="727"/>
      <c r="X75" s="727"/>
      <c r="Y75" s="727"/>
      <c r="Z75" s="727"/>
      <c r="AA75" s="727"/>
      <c r="AB75" s="727"/>
      <c r="AC75" s="727"/>
      <c r="AD75" s="727"/>
      <c r="AE75" s="727"/>
    </row>
    <row r="76" spans="1:31" ht="12.75" customHeight="1">
      <c r="B76" s="769" t="s">
        <v>574</v>
      </c>
      <c r="C76" s="775">
        <f>-Inputs!D9/1000</f>
        <v>0.35370000000000001</v>
      </c>
      <c r="D76" s="775">
        <f>-Inputs!C9/1000</f>
        <v>0.31273000000000001</v>
      </c>
      <c r="E76" s="838">
        <f>-Inputs!B9/1000</f>
        <v>0.24246000000000001</v>
      </c>
      <c r="F76" s="765">
        <f>AVERAGE(C76:E76)</f>
        <v>0.30296333333333336</v>
      </c>
      <c r="G76" s="754">
        <f t="shared" ref="G76:AE76" si="17">AVERAGE(D76:F76)</f>
        <v>0.28605111111111114</v>
      </c>
      <c r="H76" s="754">
        <f t="shared" si="17"/>
        <v>0.27715814814814815</v>
      </c>
      <c r="I76" s="754">
        <f t="shared" si="17"/>
        <v>0.28872419753086426</v>
      </c>
      <c r="J76" s="754">
        <f t="shared" si="17"/>
        <v>0.2839778189300412</v>
      </c>
      <c r="K76" s="754">
        <f t="shared" si="17"/>
        <v>0.2832867215363512</v>
      </c>
      <c r="L76" s="754">
        <f t="shared" si="17"/>
        <v>0.28532957933241887</v>
      </c>
      <c r="M76" s="754">
        <f t="shared" si="17"/>
        <v>0.28419803993293707</v>
      </c>
      <c r="N76" s="754">
        <f t="shared" si="17"/>
        <v>0.28427144693390244</v>
      </c>
      <c r="O76" s="754">
        <f t="shared" si="17"/>
        <v>0.28459968873308616</v>
      </c>
      <c r="P76" s="754">
        <f t="shared" si="17"/>
        <v>0.28435639186664191</v>
      </c>
      <c r="Q76" s="754">
        <f t="shared" si="17"/>
        <v>0.2844091758445435</v>
      </c>
      <c r="R76" s="754">
        <f t="shared" si="17"/>
        <v>0.28445508548142384</v>
      </c>
      <c r="S76" s="754">
        <f t="shared" si="17"/>
        <v>0.28440688439753642</v>
      </c>
      <c r="T76" s="754">
        <f t="shared" si="17"/>
        <v>0.28442371524116794</v>
      </c>
      <c r="U76" s="754">
        <f t="shared" si="17"/>
        <v>0.28442856170670944</v>
      </c>
      <c r="V76" s="754">
        <f t="shared" si="17"/>
        <v>0.2844197204484713</v>
      </c>
      <c r="W76" s="754">
        <f t="shared" si="17"/>
        <v>0.28442399913211625</v>
      </c>
      <c r="X76" s="754">
        <f t="shared" si="17"/>
        <v>0.28442409376243233</v>
      </c>
      <c r="Y76" s="754">
        <f t="shared" si="17"/>
        <v>0.28442260444767326</v>
      </c>
      <c r="Z76" s="754">
        <f t="shared" si="17"/>
        <v>0.28442356578074057</v>
      </c>
      <c r="AA76" s="754">
        <f t="shared" si="17"/>
        <v>0.28442342133028203</v>
      </c>
      <c r="AB76" s="754">
        <f t="shared" si="17"/>
        <v>0.28442319718623194</v>
      </c>
      <c r="AC76" s="754">
        <f t="shared" si="17"/>
        <v>0.28442339476575151</v>
      </c>
      <c r="AD76" s="754">
        <f t="shared" si="17"/>
        <v>0.28442333776075518</v>
      </c>
      <c r="AE76" s="754">
        <f t="shared" si="17"/>
        <v>0.28442330990424619</v>
      </c>
    </row>
    <row r="77" spans="1:31" ht="12.75" customHeight="1">
      <c r="B77" s="771"/>
      <c r="C77" s="770"/>
      <c r="D77" s="770"/>
      <c r="E77" s="835"/>
      <c r="F77" s="763"/>
      <c r="G77" s="727"/>
      <c r="H77" s="727"/>
      <c r="I77" s="727"/>
      <c r="J77" s="727"/>
      <c r="K77" s="727"/>
      <c r="L77" s="727"/>
      <c r="M77" s="727"/>
      <c r="N77" s="727"/>
      <c r="O77" s="727"/>
      <c r="P77" s="727"/>
      <c r="Q77" s="727"/>
      <c r="R77" s="727"/>
      <c r="S77" s="727"/>
      <c r="T77" s="727"/>
      <c r="U77" s="727"/>
      <c r="V77" s="727"/>
      <c r="W77" s="727"/>
      <c r="X77" s="727"/>
      <c r="Y77" s="727"/>
      <c r="Z77" s="727"/>
      <c r="AA77" s="727"/>
      <c r="AB77" s="727"/>
      <c r="AC77" s="727"/>
      <c r="AD77" s="727"/>
      <c r="AE77" s="727"/>
    </row>
    <row r="78" spans="1:31" ht="12.75" customHeight="1">
      <c r="B78" s="769" t="s">
        <v>301</v>
      </c>
      <c r="C78" s="767">
        <f>-Inputs!D10/1000</f>
        <v>1.3625099999999999</v>
      </c>
      <c r="D78" s="767">
        <f>-Inputs!C10/1000</f>
        <v>1.3660699999999999</v>
      </c>
      <c r="E78" s="833">
        <f>-Inputs!B10/1000</f>
        <v>1.2410099999999999</v>
      </c>
      <c r="F78" s="717">
        <f>+(F73-F76)*F79</f>
        <v>1.2815091666666667</v>
      </c>
      <c r="G78" s="717">
        <f t="shared" ref="G78:AE78" si="18">+(G73-G76)*G79</f>
        <v>1.4124872222222222</v>
      </c>
      <c r="H78" s="717">
        <f t="shared" si="18"/>
        <v>1.5334604629629629</v>
      </c>
      <c r="I78" s="717">
        <f t="shared" si="18"/>
        <v>1.5065698624018526</v>
      </c>
      <c r="J78" s="717">
        <f t="shared" si="18"/>
        <v>1.5483321458233339</v>
      </c>
      <c r="K78" s="717">
        <f t="shared" si="18"/>
        <v>1.6320625267654834</v>
      </c>
      <c r="L78" s="717">
        <f t="shared" si="18"/>
        <v>1.7292457407618311</v>
      </c>
      <c r="M78" s="717">
        <f t="shared" si="18"/>
        <v>1.8343213844850772</v>
      </c>
      <c r="N78" s="717">
        <f t="shared" si="18"/>
        <v>1.8671016378167804</v>
      </c>
      <c r="O78" s="717">
        <f t="shared" si="18"/>
        <v>1.8993713551299085</v>
      </c>
      <c r="P78" s="717">
        <f t="shared" si="18"/>
        <v>1.9328757274078898</v>
      </c>
      <c r="Q78" s="717">
        <f t="shared" si="18"/>
        <v>1.9668412277030749</v>
      </c>
      <c r="R78" s="717">
        <f t="shared" si="18"/>
        <v>2.0013476803447086</v>
      </c>
      <c r="S78" s="717">
        <f t="shared" si="18"/>
        <v>2.0363964890397654</v>
      </c>
      <c r="T78" s="717">
        <f t="shared" si="18"/>
        <v>2.0719400842726929</v>
      </c>
      <c r="U78" s="717">
        <f t="shared" si="18"/>
        <v>2.1080195267637882</v>
      </c>
      <c r="V78" s="717">
        <f t="shared" si="18"/>
        <v>2.1446496975476883</v>
      </c>
      <c r="W78" s="717">
        <f t="shared" si="18"/>
        <v>2.1818252366334634</v>
      </c>
      <c r="X78" s="717">
        <f t="shared" si="18"/>
        <v>2.219556429189613</v>
      </c>
      <c r="Y78" s="717">
        <f t="shared" si="18"/>
        <v>2.2578486469355443</v>
      </c>
      <c r="Z78" s="717">
        <f t="shared" si="18"/>
        <v>2.2967071288790346</v>
      </c>
      <c r="AA78" s="717">
        <f t="shared" si="18"/>
        <v>2.3361391327880443</v>
      </c>
      <c r="AB78" s="717">
        <f t="shared" si="18"/>
        <v>2.3761506350984076</v>
      </c>
      <c r="AC78" s="717">
        <f t="shared" si="18"/>
        <v>2.4167476622322006</v>
      </c>
      <c r="AD78" s="717">
        <f t="shared" si="18"/>
        <v>2.4579365624884031</v>
      </c>
      <c r="AE78" s="717">
        <f t="shared" si="18"/>
        <v>2.5144980951836144</v>
      </c>
    </row>
    <row r="79" spans="1:31" ht="12.75" customHeight="1">
      <c r="B79" s="771" t="s">
        <v>503</v>
      </c>
      <c r="C79" s="768">
        <f>E20</f>
        <v>0.23414606482833997</v>
      </c>
      <c r="D79" s="768">
        <f>D20</f>
        <v>0.22712679376913064</v>
      </c>
      <c r="E79" s="834">
        <f>C20</f>
        <v>0.23855025661726542</v>
      </c>
      <c r="F79" s="751">
        <v>0.25</v>
      </c>
      <c r="G79" s="751">
        <v>0.25</v>
      </c>
      <c r="H79" s="751">
        <v>0.25</v>
      </c>
      <c r="I79" s="751">
        <v>0.25</v>
      </c>
      <c r="J79" s="751">
        <v>0.25</v>
      </c>
      <c r="K79" s="751">
        <v>0.25</v>
      </c>
      <c r="L79" s="751">
        <v>0.25</v>
      </c>
      <c r="M79" s="751">
        <v>0.25</v>
      </c>
      <c r="N79" s="751">
        <v>0.25</v>
      </c>
      <c r="O79" s="751">
        <v>0.25</v>
      </c>
      <c r="P79" s="751">
        <v>0.25</v>
      </c>
      <c r="Q79" s="751">
        <v>0.25</v>
      </c>
      <c r="R79" s="751">
        <v>0.25</v>
      </c>
      <c r="S79" s="751">
        <v>0.25</v>
      </c>
      <c r="T79" s="751">
        <v>0.25</v>
      </c>
      <c r="U79" s="751">
        <v>0.25</v>
      </c>
      <c r="V79" s="751">
        <v>0.25</v>
      </c>
      <c r="W79" s="751">
        <v>0.25</v>
      </c>
      <c r="X79" s="751">
        <v>0.25</v>
      </c>
      <c r="Y79" s="751">
        <v>0.25</v>
      </c>
      <c r="Z79" s="751">
        <v>0.25</v>
      </c>
      <c r="AA79" s="751">
        <v>0.25</v>
      </c>
      <c r="AB79" s="751">
        <v>0.25</v>
      </c>
      <c r="AC79" s="751">
        <v>0.25</v>
      </c>
      <c r="AD79" s="751">
        <v>0.25</v>
      </c>
      <c r="AE79" s="751">
        <v>0.25</v>
      </c>
    </row>
    <row r="80" spans="1:31" ht="12.75" customHeight="1">
      <c r="B80" s="771"/>
      <c r="C80" s="769"/>
      <c r="D80" s="769"/>
      <c r="E80" s="831"/>
      <c r="F80" s="751"/>
      <c r="G80" s="751"/>
      <c r="H80" s="751"/>
      <c r="I80" s="751"/>
      <c r="J80" s="751"/>
      <c r="K80" s="751"/>
      <c r="L80" s="751"/>
      <c r="M80" s="751"/>
      <c r="N80" s="751"/>
      <c r="O80" s="751"/>
      <c r="P80" s="751"/>
      <c r="Q80" s="751"/>
      <c r="R80" s="751"/>
      <c r="S80" s="751"/>
      <c r="T80" s="751"/>
      <c r="U80" s="751"/>
      <c r="V80" s="751"/>
      <c r="W80" s="751"/>
      <c r="X80" s="751"/>
      <c r="Y80" s="751"/>
      <c r="Z80" s="751"/>
      <c r="AA80" s="751"/>
      <c r="AB80" s="751"/>
      <c r="AC80" s="751"/>
      <c r="AD80" s="751"/>
      <c r="AE80" s="751"/>
    </row>
    <row r="81" spans="1:31" ht="12.75" customHeight="1">
      <c r="B81" s="769" t="s">
        <v>65</v>
      </c>
      <c r="C81" s="773">
        <f>+Inputs!D11/1000</f>
        <v>4.45655</v>
      </c>
      <c r="D81" s="773">
        <f>+Inputs!D11/1000</f>
        <v>4.45655</v>
      </c>
      <c r="E81" s="839">
        <f>+Inputs!B11/1000</f>
        <v>3.96129</v>
      </c>
      <c r="F81" s="755">
        <f>+F73-F76-F78</f>
        <v>3.8445274999999999</v>
      </c>
      <c r="G81" s="755">
        <f t="shared" ref="G81:AE81" si="19">+G73-G76-G78</f>
        <v>4.2374616666666665</v>
      </c>
      <c r="H81" s="755">
        <f t="shared" si="19"/>
        <v>4.6003813888888887</v>
      </c>
      <c r="I81" s="755">
        <f t="shared" si="19"/>
        <v>4.5197095872055577</v>
      </c>
      <c r="J81" s="755">
        <f t="shared" si="19"/>
        <v>4.6449964374700015</v>
      </c>
      <c r="K81" s="755">
        <f t="shared" si="19"/>
        <v>4.8961875802964503</v>
      </c>
      <c r="L81" s="755">
        <f t="shared" si="19"/>
        <v>5.1877372222854934</v>
      </c>
      <c r="M81" s="755">
        <f t="shared" si="19"/>
        <v>5.5029641534552312</v>
      </c>
      <c r="N81" s="755">
        <f t="shared" si="19"/>
        <v>5.601304913450341</v>
      </c>
      <c r="O81" s="755">
        <f t="shared" si="19"/>
        <v>5.698114065389726</v>
      </c>
      <c r="P81" s="755">
        <f t="shared" si="19"/>
        <v>5.7986271822236697</v>
      </c>
      <c r="Q81" s="755">
        <f t="shared" si="19"/>
        <v>5.9005236831092249</v>
      </c>
      <c r="R81" s="755">
        <f t="shared" si="19"/>
        <v>6.0040430410341257</v>
      </c>
      <c r="S81" s="755">
        <f t="shared" si="19"/>
        <v>6.1091894671192968</v>
      </c>
      <c r="T81" s="755">
        <f t="shared" si="19"/>
        <v>6.2158202528180784</v>
      </c>
      <c r="U81" s="755">
        <f t="shared" si="19"/>
        <v>6.3240585802913643</v>
      </c>
      <c r="V81" s="755">
        <f t="shared" si="19"/>
        <v>6.4339490926430649</v>
      </c>
      <c r="W81" s="755">
        <f t="shared" si="19"/>
        <v>6.5454757099003906</v>
      </c>
      <c r="X81" s="755">
        <f t="shared" si="19"/>
        <v>6.6586692875688396</v>
      </c>
      <c r="Y81" s="755">
        <f t="shared" si="19"/>
        <v>6.773545940806633</v>
      </c>
      <c r="Z81" s="755">
        <f t="shared" si="19"/>
        <v>6.8901213866371034</v>
      </c>
      <c r="AA81" s="755">
        <f t="shared" si="19"/>
        <v>7.0084173983641325</v>
      </c>
      <c r="AB81" s="755">
        <f t="shared" si="19"/>
        <v>7.1284519052952229</v>
      </c>
      <c r="AC81" s="755">
        <f t="shared" si="19"/>
        <v>7.2502429866966018</v>
      </c>
      <c r="AD81" s="755">
        <f t="shared" si="19"/>
        <v>7.3738096874652097</v>
      </c>
      <c r="AE81" s="755">
        <f t="shared" si="19"/>
        <v>7.5434942855508433</v>
      </c>
    </row>
    <row r="82" spans="1:31" ht="12.75" customHeight="1">
      <c r="B82" s="771"/>
      <c r="C82" s="769"/>
      <c r="D82" s="769"/>
      <c r="E82" s="831"/>
      <c r="F82" s="751"/>
      <c r="G82" s="751"/>
      <c r="H82" s="751"/>
      <c r="I82" s="751"/>
      <c r="J82" s="751"/>
      <c r="K82" s="751"/>
      <c r="L82" s="751"/>
      <c r="M82" s="751"/>
      <c r="N82" s="751"/>
      <c r="O82" s="751"/>
      <c r="P82" s="751"/>
      <c r="Q82" s="751"/>
      <c r="R82" s="751"/>
      <c r="S82" s="751"/>
      <c r="T82" s="751"/>
      <c r="U82" s="751"/>
      <c r="V82" s="751"/>
      <c r="W82" s="751"/>
      <c r="X82" s="751"/>
      <c r="Y82" s="751"/>
      <c r="Z82" s="751"/>
      <c r="AA82" s="751"/>
      <c r="AB82" s="751"/>
      <c r="AC82" s="751"/>
      <c r="AD82" s="751"/>
      <c r="AE82" s="751"/>
    </row>
    <row r="83" spans="1:31" ht="12.75" customHeight="1">
      <c r="A83" s="749" t="s">
        <v>526</v>
      </c>
      <c r="B83" s="748" t="s">
        <v>575</v>
      </c>
      <c r="C83" s="595"/>
      <c r="D83" s="595"/>
      <c r="E83" s="832"/>
      <c r="F83" s="595"/>
      <c r="G83" s="595"/>
      <c r="H83" s="595"/>
      <c r="I83" s="595"/>
      <c r="J83" s="595"/>
      <c r="K83" s="595"/>
      <c r="L83" s="595"/>
      <c r="M83" s="595"/>
      <c r="N83" s="595"/>
      <c r="O83" s="595"/>
      <c r="P83" s="595"/>
      <c r="Q83" s="595"/>
      <c r="R83" s="595"/>
      <c r="S83" s="595"/>
      <c r="T83" s="595"/>
      <c r="U83" s="595"/>
      <c r="V83" s="595"/>
      <c r="W83" s="595"/>
      <c r="X83" s="595"/>
      <c r="Y83" s="595"/>
      <c r="Z83" s="595"/>
      <c r="AA83" s="595"/>
      <c r="AB83" s="595"/>
      <c r="AC83" s="595"/>
      <c r="AD83" s="595"/>
      <c r="AE83" s="595"/>
    </row>
    <row r="84" spans="1:31" ht="12.75" customHeight="1">
      <c r="B84" s="771"/>
      <c r="C84" s="769"/>
      <c r="D84" s="769"/>
      <c r="E84" s="831"/>
      <c r="F84" s="751"/>
      <c r="G84" s="751"/>
      <c r="H84" s="751"/>
      <c r="I84" s="751"/>
      <c r="J84" s="751"/>
      <c r="K84" s="751"/>
      <c r="L84" s="751"/>
      <c r="M84" s="751"/>
      <c r="N84" s="751"/>
      <c r="O84" s="751"/>
      <c r="P84" s="751"/>
      <c r="Q84" s="751"/>
      <c r="R84" s="751"/>
      <c r="S84" s="751"/>
      <c r="T84" s="751"/>
      <c r="U84" s="751"/>
      <c r="V84" s="751"/>
      <c r="W84" s="751"/>
      <c r="X84" s="751"/>
      <c r="Y84" s="751"/>
      <c r="Z84" s="751"/>
      <c r="AA84" s="751"/>
      <c r="AB84" s="751"/>
      <c r="AC84" s="751"/>
      <c r="AD84" s="751"/>
      <c r="AE84" s="751"/>
    </row>
    <row r="85" spans="1:31" ht="12.75" customHeight="1">
      <c r="B85" s="769" t="s">
        <v>576</v>
      </c>
      <c r="C85" s="773">
        <f>+'Fin. Data'!D39</f>
        <v>878.7</v>
      </c>
      <c r="D85" s="773">
        <f>+'Fin. Data'!C39</f>
        <v>937</v>
      </c>
      <c r="E85" s="839">
        <f>+'Fin. Data'!B39</f>
        <v>1075.4000000000001</v>
      </c>
      <c r="F85" s="717">
        <f t="shared" ref="F85:AD85" si="20">+E85+F94-E91</f>
        <v>1137.2348999999999</v>
      </c>
      <c r="G85" s="717">
        <f t="shared" si="20"/>
        <v>1213.9358906680543</v>
      </c>
      <c r="H85" s="717">
        <f t="shared" si="20"/>
        <v>1294.6614865964298</v>
      </c>
      <c r="I85" s="717">
        <f t="shared" si="20"/>
        <v>1363.4608788605458</v>
      </c>
      <c r="J85" s="717">
        <f t="shared" si="20"/>
        <v>1349.9274796071131</v>
      </c>
      <c r="K85" s="717">
        <f t="shared" si="20"/>
        <v>1344.3599345789469</v>
      </c>
      <c r="L85" s="717">
        <f t="shared" si="20"/>
        <v>1347.021680970181</v>
      </c>
      <c r="M85" s="717">
        <f t="shared" si="20"/>
        <v>1358.3281064512789</v>
      </c>
      <c r="N85" s="717">
        <f t="shared" si="20"/>
        <v>1371.6779263598155</v>
      </c>
      <c r="O85" s="717">
        <f t="shared" si="20"/>
        <v>1386.9168172822529</v>
      </c>
      <c r="P85" s="717">
        <f t="shared" si="20"/>
        <v>1404.0719218883235</v>
      </c>
      <c r="Q85" s="717">
        <f t="shared" si="20"/>
        <v>1422.9515364003837</v>
      </c>
      <c r="R85" s="717">
        <f t="shared" si="20"/>
        <v>1443.4858742110182</v>
      </c>
      <c r="S85" s="717">
        <f t="shared" si="20"/>
        <v>1465.6030428980148</v>
      </c>
      <c r="T85" s="717">
        <f t="shared" si="20"/>
        <v>1489.2100294065374</v>
      </c>
      <c r="U85" s="717">
        <f t="shared" si="20"/>
        <v>1514.2484529878566</v>
      </c>
      <c r="V85" s="717">
        <f t="shared" si="20"/>
        <v>1540.6628870538834</v>
      </c>
      <c r="W85" s="717">
        <f t="shared" si="20"/>
        <v>1568.4007146433614</v>
      </c>
      <c r="X85" s="717">
        <f t="shared" si="20"/>
        <v>1597.4210328103575</v>
      </c>
      <c r="Y85" s="717">
        <f t="shared" si="20"/>
        <v>1627.687208150892</v>
      </c>
      <c r="Z85" s="717">
        <f t="shared" si="20"/>
        <v>1659.1677862114975</v>
      </c>
      <c r="AA85" s="717">
        <f t="shared" si="20"/>
        <v>1691.837365163959</v>
      </c>
      <c r="AB85" s="717">
        <f t="shared" si="20"/>
        <v>1725.6746949954797</v>
      </c>
      <c r="AC85" s="717">
        <f t="shared" si="20"/>
        <v>1760.6627598391979</v>
      </c>
      <c r="AD85" s="717">
        <f t="shared" si="20"/>
        <v>1796.7885704262951</v>
      </c>
      <c r="AE85" s="717">
        <f t="shared" ref="AE85" si="21">+AD85+AE94-AD91</f>
        <v>1834.0425531585031</v>
      </c>
    </row>
    <row r="86" spans="1:31" ht="12.75" customHeight="1">
      <c r="B86" s="769"/>
      <c r="C86" s="773"/>
      <c r="D86" s="773"/>
      <c r="E86" s="839"/>
      <c r="F86" s="717"/>
      <c r="G86" s="717"/>
      <c r="H86" s="717"/>
      <c r="I86" s="717"/>
      <c r="J86" s="717"/>
      <c r="K86" s="717"/>
      <c r="L86" s="717"/>
      <c r="M86" s="717"/>
      <c r="N86" s="717"/>
      <c r="O86" s="717"/>
      <c r="P86" s="717"/>
      <c r="Q86" s="717"/>
      <c r="R86" s="717"/>
      <c r="S86" s="717"/>
      <c r="T86" s="717"/>
      <c r="U86" s="717"/>
      <c r="V86" s="717"/>
      <c r="W86" s="717"/>
      <c r="X86" s="717"/>
      <c r="Y86" s="717"/>
      <c r="Z86" s="717"/>
      <c r="AA86" s="717"/>
      <c r="AB86" s="717"/>
      <c r="AC86" s="717"/>
      <c r="AD86" s="717"/>
      <c r="AE86" s="717"/>
    </row>
    <row r="87" spans="1:31" ht="12.75" customHeight="1">
      <c r="B87" s="769" t="s">
        <v>311</v>
      </c>
      <c r="C87" s="870">
        <v>6541.8700000000008</v>
      </c>
      <c r="D87" s="870">
        <v>6357.9699999999993</v>
      </c>
      <c r="E87" s="869">
        <v>5138.3</v>
      </c>
      <c r="F87" s="868">
        <f t="shared" ref="F87:AD87" si="22">+E87-$E$87*0.04</f>
        <v>4932.768</v>
      </c>
      <c r="G87" s="868">
        <f t="shared" si="22"/>
        <v>4727.2359999999999</v>
      </c>
      <c r="H87" s="868">
        <f t="shared" si="22"/>
        <v>4521.7039999999997</v>
      </c>
      <c r="I87" s="868">
        <f t="shared" si="22"/>
        <v>4316.1719999999996</v>
      </c>
      <c r="J87" s="868">
        <f t="shared" si="22"/>
        <v>4110.6399999999994</v>
      </c>
      <c r="K87" s="868">
        <f t="shared" si="22"/>
        <v>3905.1079999999993</v>
      </c>
      <c r="L87" s="868">
        <f t="shared" si="22"/>
        <v>3699.5759999999991</v>
      </c>
      <c r="M87" s="868">
        <f t="shared" si="22"/>
        <v>3494.043999999999</v>
      </c>
      <c r="N87" s="868">
        <f t="shared" si="22"/>
        <v>3288.5119999999988</v>
      </c>
      <c r="O87" s="868">
        <f t="shared" si="22"/>
        <v>3082.9799999999987</v>
      </c>
      <c r="P87" s="868">
        <f t="shared" si="22"/>
        <v>2877.4479999999985</v>
      </c>
      <c r="Q87" s="868">
        <f t="shared" si="22"/>
        <v>2671.9159999999983</v>
      </c>
      <c r="R87" s="868">
        <f t="shared" si="22"/>
        <v>2466.3839999999982</v>
      </c>
      <c r="S87" s="868">
        <f t="shared" si="22"/>
        <v>2260.851999999998</v>
      </c>
      <c r="T87" s="868">
        <f t="shared" si="22"/>
        <v>2055.3199999999979</v>
      </c>
      <c r="U87" s="868">
        <f t="shared" si="22"/>
        <v>1849.787999999998</v>
      </c>
      <c r="V87" s="868">
        <f t="shared" si="22"/>
        <v>1644.255999999998</v>
      </c>
      <c r="W87" s="868">
        <f t="shared" si="22"/>
        <v>1438.7239999999981</v>
      </c>
      <c r="X87" s="868">
        <f t="shared" si="22"/>
        <v>1233.1919999999982</v>
      </c>
      <c r="Y87" s="868">
        <f t="shared" si="22"/>
        <v>1027.6599999999983</v>
      </c>
      <c r="Z87" s="868">
        <f t="shared" si="22"/>
        <v>822.12799999999822</v>
      </c>
      <c r="AA87" s="868">
        <f t="shared" si="22"/>
        <v>616.59599999999818</v>
      </c>
      <c r="AB87" s="868">
        <f t="shared" si="22"/>
        <v>411.06399999999815</v>
      </c>
      <c r="AC87" s="868">
        <f t="shared" si="22"/>
        <v>205.53199999999813</v>
      </c>
      <c r="AD87" s="868">
        <f t="shared" si="22"/>
        <v>-1.8758328224066645E-12</v>
      </c>
      <c r="AE87" s="868">
        <v>0</v>
      </c>
    </row>
    <row r="88" spans="1:31" ht="12.75" customHeight="1">
      <c r="B88" s="769"/>
      <c r="C88" s="769"/>
      <c r="D88" s="769"/>
      <c r="E88" s="831"/>
    </row>
    <row r="89" spans="1:31" ht="12.75" customHeight="1">
      <c r="A89" s="749" t="s">
        <v>526</v>
      </c>
      <c r="B89" s="737" t="s">
        <v>577</v>
      </c>
      <c r="C89" s="595"/>
      <c r="D89" s="595"/>
      <c r="E89" s="832"/>
      <c r="F89" s="595"/>
      <c r="G89" s="595"/>
      <c r="H89" s="595"/>
      <c r="I89" s="595"/>
      <c r="J89" s="595"/>
      <c r="K89" s="595"/>
      <c r="L89" s="595"/>
      <c r="M89" s="595"/>
      <c r="N89" s="595"/>
      <c r="O89" s="595"/>
      <c r="P89" s="595"/>
      <c r="Q89" s="595"/>
      <c r="R89" s="595"/>
      <c r="S89" s="595"/>
      <c r="T89" s="595"/>
      <c r="U89" s="595"/>
      <c r="V89" s="595"/>
      <c r="W89" s="595"/>
      <c r="X89" s="595"/>
      <c r="Y89" s="595"/>
      <c r="Z89" s="595"/>
      <c r="AA89" s="595"/>
      <c r="AB89" s="595"/>
      <c r="AC89" s="595"/>
      <c r="AD89" s="595"/>
      <c r="AE89" s="595"/>
    </row>
    <row r="90" spans="1:31" ht="3.95" customHeight="1">
      <c r="B90" s="769"/>
      <c r="C90" s="769"/>
      <c r="D90" s="769"/>
      <c r="E90" s="831"/>
    </row>
    <row r="91" spans="1:31" ht="12.75" customHeight="1">
      <c r="B91" s="769" t="s">
        <v>578</v>
      </c>
      <c r="C91" s="767">
        <f>+'Fin. Data'!D14</f>
        <v>85.95</v>
      </c>
      <c r="D91" s="767">
        <f>+'Fin. Data'!C14</f>
        <v>87.08</v>
      </c>
      <c r="E91" s="833">
        <f>+'Fin. Data'!B14</f>
        <v>110.16</v>
      </c>
      <c r="F91" s="717">
        <f t="shared" ref="F91:AC91" si="23">F92*F85</f>
        <v>111.14050933194552</v>
      </c>
      <c r="G91" s="717">
        <f t="shared" si="23"/>
        <v>118.6015040716246</v>
      </c>
      <c r="H91" s="717">
        <f t="shared" si="23"/>
        <v>128.54477885005119</v>
      </c>
      <c r="I91" s="717">
        <f t="shared" si="23"/>
        <v>133.94504381959769</v>
      </c>
      <c r="J91" s="717">
        <f t="shared" si="23"/>
        <v>132.84515395537309</v>
      </c>
      <c r="K91" s="717">
        <f t="shared" si="23"/>
        <v>132.61503255711185</v>
      </c>
      <c r="L91" s="717">
        <f t="shared" si="23"/>
        <v>132.58895735203311</v>
      </c>
      <c r="M91" s="717">
        <f t="shared" si="23"/>
        <v>133.78888135434667</v>
      </c>
      <c r="N91" s="717">
        <f t="shared" si="23"/>
        <v>135.14316848870601</v>
      </c>
      <c r="O91" s="717">
        <f t="shared" si="23"/>
        <v>136.58839398725186</v>
      </c>
      <c r="P91" s="717">
        <f t="shared" si="23"/>
        <v>138.30235754303808</v>
      </c>
      <c r="Q91" s="717">
        <f t="shared" si="23"/>
        <v>140.16469460604765</v>
      </c>
      <c r="R91" s="717">
        <f t="shared" si="23"/>
        <v>142.17718776042</v>
      </c>
      <c r="S91" s="717">
        <f t="shared" si="23"/>
        <v>144.36161667562712</v>
      </c>
      <c r="T91" s="717">
        <f t="shared" si="23"/>
        <v>146.68635427060696</v>
      </c>
      <c r="U91" s="717">
        <f t="shared" si="23"/>
        <v>149.15093480486138</v>
      </c>
      <c r="V91" s="717">
        <f t="shared" si="23"/>
        <v>151.75404702214453</v>
      </c>
      <c r="W91" s="717">
        <f t="shared" si="23"/>
        <v>154.48587828032396</v>
      </c>
      <c r="X91" s="717">
        <f t="shared" si="23"/>
        <v>157.34410770368737</v>
      </c>
      <c r="Y91" s="717">
        <f t="shared" si="23"/>
        <v>160.32556685289967</v>
      </c>
      <c r="Z91" s="717">
        <f t="shared" si="23"/>
        <v>163.42626865034532</v>
      </c>
      <c r="AA91" s="717">
        <f t="shared" si="23"/>
        <v>166.64416238980007</v>
      </c>
      <c r="AB91" s="717">
        <f t="shared" si="23"/>
        <v>169.97715609802856</v>
      </c>
      <c r="AC91" s="717">
        <f t="shared" si="23"/>
        <v>173.42341658698592</v>
      </c>
      <c r="AD91" s="717">
        <f t="shared" ref="AD91:AE91" si="24">AD92*AD85</f>
        <v>176.98177085959387</v>
      </c>
      <c r="AE91" s="717">
        <f t="shared" si="24"/>
        <v>180.65125806405641</v>
      </c>
    </row>
    <row r="92" spans="1:31" ht="12.75" customHeight="1">
      <c r="B92" s="771" t="s">
        <v>579</v>
      </c>
      <c r="C92" s="768">
        <f>E17</f>
        <v>9.7814953909184016E-2</v>
      </c>
      <c r="D92" s="768">
        <f>D17</f>
        <v>9.2934898612593381E-2</v>
      </c>
      <c r="E92" s="834">
        <f>C17</f>
        <v>0.10243630277106192</v>
      </c>
      <c r="F92" s="763">
        <f>AVERAGE(C92:E92)</f>
        <v>9.7728718430946437E-2</v>
      </c>
      <c r="G92" s="727">
        <f t="shared" ref="G92:AE92" si="25">AVERAGE(D92:F92)</f>
        <v>9.7699973271533902E-2</v>
      </c>
      <c r="H92" s="727">
        <f t="shared" si="25"/>
        <v>9.9288331491180756E-2</v>
      </c>
      <c r="I92" s="727">
        <f t="shared" si="25"/>
        <v>9.8239007731220365E-2</v>
      </c>
      <c r="J92" s="727">
        <f t="shared" si="25"/>
        <v>9.8409104164645003E-2</v>
      </c>
      <c r="K92" s="727">
        <f t="shared" si="25"/>
        <v>9.8645481129015375E-2</v>
      </c>
      <c r="L92" s="727">
        <f t="shared" si="25"/>
        <v>9.8431197674960239E-2</v>
      </c>
      <c r="M92" s="727">
        <f t="shared" si="25"/>
        <v>9.8495260989540201E-2</v>
      </c>
      <c r="N92" s="727">
        <f t="shared" si="25"/>
        <v>9.8523979931171943E-2</v>
      </c>
      <c r="O92" s="727">
        <f t="shared" si="25"/>
        <v>9.8483479531890794E-2</v>
      </c>
      <c r="P92" s="727">
        <f t="shared" si="25"/>
        <v>9.8500906817534317E-2</v>
      </c>
      <c r="Q92" s="727">
        <f t="shared" si="25"/>
        <v>9.8502788760199023E-2</v>
      </c>
      <c r="R92" s="727">
        <f t="shared" si="25"/>
        <v>9.8495725036541373E-2</v>
      </c>
      <c r="S92" s="727">
        <f t="shared" si="25"/>
        <v>9.84998068714249E-2</v>
      </c>
      <c r="T92" s="727">
        <f t="shared" si="25"/>
        <v>9.8499440222721765E-2</v>
      </c>
      <c r="U92" s="727">
        <f t="shared" si="25"/>
        <v>9.8498324043562679E-2</v>
      </c>
      <c r="V92" s="727">
        <f t="shared" si="25"/>
        <v>9.8499190379236448E-2</v>
      </c>
      <c r="W92" s="727">
        <f t="shared" si="25"/>
        <v>9.8498984881840293E-2</v>
      </c>
      <c r="X92" s="727">
        <f t="shared" si="25"/>
        <v>9.849883310154646E-2</v>
      </c>
      <c r="Y92" s="727">
        <f t="shared" si="25"/>
        <v>9.8499002787541076E-2</v>
      </c>
      <c r="Z92" s="727">
        <f t="shared" si="25"/>
        <v>9.8498940256975934E-2</v>
      </c>
      <c r="AA92" s="727">
        <f t="shared" si="25"/>
        <v>9.8498925382021152E-2</v>
      </c>
      <c r="AB92" s="727">
        <f t="shared" si="25"/>
        <v>9.8498956142179392E-2</v>
      </c>
      <c r="AC92" s="727">
        <f t="shared" si="25"/>
        <v>9.8498940593725492E-2</v>
      </c>
      <c r="AD92" s="727">
        <f>AVERAGE(AA92:AC92)</f>
        <v>9.8498940705975355E-2</v>
      </c>
      <c r="AE92" s="727">
        <f t="shared" si="25"/>
        <v>9.8498945813960084E-2</v>
      </c>
    </row>
    <row r="93" spans="1:31" ht="12.75" customHeight="1">
      <c r="B93" s="769"/>
      <c r="C93" s="769"/>
      <c r="D93" s="769"/>
      <c r="E93" s="831"/>
    </row>
    <row r="94" spans="1:31" ht="12.75" customHeight="1">
      <c r="B94" s="769" t="s">
        <v>580</v>
      </c>
      <c r="C94" s="773">
        <f>-Inputs!D64</f>
        <v>65.17</v>
      </c>
      <c r="D94" s="773">
        <f>-Inputs!C64</f>
        <v>57.21</v>
      </c>
      <c r="E94" s="839">
        <f>-Inputs!B64</f>
        <v>99.8</v>
      </c>
      <c r="F94" s="752">
        <f t="shared" ref="F94:AC94" si="26">F95*F61*1000</f>
        <v>171.99489999999997</v>
      </c>
      <c r="G94" s="752">
        <f t="shared" si="26"/>
        <v>187.8415</v>
      </c>
      <c r="H94" s="752">
        <f t="shared" si="26"/>
        <v>199.3271</v>
      </c>
      <c r="I94" s="752">
        <f t="shared" si="26"/>
        <v>197.34417111416727</v>
      </c>
      <c r="J94" s="752">
        <f t="shared" si="26"/>
        <v>120.41164456616507</v>
      </c>
      <c r="K94" s="752">
        <f t="shared" si="26"/>
        <v>127.27760892720677</v>
      </c>
      <c r="L94" s="752">
        <f t="shared" si="26"/>
        <v>135.27677894834599</v>
      </c>
      <c r="M94" s="752">
        <f t="shared" si="26"/>
        <v>143.89538283313101</v>
      </c>
      <c r="N94" s="752">
        <f t="shared" si="26"/>
        <v>147.13870126288319</v>
      </c>
      <c r="O94" s="752">
        <f t="shared" si="26"/>
        <v>150.38205941114342</v>
      </c>
      <c r="P94" s="752">
        <f t="shared" si="26"/>
        <v>153.74349859332253</v>
      </c>
      <c r="Q94" s="752">
        <f t="shared" si="26"/>
        <v>157.18197205509847</v>
      </c>
      <c r="R94" s="752">
        <f t="shared" si="26"/>
        <v>160.69903241668237</v>
      </c>
      <c r="S94" s="752">
        <f t="shared" si="26"/>
        <v>164.29435644741645</v>
      </c>
      <c r="T94" s="752">
        <f t="shared" si="26"/>
        <v>167.9686031841498</v>
      </c>
      <c r="U94" s="752">
        <f t="shared" si="26"/>
        <v>171.72477785192615</v>
      </c>
      <c r="V94" s="752">
        <f t="shared" si="26"/>
        <v>175.56536887088825</v>
      </c>
      <c r="W94" s="752">
        <f t="shared" si="26"/>
        <v>179.49187461162251</v>
      </c>
      <c r="X94" s="752">
        <f t="shared" si="26"/>
        <v>183.50619644732009</v>
      </c>
      <c r="Y94" s="752">
        <f t="shared" si="26"/>
        <v>187.61028304422194</v>
      </c>
      <c r="Z94" s="752">
        <f t="shared" si="26"/>
        <v>191.80614491350491</v>
      </c>
      <c r="AA94" s="752">
        <f t="shared" si="26"/>
        <v>196.09584760280671</v>
      </c>
      <c r="AB94" s="752">
        <f t="shared" si="26"/>
        <v>200.48149222132093</v>
      </c>
      <c r="AC94" s="752">
        <f t="shared" si="26"/>
        <v>204.96522094174685</v>
      </c>
      <c r="AD94" s="752">
        <f t="shared" ref="AD94:AE94" si="27">AD95*AD61*1000</f>
        <v>209.54922717408317</v>
      </c>
      <c r="AE94" s="752">
        <f t="shared" si="27"/>
        <v>214.23575359180168</v>
      </c>
    </row>
    <row r="95" spans="1:31" ht="12.75" customHeight="1">
      <c r="B95" s="771" t="s">
        <v>573</v>
      </c>
      <c r="C95" s="768">
        <f>-E26</f>
        <v>2.4020780020372512E-3</v>
      </c>
      <c r="D95" s="768">
        <f>-D26</f>
        <v>1.6990877315530481E-3</v>
      </c>
      <c r="E95" s="834">
        <f>-C26</f>
        <v>2.9152844625328399E-3</v>
      </c>
      <c r="F95" s="603">
        <v>4.8999999999999998E-3</v>
      </c>
      <c r="G95" s="603">
        <v>4.8999999999999998E-3</v>
      </c>
      <c r="H95" s="603">
        <v>4.8999999999999998E-3</v>
      </c>
      <c r="I95" s="603">
        <v>4.8999999999999998E-3</v>
      </c>
      <c r="J95" s="603">
        <v>2.8999999999999998E-3</v>
      </c>
      <c r="K95" s="603">
        <v>2.8999999999999998E-3</v>
      </c>
      <c r="L95" s="603">
        <v>2.8999999999999998E-3</v>
      </c>
      <c r="M95" s="603">
        <v>2.8999999999999998E-3</v>
      </c>
      <c r="N95" s="603">
        <v>2.8999999999999998E-3</v>
      </c>
      <c r="O95" s="603">
        <v>2.8999999999999998E-3</v>
      </c>
      <c r="P95" s="603">
        <v>2.8999999999999998E-3</v>
      </c>
      <c r="Q95" s="603">
        <v>2.8999999999999998E-3</v>
      </c>
      <c r="R95" s="603">
        <v>2.8999999999999998E-3</v>
      </c>
      <c r="S95" s="603">
        <v>2.8999999999999998E-3</v>
      </c>
      <c r="T95" s="603">
        <v>2.8999999999999998E-3</v>
      </c>
      <c r="U95" s="603">
        <v>2.8999999999999998E-3</v>
      </c>
      <c r="V95" s="603">
        <v>2.8999999999999998E-3</v>
      </c>
      <c r="W95" s="603">
        <v>2.8999999999999998E-3</v>
      </c>
      <c r="X95" s="603">
        <v>2.8999999999999998E-3</v>
      </c>
      <c r="Y95" s="603">
        <v>2.8999999999999998E-3</v>
      </c>
      <c r="Z95" s="603">
        <v>2.8999999999999998E-3</v>
      </c>
      <c r="AA95" s="603">
        <v>2.8999999999999998E-3</v>
      </c>
      <c r="AB95" s="603">
        <v>2.8999999999999998E-3</v>
      </c>
      <c r="AC95" s="603">
        <v>2.8999999999999998E-3</v>
      </c>
      <c r="AD95" s="603">
        <v>2.8999999999999998E-3</v>
      </c>
      <c r="AE95" s="603">
        <v>2.8999999999999998E-3</v>
      </c>
    </row>
    <row r="96" spans="1:31" ht="12.75" customHeight="1">
      <c r="B96" s="769"/>
      <c r="C96" s="769"/>
      <c r="D96" s="769"/>
      <c r="E96" s="831"/>
    </row>
    <row r="97" spans="1:31" ht="12.75" customHeight="1">
      <c r="B97" s="769" t="s">
        <v>135</v>
      </c>
      <c r="C97" s="767">
        <f t="shared" ref="C97:AC97" si="28">+C98*C81</f>
        <v>0.30977999999999994</v>
      </c>
      <c r="D97" s="767">
        <f t="shared" si="28"/>
        <v>0.41995206238571581</v>
      </c>
      <c r="E97" s="833">
        <f t="shared" si="28"/>
        <v>0.43056</v>
      </c>
      <c r="F97" s="717">
        <f t="shared" si="28"/>
        <v>0.51901121250000004</v>
      </c>
      <c r="G97" s="717">
        <f t="shared" si="28"/>
        <v>0.57205732500000006</v>
      </c>
      <c r="H97" s="717">
        <f t="shared" si="28"/>
        <v>0.62105148750000005</v>
      </c>
      <c r="I97" s="717">
        <f t="shared" si="28"/>
        <v>0.61016079427275038</v>
      </c>
      <c r="J97" s="717">
        <f t="shared" si="28"/>
        <v>1.6257487531145005</v>
      </c>
      <c r="K97" s="717">
        <f t="shared" si="28"/>
        <v>1.7136656531037575</v>
      </c>
      <c r="L97" s="717">
        <f t="shared" si="28"/>
        <v>1.8157080277999225</v>
      </c>
      <c r="M97" s="717">
        <f t="shared" si="28"/>
        <v>1.9260374537093308</v>
      </c>
      <c r="N97" s="717">
        <f t="shared" si="28"/>
        <v>1.9604567197076193</v>
      </c>
      <c r="O97" s="717">
        <f t="shared" si="28"/>
        <v>1.994339922886404</v>
      </c>
      <c r="P97" s="717">
        <f t="shared" si="28"/>
        <v>2.0295195137782844</v>
      </c>
      <c r="Q97" s="717">
        <f t="shared" si="28"/>
        <v>2.0651832890882287</v>
      </c>
      <c r="R97" s="717">
        <f t="shared" si="28"/>
        <v>2.101415064361944</v>
      </c>
      <c r="S97" s="717">
        <f t="shared" si="28"/>
        <v>2.1382163134917538</v>
      </c>
      <c r="T97" s="717">
        <f t="shared" si="28"/>
        <v>2.1755370884863274</v>
      </c>
      <c r="U97" s="717">
        <f t="shared" si="28"/>
        <v>2.2134205031019771</v>
      </c>
      <c r="V97" s="717">
        <f t="shared" si="28"/>
        <v>2.2518821824250725</v>
      </c>
      <c r="W97" s="717">
        <f t="shared" si="28"/>
        <v>2.2909164984651365</v>
      </c>
      <c r="X97" s="717">
        <f t="shared" si="28"/>
        <v>2.3305342506490936</v>
      </c>
      <c r="Y97" s="717">
        <f t="shared" si="28"/>
        <v>2.3707410792823214</v>
      </c>
      <c r="Z97" s="717">
        <f t="shared" si="28"/>
        <v>2.4115424853229861</v>
      </c>
      <c r="AA97" s="717">
        <f t="shared" si="28"/>
        <v>2.4529460894274462</v>
      </c>
      <c r="AB97" s="717">
        <f t="shared" si="28"/>
        <v>2.4949581668533281</v>
      </c>
      <c r="AC97" s="717">
        <f t="shared" si="28"/>
        <v>2.5375850453438105</v>
      </c>
      <c r="AD97" s="717">
        <f t="shared" ref="AD97:AE97" si="29">+AD98*AD81</f>
        <v>2.5808333906128231</v>
      </c>
      <c r="AE97" s="717">
        <f t="shared" si="29"/>
        <v>2.6402229999427949</v>
      </c>
    </row>
    <row r="98" spans="1:31" ht="12.75" customHeight="1">
      <c r="B98" s="771" t="s">
        <v>581</v>
      </c>
      <c r="C98" s="768">
        <f>-E28</f>
        <v>6.9511168953562727E-2</v>
      </c>
      <c r="D98" s="768">
        <f>-D28</f>
        <v>9.4232548133806604E-2</v>
      </c>
      <c r="E98" s="834">
        <f>-C28</f>
        <v>0.10869186552865355</v>
      </c>
      <c r="F98" s="603">
        <v>0.13500000000000001</v>
      </c>
      <c r="G98" s="603">
        <v>0.13500000000000001</v>
      </c>
      <c r="H98" s="603">
        <v>0.13500000000000001</v>
      </c>
      <c r="I98" s="603">
        <v>0.13500000000000001</v>
      </c>
      <c r="J98" s="603">
        <f t="shared" ref="J98:AE98" si="30">+$T$28</f>
        <v>0.35</v>
      </c>
      <c r="K98" s="603">
        <f t="shared" si="30"/>
        <v>0.35</v>
      </c>
      <c r="L98" s="603">
        <f t="shared" si="30"/>
        <v>0.35</v>
      </c>
      <c r="M98" s="603">
        <f t="shared" si="30"/>
        <v>0.35</v>
      </c>
      <c r="N98" s="603">
        <f t="shared" si="30"/>
        <v>0.35</v>
      </c>
      <c r="O98" s="603">
        <f t="shared" si="30"/>
        <v>0.35</v>
      </c>
      <c r="P98" s="603">
        <f t="shared" si="30"/>
        <v>0.35</v>
      </c>
      <c r="Q98" s="603">
        <f t="shared" si="30"/>
        <v>0.35</v>
      </c>
      <c r="R98" s="603">
        <f t="shared" si="30"/>
        <v>0.35</v>
      </c>
      <c r="S98" s="603">
        <f t="shared" si="30"/>
        <v>0.35</v>
      </c>
      <c r="T98" s="603">
        <f t="shared" si="30"/>
        <v>0.35</v>
      </c>
      <c r="U98" s="603">
        <f t="shared" si="30"/>
        <v>0.35</v>
      </c>
      <c r="V98" s="603">
        <f t="shared" si="30"/>
        <v>0.35</v>
      </c>
      <c r="W98" s="603">
        <f t="shared" si="30"/>
        <v>0.35</v>
      </c>
      <c r="X98" s="603">
        <f t="shared" si="30"/>
        <v>0.35</v>
      </c>
      <c r="Y98" s="603">
        <f t="shared" si="30"/>
        <v>0.35</v>
      </c>
      <c r="Z98" s="603">
        <f t="shared" si="30"/>
        <v>0.35</v>
      </c>
      <c r="AA98" s="603">
        <f t="shared" si="30"/>
        <v>0.35</v>
      </c>
      <c r="AB98" s="603">
        <f t="shared" si="30"/>
        <v>0.35</v>
      </c>
      <c r="AC98" s="603">
        <f t="shared" si="30"/>
        <v>0.35</v>
      </c>
      <c r="AD98" s="603">
        <f t="shared" si="30"/>
        <v>0.35</v>
      </c>
      <c r="AE98" s="603">
        <f t="shared" si="30"/>
        <v>0.35</v>
      </c>
    </row>
    <row r="99" spans="1:31" ht="12.75" customHeight="1">
      <c r="B99" s="769"/>
      <c r="C99" s="769"/>
      <c r="D99" s="769"/>
      <c r="E99" s="831"/>
    </row>
    <row r="100" spans="1:31" ht="12.75" customHeight="1">
      <c r="B100" s="769" t="s">
        <v>511</v>
      </c>
      <c r="C100" s="775">
        <f>+Inputs!D73</f>
        <v>-1430.212</v>
      </c>
      <c r="D100" s="775">
        <f>+Inputs!C73</f>
        <v>-1039.309</v>
      </c>
      <c r="E100" s="838">
        <f>+Inputs!B73</f>
        <v>-1182.711</v>
      </c>
      <c r="F100" s="755">
        <f>+F101*F81</f>
        <v>0.76890550000000002</v>
      </c>
      <c r="G100" s="755">
        <f>+G101*G81</f>
        <v>0.84749233333333329</v>
      </c>
      <c r="H100" s="755">
        <f>+H101*H81</f>
        <v>0.92007627777777778</v>
      </c>
      <c r="I100" s="755">
        <f>+I101*I81</f>
        <v>0.90394191744111163</v>
      </c>
      <c r="J100" s="755">
        <f>+J101*J81</f>
        <v>0.92899928749400029</v>
      </c>
    </row>
    <row r="101" spans="1:31" ht="12.75" customHeight="1">
      <c r="B101" s="771" t="s">
        <v>581</v>
      </c>
      <c r="C101" s="768">
        <f>+E29</f>
        <v>-0.32092358438702584</v>
      </c>
      <c r="D101" s="768">
        <f>+D29</f>
        <v>-0.22357943422609444</v>
      </c>
      <c r="E101" s="834">
        <f>+C29</f>
        <v>-0.29856713343380564</v>
      </c>
      <c r="F101" s="751">
        <v>0.2</v>
      </c>
      <c r="G101" s="751">
        <v>0.2</v>
      </c>
      <c r="H101" s="751">
        <v>0.2</v>
      </c>
      <c r="I101" s="751">
        <v>0.2</v>
      </c>
      <c r="J101" s="751">
        <v>0.2</v>
      </c>
    </row>
    <row r="104" spans="1:31" ht="12.75" customHeight="1">
      <c r="A104" s="749" t="s">
        <v>526</v>
      </c>
      <c r="B104" s="737" t="s">
        <v>582</v>
      </c>
      <c r="C104" s="779">
        <v>2014</v>
      </c>
      <c r="D104" s="779">
        <v>2015</v>
      </c>
      <c r="E104" s="779">
        <v>2016</v>
      </c>
      <c r="F104" s="779">
        <v>2017</v>
      </c>
      <c r="G104" s="779">
        <v>2018</v>
      </c>
      <c r="H104" s="779">
        <v>2019</v>
      </c>
      <c r="I104" s="779">
        <v>2020</v>
      </c>
      <c r="J104" s="779">
        <v>2021</v>
      </c>
      <c r="K104" s="779">
        <v>2022</v>
      </c>
      <c r="L104" s="779">
        <v>2023</v>
      </c>
    </row>
    <row r="105" spans="1:31" ht="12.75" customHeight="1">
      <c r="B105" s="778" t="s">
        <v>583</v>
      </c>
      <c r="C105" s="780">
        <v>40.700000000000003</v>
      </c>
      <c r="D105" s="780">
        <v>43.9</v>
      </c>
      <c r="E105" s="780">
        <v>55.5</v>
      </c>
      <c r="F105" s="780">
        <v>61.4</v>
      </c>
      <c r="G105" s="780">
        <v>72.7</v>
      </c>
      <c r="H105" s="780">
        <v>86.9</v>
      </c>
      <c r="I105" s="780">
        <v>107.1</v>
      </c>
      <c r="J105" s="780">
        <v>134.6</v>
      </c>
      <c r="K105" s="780">
        <v>184.1</v>
      </c>
      <c r="L105" s="780">
        <v>160.69999999999999</v>
      </c>
    </row>
    <row r="106" spans="1:31" ht="12.75" customHeight="1">
      <c r="B106" s="778" t="s">
        <v>571</v>
      </c>
      <c r="C106" s="781">
        <f>Inputs!K6</f>
        <v>7779.8</v>
      </c>
      <c r="D106" s="781">
        <f>Inputs!J6</f>
        <v>9474</v>
      </c>
      <c r="E106" s="781">
        <f>Inputs!I6</f>
        <v>10950</v>
      </c>
      <c r="F106" s="781">
        <f>Inputs!H6</f>
        <v>12646</v>
      </c>
      <c r="G106" s="781">
        <f>Inputs!G6</f>
        <v>20572</v>
      </c>
      <c r="H106" s="781">
        <f>Inputs!F6</f>
        <v>22260</v>
      </c>
      <c r="I106" s="781">
        <f>Inputs!E6</f>
        <v>22489</v>
      </c>
      <c r="J106" s="781">
        <f>Inputs!D6</f>
        <v>27130.675999999999</v>
      </c>
      <c r="K106" s="781">
        <f>Inputs!C6</f>
        <v>33671.01</v>
      </c>
      <c r="L106" s="781">
        <f>Inputs!B6</f>
        <v>34233.366000000002</v>
      </c>
    </row>
    <row r="107" spans="1:31" ht="12.75" customHeight="1">
      <c r="B107" s="778" t="s">
        <v>584</v>
      </c>
      <c r="C107" s="782">
        <f>C105/C106</f>
        <v>5.2314969536491939E-3</v>
      </c>
      <c r="D107" s="782">
        <f t="shared" ref="D107:L107" si="31">D105/D106</f>
        <v>4.6337344310745194E-3</v>
      </c>
      <c r="E107" s="782">
        <f t="shared" si="31"/>
        <v>5.0684931506849318E-3</v>
      </c>
      <c r="F107" s="782">
        <f t="shared" si="31"/>
        <v>4.8552902103431916E-3</v>
      </c>
      <c r="G107" s="782">
        <f t="shared" si="31"/>
        <v>3.5339296130663038E-3</v>
      </c>
      <c r="H107" s="782">
        <f t="shared" si="31"/>
        <v>3.9038634321653192E-3</v>
      </c>
      <c r="I107" s="782">
        <f t="shared" si="31"/>
        <v>4.7623282493663563E-3</v>
      </c>
      <c r="J107" s="782">
        <f t="shared" si="31"/>
        <v>4.9611738387941385E-3</v>
      </c>
      <c r="K107" s="782">
        <f t="shared" si="31"/>
        <v>5.4676114556706191E-3</v>
      </c>
      <c r="L107" s="782">
        <f t="shared" si="31"/>
        <v>4.6942506325553844E-3</v>
      </c>
    </row>
    <row r="108" spans="1:31" ht="12.75" customHeight="1">
      <c r="B108" s="784" t="s">
        <v>585</v>
      </c>
      <c r="C108" s="785">
        <f>AVERAGE(J107:L107)</f>
        <v>5.0410119756733804E-3</v>
      </c>
      <c r="D108" s="783"/>
      <c r="E108" s="783"/>
      <c r="F108" s="783"/>
      <c r="G108" s="783"/>
      <c r="H108" s="783"/>
      <c r="I108" s="783"/>
      <c r="J108" s="783"/>
      <c r="K108" s="783"/>
      <c r="L108" s="783"/>
    </row>
    <row r="109" spans="1:31" ht="12.75" customHeight="1">
      <c r="B109" s="784" t="s">
        <v>586</v>
      </c>
      <c r="C109" s="785">
        <f>AVERAGE(H107:L107)</f>
        <v>4.7578455217103634E-3</v>
      </c>
      <c r="D109" s="783"/>
      <c r="E109" s="783"/>
      <c r="F109" s="783"/>
      <c r="G109" s="783"/>
      <c r="H109" s="783"/>
      <c r="I109" s="783"/>
      <c r="J109" s="783"/>
      <c r="K109" s="783"/>
      <c r="L109" s="783"/>
    </row>
    <row r="110" spans="1:31" ht="12.75" customHeight="1">
      <c r="B110" s="784" t="s">
        <v>587</v>
      </c>
      <c r="C110" s="785">
        <f>AVERAGE(C107:L107)</f>
        <v>4.7112171967369958E-3</v>
      </c>
      <c r="D110" s="783"/>
      <c r="E110" s="783"/>
      <c r="F110" s="783"/>
      <c r="G110" s="783"/>
      <c r="H110" s="783"/>
      <c r="I110" s="783"/>
      <c r="J110" s="783"/>
      <c r="K110" s="783"/>
      <c r="L110" s="783"/>
    </row>
    <row r="111" spans="1:31" ht="12.75" customHeight="1">
      <c r="F111"/>
    </row>
    <row r="112" spans="1:31" ht="12.75" customHeight="1">
      <c r="A112" s="749" t="s">
        <v>526</v>
      </c>
      <c r="B112" s="737" t="s">
        <v>588</v>
      </c>
      <c r="C112" s="721"/>
    </row>
    <row r="113" spans="1:19" ht="12.75" customHeight="1">
      <c r="B113" s="787" t="s">
        <v>589</v>
      </c>
      <c r="C113" s="788" t="s">
        <v>590</v>
      </c>
    </row>
    <row r="114" spans="1:19" ht="12.75" customHeight="1">
      <c r="B114" s="789" t="s">
        <v>591</v>
      </c>
      <c r="C114" s="790">
        <v>1.47E-2</v>
      </c>
    </row>
    <row r="115" spans="1:19" ht="12.75" customHeight="1">
      <c r="B115" s="789" t="s">
        <v>592</v>
      </c>
      <c r="C115" s="790">
        <v>3.4799999999999998E-2</v>
      </c>
    </row>
    <row r="116" spans="1:19" ht="12.75" customHeight="1">
      <c r="B116" s="789" t="s">
        <v>593</v>
      </c>
      <c r="C116" s="790">
        <v>3.73E-2</v>
      </c>
    </row>
    <row r="117" spans="1:19" ht="12.75" customHeight="1">
      <c r="B117" s="789" t="s">
        <v>594</v>
      </c>
      <c r="C117" s="790">
        <v>4.07E-2</v>
      </c>
    </row>
    <row r="118" spans="1:19" ht="12.75" customHeight="1">
      <c r="B118" s="791" t="s">
        <v>595</v>
      </c>
      <c r="C118" s="792">
        <f>C114+C115</f>
        <v>4.9499999999999995E-2</v>
      </c>
    </row>
    <row r="119" spans="1:19" ht="12.75" customHeight="1">
      <c r="B119" s="791" t="s">
        <v>596</v>
      </c>
      <c r="C119" s="792">
        <f>C114+C116</f>
        <v>5.1999999999999998E-2</v>
      </c>
    </row>
    <row r="121" spans="1:19" ht="12.75" customHeight="1">
      <c r="A121" s="749" t="s">
        <v>526</v>
      </c>
      <c r="B121" s="737" t="s">
        <v>597</v>
      </c>
      <c r="C121" s="737"/>
    </row>
    <row r="122" spans="1:19" ht="12.75" customHeight="1">
      <c r="B122" s="793" t="s">
        <v>598</v>
      </c>
      <c r="C122" s="794">
        <v>3.73E-2</v>
      </c>
    </row>
    <row r="123" spans="1:19" ht="12.75" customHeight="1">
      <c r="B123" s="793" t="s">
        <v>599</v>
      </c>
      <c r="C123" s="794">
        <v>2.5000000000000001E-2</v>
      </c>
    </row>
    <row r="124" spans="1:19" ht="12.75" customHeight="1">
      <c r="B124" s="793" t="s">
        <v>600</v>
      </c>
      <c r="C124" s="794">
        <v>2.7699999999999999E-2</v>
      </c>
    </row>
    <row r="125" spans="1:19" ht="12.75" customHeight="1">
      <c r="B125" s="795" t="s">
        <v>595</v>
      </c>
      <c r="C125" s="796">
        <v>2.9000000000000001E-2</v>
      </c>
    </row>
    <row r="126" spans="1:19" ht="12.75" customHeight="1">
      <c r="B126" s="795" t="s">
        <v>596</v>
      </c>
      <c r="C126" s="796">
        <f>C123</f>
        <v>2.5000000000000001E-2</v>
      </c>
    </row>
    <row r="127" spans="1:19" ht="12.75" customHeight="1">
      <c r="A127" s="801"/>
      <c r="B127" s="599"/>
      <c r="C127" s="599"/>
      <c r="D127" s="599"/>
      <c r="E127" s="599"/>
      <c r="F127" s="599"/>
      <c r="G127" s="599"/>
      <c r="H127" s="599"/>
      <c r="I127" s="599"/>
      <c r="J127" s="599"/>
      <c r="K127" s="599"/>
      <c r="L127" s="599"/>
      <c r="M127" s="599"/>
    </row>
    <row r="128" spans="1:19" ht="12.75" customHeight="1">
      <c r="A128" s="749" t="s">
        <v>526</v>
      </c>
      <c r="B128" s="737" t="s">
        <v>601</v>
      </c>
      <c r="C128" s="737">
        <f>C104</f>
        <v>2014</v>
      </c>
      <c r="D128" s="737">
        <f t="shared" ref="D128:L128" si="32">D104</f>
        <v>2015</v>
      </c>
      <c r="E128" s="737">
        <f t="shared" si="32"/>
        <v>2016</v>
      </c>
      <c r="F128" s="737">
        <f t="shared" si="32"/>
        <v>2017</v>
      </c>
      <c r="G128" s="737">
        <f t="shared" si="32"/>
        <v>2018</v>
      </c>
      <c r="H128" s="737">
        <f t="shared" si="32"/>
        <v>2019</v>
      </c>
      <c r="I128" s="737">
        <f t="shared" si="32"/>
        <v>2020</v>
      </c>
      <c r="J128" s="737">
        <f t="shared" si="32"/>
        <v>2021</v>
      </c>
      <c r="K128" s="737">
        <f t="shared" si="32"/>
        <v>2022</v>
      </c>
      <c r="L128" s="737">
        <f t="shared" si="32"/>
        <v>2023</v>
      </c>
      <c r="M128" s="802"/>
      <c r="N128" s="802"/>
      <c r="O128" s="802"/>
      <c r="P128" s="802"/>
      <c r="Q128" s="802"/>
      <c r="R128" s="802"/>
      <c r="S128" s="802"/>
    </row>
    <row r="129" spans="1:13" ht="12.75" customHeight="1">
      <c r="A129" s="801"/>
      <c r="B129" s="800" t="s">
        <v>602</v>
      </c>
      <c r="C129" s="803">
        <f>Inputs!K26-Inputs!K41</f>
        <v>9220.6299999999992</v>
      </c>
      <c r="D129" s="803">
        <f>Inputs!J26-Inputs!J41</f>
        <v>9917.9599999999991</v>
      </c>
      <c r="E129" s="803">
        <f>Inputs!I26-Inputs!I41</f>
        <v>10316.14</v>
      </c>
      <c r="F129" s="803">
        <f>Inputs!H26-Inputs!H41</f>
        <v>11629.57</v>
      </c>
      <c r="G129" s="803">
        <f>Inputs!G26-Inputs!G41</f>
        <v>17009.990000000002</v>
      </c>
      <c r="H129" s="803">
        <f>Inputs!F26-Inputs!F41</f>
        <v>19726.169999999998</v>
      </c>
      <c r="I129" s="803">
        <f>Inputs!E26-Inputs!E41</f>
        <v>18908.170000000002</v>
      </c>
      <c r="J129" s="803">
        <f>Inputs!D26-Inputs!D41</f>
        <v>20451.830000000002</v>
      </c>
      <c r="K129" s="804">
        <f>Inputs!C26-Inputs!C41</f>
        <v>22592.879999999997</v>
      </c>
      <c r="L129" s="804">
        <f>Inputs!B26-Inputs!B41</f>
        <v>22898.14</v>
      </c>
      <c r="M129" s="599"/>
    </row>
    <row r="130" spans="1:13" ht="12.75" customHeight="1">
      <c r="A130" s="801"/>
      <c r="B130" s="800" t="s">
        <v>603</v>
      </c>
      <c r="C130" s="807" t="s">
        <v>513</v>
      </c>
      <c r="D130" s="803">
        <f>D129-C129</f>
        <v>697.32999999999993</v>
      </c>
      <c r="E130" s="803">
        <f t="shared" ref="E130:L130" si="33">E129-D129</f>
        <v>398.18000000000029</v>
      </c>
      <c r="F130" s="803">
        <f t="shared" si="33"/>
        <v>1313.4300000000003</v>
      </c>
      <c r="G130" s="803">
        <f t="shared" si="33"/>
        <v>5380.4200000000019</v>
      </c>
      <c r="H130" s="803">
        <f t="shared" si="33"/>
        <v>2716.1799999999967</v>
      </c>
      <c r="I130" s="803">
        <f>I129-H129</f>
        <v>-817.99999999999636</v>
      </c>
      <c r="J130" s="803">
        <f t="shared" si="33"/>
        <v>1543.6599999999999</v>
      </c>
      <c r="K130" s="803">
        <f t="shared" si="33"/>
        <v>2141.0499999999956</v>
      </c>
      <c r="L130" s="803">
        <f t="shared" si="33"/>
        <v>305.26000000000204</v>
      </c>
      <c r="M130" s="599"/>
    </row>
    <row r="131" spans="1:13" ht="12.75" customHeight="1">
      <c r="A131" s="801"/>
      <c r="B131" s="800" t="s">
        <v>571</v>
      </c>
      <c r="C131" s="807">
        <f>C106</f>
        <v>7779.8</v>
      </c>
      <c r="D131" s="803">
        <f t="shared" ref="D131:L131" si="34">D106</f>
        <v>9474</v>
      </c>
      <c r="E131" s="803">
        <f t="shared" si="34"/>
        <v>10950</v>
      </c>
      <c r="F131" s="803">
        <f t="shared" si="34"/>
        <v>12646</v>
      </c>
      <c r="G131" s="803">
        <f t="shared" si="34"/>
        <v>20572</v>
      </c>
      <c r="H131" s="803">
        <f t="shared" si="34"/>
        <v>22260</v>
      </c>
      <c r="I131" s="803">
        <f t="shared" si="34"/>
        <v>22489</v>
      </c>
      <c r="J131" s="803">
        <f t="shared" si="34"/>
        <v>27130.675999999999</v>
      </c>
      <c r="K131" s="803">
        <f t="shared" si="34"/>
        <v>33671.01</v>
      </c>
      <c r="L131" s="803">
        <f t="shared" si="34"/>
        <v>34233.366000000002</v>
      </c>
      <c r="M131" s="599"/>
    </row>
    <row r="132" spans="1:13" ht="12.75" customHeight="1">
      <c r="A132" s="801"/>
      <c r="B132" s="800" t="s">
        <v>604</v>
      </c>
      <c r="C132" s="808" t="s">
        <v>513</v>
      </c>
      <c r="D132" s="803">
        <f>D131-C131</f>
        <v>1694.1999999999998</v>
      </c>
      <c r="E132" s="803">
        <f t="shared" ref="E132:L132" si="35">E131-D131</f>
        <v>1476</v>
      </c>
      <c r="F132" s="803">
        <f t="shared" si="35"/>
        <v>1696</v>
      </c>
      <c r="G132" s="803">
        <f t="shared" si="35"/>
        <v>7926</v>
      </c>
      <c r="H132" s="803">
        <f t="shared" si="35"/>
        <v>1688</v>
      </c>
      <c r="I132" s="803">
        <f t="shared" si="35"/>
        <v>229</v>
      </c>
      <c r="J132" s="803">
        <f t="shared" si="35"/>
        <v>4641.6759999999995</v>
      </c>
      <c r="K132" s="803">
        <f t="shared" si="35"/>
        <v>6540.3340000000026</v>
      </c>
      <c r="L132" s="803">
        <f t="shared" si="35"/>
        <v>562.35599999999977</v>
      </c>
      <c r="M132" s="599"/>
    </row>
    <row r="133" spans="1:13" ht="12.75" customHeight="1">
      <c r="A133" s="801"/>
      <c r="B133" s="778" t="s">
        <v>584</v>
      </c>
      <c r="C133" s="809" t="s">
        <v>513</v>
      </c>
      <c r="D133" s="805">
        <f t="shared" ref="D133:K133" si="36">D130/D132</f>
        <v>0.41159839452248848</v>
      </c>
      <c r="E133" s="805">
        <f t="shared" si="36"/>
        <v>0.26976964769647716</v>
      </c>
      <c r="F133" s="805">
        <f t="shared" si="36"/>
        <v>0.77442806603773606</v>
      </c>
      <c r="G133" s="805">
        <f t="shared" si="36"/>
        <v>0.67883169316174641</v>
      </c>
      <c r="H133" s="805">
        <f t="shared" si="36"/>
        <v>1.6091113744075809</v>
      </c>
      <c r="I133" s="805">
        <f t="shared" si="36"/>
        <v>-3.572052401746709</v>
      </c>
      <c r="J133" s="805">
        <f t="shared" si="36"/>
        <v>0.33256521997657745</v>
      </c>
      <c r="K133" s="805">
        <f t="shared" si="36"/>
        <v>0.32736095740676163</v>
      </c>
      <c r="L133" s="810">
        <f>L130/L132</f>
        <v>0.54282340723670086</v>
      </c>
      <c r="M133" s="599"/>
    </row>
    <row r="134" spans="1:13" ht="12.75" customHeight="1">
      <c r="A134" s="801"/>
      <c r="B134" s="784" t="s">
        <v>585</v>
      </c>
      <c r="C134" s="806">
        <f>AVERAGE(J133:L133)</f>
        <v>0.40091652820668</v>
      </c>
      <c r="D134" s="777"/>
      <c r="E134" s="777"/>
      <c r="F134" s="777"/>
      <c r="G134" s="777"/>
      <c r="H134" s="777"/>
      <c r="I134" s="777"/>
      <c r="J134" s="777"/>
      <c r="K134" s="599"/>
      <c r="L134" s="599"/>
      <c r="M134" s="599"/>
    </row>
    <row r="135" spans="1:13" ht="12.75" customHeight="1">
      <c r="A135" s="801"/>
      <c r="B135" s="784" t="s">
        <v>586</v>
      </c>
      <c r="C135" s="806">
        <f>AVERAGE(H133:L133)</f>
        <v>-0.15203828854381762</v>
      </c>
      <c r="D135" s="777"/>
      <c r="E135" s="777"/>
      <c r="F135" s="777"/>
      <c r="G135" s="777"/>
      <c r="H135" s="777"/>
      <c r="I135" s="777"/>
      <c r="J135" s="777"/>
      <c r="K135" s="599"/>
      <c r="L135" s="599"/>
      <c r="M135" s="599"/>
    </row>
    <row r="136" spans="1:13" ht="12.75" customHeight="1">
      <c r="A136" s="801"/>
      <c r="B136" s="784" t="s">
        <v>587</v>
      </c>
      <c r="C136" s="806">
        <f>AVERAGE(D133:L133)</f>
        <v>0.15271515096659552</v>
      </c>
      <c r="D136" s="777"/>
      <c r="E136" s="777"/>
      <c r="F136" s="777"/>
      <c r="G136" s="777"/>
      <c r="H136" s="777"/>
      <c r="I136" s="777"/>
      <c r="J136" s="777"/>
      <c r="K136" s="599"/>
      <c r="L136" s="599"/>
      <c r="M136" s="599"/>
    </row>
    <row r="137" spans="1:13" ht="12.75" customHeight="1">
      <c r="B137" s="776"/>
      <c r="C137" s="776"/>
      <c r="D137" s="776"/>
      <c r="E137" s="776"/>
      <c r="F137" s="776"/>
      <c r="G137" s="776"/>
      <c r="H137" s="776"/>
      <c r="I137" s="776"/>
      <c r="J137" s="776"/>
    </row>
    <row r="138" spans="1:13" ht="12.75" customHeight="1">
      <c r="A138" s="749" t="s">
        <v>526</v>
      </c>
      <c r="B138" s="737" t="s">
        <v>506</v>
      </c>
      <c r="C138" s="737">
        <v>2014</v>
      </c>
      <c r="D138" s="737">
        <v>2015</v>
      </c>
      <c r="E138" s="737">
        <v>2016</v>
      </c>
      <c r="F138" s="737">
        <v>2017</v>
      </c>
      <c r="G138" s="737">
        <v>2018</v>
      </c>
      <c r="H138" s="737">
        <v>2019</v>
      </c>
      <c r="I138" s="737">
        <v>2020</v>
      </c>
      <c r="J138" s="737">
        <v>2021</v>
      </c>
      <c r="K138" s="737">
        <v>2022</v>
      </c>
      <c r="L138" s="737">
        <v>2023</v>
      </c>
    </row>
    <row r="139" spans="1:13" ht="12.75" customHeight="1">
      <c r="B139" s="811" t="s">
        <v>605</v>
      </c>
      <c r="C139" s="804">
        <f>Inputs!K32</f>
        <v>231.1</v>
      </c>
      <c r="D139" s="804">
        <f>Inputs!J32</f>
        <v>193.91</v>
      </c>
      <c r="E139" s="804">
        <f>Inputs!I32</f>
        <v>400.27</v>
      </c>
      <c r="F139" s="804">
        <f>Inputs!H32</f>
        <v>527.96</v>
      </c>
      <c r="G139" s="804">
        <f>Inputs!G32</f>
        <v>736.55</v>
      </c>
      <c r="H139" s="804">
        <f>Inputs!F32</f>
        <v>1042.74</v>
      </c>
      <c r="I139" s="804">
        <f>Inputs!E32</f>
        <v>1000.6</v>
      </c>
      <c r="J139" s="804">
        <f>Inputs!D32</f>
        <v>878.7</v>
      </c>
      <c r="K139" s="804">
        <f>Inputs!C32</f>
        <v>937</v>
      </c>
      <c r="L139" s="804">
        <f>Inputs!B32</f>
        <v>1075.4000000000001</v>
      </c>
    </row>
    <row r="140" spans="1:13" ht="12.75" customHeight="1">
      <c r="B140" s="811" t="s">
        <v>606</v>
      </c>
      <c r="C140" s="812" t="s">
        <v>513</v>
      </c>
      <c r="D140" s="794">
        <f>(D139/C139)-1</f>
        <v>-0.16092600605798357</v>
      </c>
      <c r="E140" s="794">
        <f t="shared" ref="E140:L140" si="37">(E139/D139)-1</f>
        <v>1.064205043576917</v>
      </c>
      <c r="F140" s="794">
        <f t="shared" si="37"/>
        <v>0.31900966847378043</v>
      </c>
      <c r="G140" s="794">
        <f t="shared" si="37"/>
        <v>0.39508674899613583</v>
      </c>
      <c r="H140" s="794">
        <f t="shared" si="37"/>
        <v>0.41570837010386263</v>
      </c>
      <c r="I140" s="794">
        <f t="shared" si="37"/>
        <v>-4.0412758693442297E-2</v>
      </c>
      <c r="J140" s="794">
        <f t="shared" si="37"/>
        <v>-0.12182690385768535</v>
      </c>
      <c r="K140" s="794">
        <f t="shared" si="37"/>
        <v>6.6348014111755838E-2</v>
      </c>
      <c r="L140" s="794">
        <f t="shared" si="37"/>
        <v>0.14770544290288168</v>
      </c>
    </row>
    <row r="141" spans="1:13" ht="12.75" customHeight="1">
      <c r="B141" s="811" t="s">
        <v>607</v>
      </c>
      <c r="C141" s="810" t="s">
        <v>513</v>
      </c>
      <c r="D141" s="794">
        <f>(Inputs!J64/Inputs!K64)-1</f>
        <v>2.9565217391304346</v>
      </c>
      <c r="E141" s="794">
        <f>(Inputs!I64/Inputs!J64)-1</f>
        <v>-0.1648351648351648</v>
      </c>
      <c r="F141" s="794">
        <f>(Inputs!H64/Inputs!I64)-1</f>
        <v>0.47368421052631571</v>
      </c>
      <c r="G141" s="794">
        <f>(Inputs!G64/Inputs!H64)-1</f>
        <v>0.16071428571428581</v>
      </c>
      <c r="H141" s="794">
        <f>(Inputs!F64/Inputs!G64)-1</f>
        <v>-0.31538461538461537</v>
      </c>
      <c r="I141" s="794">
        <f>(Inputs!E64/Inputs!F64)-1</f>
        <v>-0.1797752808988764</v>
      </c>
      <c r="J141" s="794">
        <f>(Inputs!D64/Inputs!E64)-1</f>
        <v>-0.10726027397260274</v>
      </c>
      <c r="K141" s="794">
        <f>(Inputs!C64/Inputs!D64)-1</f>
        <v>-0.12214208991867426</v>
      </c>
      <c r="L141" s="794">
        <f>(Inputs!B64/Inputs!C64)-1</f>
        <v>0.74445027093165517</v>
      </c>
    </row>
    <row r="142" spans="1:13" ht="12.75" customHeight="1">
      <c r="B142" s="811" t="s">
        <v>584</v>
      </c>
      <c r="C142" s="794">
        <f>C139/C106</f>
        <v>2.9705133808067045E-2</v>
      </c>
      <c r="D142" s="794">
        <f t="shared" ref="D142:L142" si="38">D139/D106</f>
        <v>2.0467595524593624E-2</v>
      </c>
      <c r="E142" s="794">
        <f t="shared" si="38"/>
        <v>3.6554337899543377E-2</v>
      </c>
      <c r="F142" s="794">
        <f t="shared" si="38"/>
        <v>4.1749169697928204E-2</v>
      </c>
      <c r="G142" s="794">
        <f t="shared" si="38"/>
        <v>3.5803519346684812E-2</v>
      </c>
      <c r="H142" s="794">
        <f t="shared" si="38"/>
        <v>4.684366576819407E-2</v>
      </c>
      <c r="I142" s="794">
        <f t="shared" si="38"/>
        <v>4.4492863177553472E-2</v>
      </c>
      <c r="J142" s="794">
        <f t="shared" si="38"/>
        <v>3.2387692809423552E-2</v>
      </c>
      <c r="K142" s="794">
        <f t="shared" si="38"/>
        <v>2.7828093068785281E-2</v>
      </c>
      <c r="L142" s="794">
        <f t="shared" si="38"/>
        <v>3.1413796703485132E-2</v>
      </c>
    </row>
    <row r="144" spans="1:13" ht="12.75" customHeight="1">
      <c r="A144" s="749" t="s">
        <v>526</v>
      </c>
      <c r="B144" s="737" t="s">
        <v>311</v>
      </c>
      <c r="C144" s="737">
        <v>2023</v>
      </c>
      <c r="D144" s="737">
        <v>2022</v>
      </c>
      <c r="E144" s="737">
        <v>2021</v>
      </c>
      <c r="F144" s="737">
        <v>2020</v>
      </c>
      <c r="G144" s="737">
        <v>2019</v>
      </c>
      <c r="H144" s="737">
        <v>2018</v>
      </c>
      <c r="I144" s="737">
        <v>2017</v>
      </c>
      <c r="J144" s="737">
        <v>2016</v>
      </c>
      <c r="K144" s="737">
        <v>2015</v>
      </c>
      <c r="L144" s="737">
        <v>2014</v>
      </c>
    </row>
    <row r="145" spans="1:12" ht="12.75" customHeight="1">
      <c r="B145" s="811" t="s">
        <v>608</v>
      </c>
      <c r="C145" s="804">
        <f>Inputs!B43</f>
        <v>2036.45</v>
      </c>
      <c r="D145" s="813">
        <f>Inputs!C43</f>
        <v>2001.81</v>
      </c>
      <c r="E145" s="813">
        <f>Inputs!D43</f>
        <v>573.84</v>
      </c>
      <c r="F145" s="813">
        <f>Inputs!E43</f>
        <v>307.13</v>
      </c>
      <c r="G145" s="813">
        <f>Inputs!F43</f>
        <v>618.27</v>
      </c>
      <c r="H145" s="813">
        <f>Inputs!G43</f>
        <v>1114.54</v>
      </c>
      <c r="I145" s="813">
        <f>Inputs!H43</f>
        <v>1478.89</v>
      </c>
      <c r="J145" s="813">
        <f>Inputs!I43</f>
        <v>478.33</v>
      </c>
      <c r="K145" s="813">
        <f>Inputs!J43</f>
        <v>374.67</v>
      </c>
      <c r="L145" s="813">
        <f>Inputs!K43</f>
        <v>0</v>
      </c>
    </row>
    <row r="146" spans="1:12" ht="12.75" customHeight="1">
      <c r="B146" s="811" t="s">
        <v>447</v>
      </c>
      <c r="C146" s="810" t="s">
        <v>513</v>
      </c>
      <c r="D146" s="810" t="s">
        <v>513</v>
      </c>
      <c r="E146" s="810" t="s">
        <v>513</v>
      </c>
      <c r="F146" s="810">
        <f>(F145/G145)-1</f>
        <v>-0.50324291975997548</v>
      </c>
      <c r="G146" s="810">
        <f>(G145/H145)-1</f>
        <v>-0.44526890017406284</v>
      </c>
      <c r="H146" s="810" t="s">
        <v>513</v>
      </c>
      <c r="I146" s="810" t="s">
        <v>513</v>
      </c>
      <c r="J146" s="810" t="s">
        <v>513</v>
      </c>
      <c r="K146" s="810" t="s">
        <v>513</v>
      </c>
      <c r="L146" s="814" t="s">
        <v>513</v>
      </c>
    </row>
    <row r="147" spans="1:12" ht="12.75" customHeight="1">
      <c r="B147" s="811" t="s">
        <v>609</v>
      </c>
      <c r="C147" s="804">
        <f>Inputs!B47</f>
        <v>2947.58</v>
      </c>
      <c r="D147" s="813">
        <f>Inputs!C47</f>
        <v>4197.33</v>
      </c>
      <c r="E147" s="813">
        <f>Inputs!D47</f>
        <v>5804.52</v>
      </c>
      <c r="F147" s="813">
        <f>Inputs!E47</f>
        <v>7114.46</v>
      </c>
      <c r="G147" s="813">
        <f>Inputs!F47</f>
        <v>8955.43</v>
      </c>
      <c r="H147" s="813">
        <f>Inputs!G47</f>
        <v>9002.52</v>
      </c>
      <c r="I147" s="813">
        <f>Inputs!H47</f>
        <v>6493.63</v>
      </c>
      <c r="J147" s="813">
        <f>Inputs!I47</f>
        <v>5797.21</v>
      </c>
      <c r="K147" s="813">
        <f>Inputs!J47</f>
        <v>6280.49</v>
      </c>
      <c r="L147" s="813">
        <f>Inputs!K47</f>
        <v>5982.49</v>
      </c>
    </row>
    <row r="148" spans="1:12" ht="12.75" customHeight="1">
      <c r="B148" s="811" t="s">
        <v>447</v>
      </c>
      <c r="C148" s="794">
        <f t="shared" ref="C148:K148" si="39">(C147/D147)-1</f>
        <v>-0.29774880697967521</v>
      </c>
      <c r="D148" s="794">
        <f t="shared" si="39"/>
        <v>-0.27688594405738987</v>
      </c>
      <c r="E148" s="794">
        <f t="shared" si="39"/>
        <v>-0.1841236017912814</v>
      </c>
      <c r="F148" s="794">
        <f t="shared" si="39"/>
        <v>-0.20557025179137134</v>
      </c>
      <c r="G148" s="794">
        <f t="shared" si="39"/>
        <v>-5.2307576100913966E-3</v>
      </c>
      <c r="H148" s="794">
        <f t="shared" si="39"/>
        <v>0.38636171140024911</v>
      </c>
      <c r="I148" s="794">
        <f t="shared" si="39"/>
        <v>0.12013020056199442</v>
      </c>
      <c r="J148" s="794">
        <f t="shared" si="39"/>
        <v>-7.6949409998264384E-2</v>
      </c>
      <c r="K148" s="794">
        <f t="shared" si="39"/>
        <v>4.9812034788190296E-2</v>
      </c>
      <c r="L148" s="814" t="s">
        <v>513</v>
      </c>
    </row>
    <row r="149" spans="1:12" ht="12.75" customHeight="1">
      <c r="B149" s="811" t="s">
        <v>311</v>
      </c>
      <c r="C149" s="804">
        <f>'Fin. Data'!B55</f>
        <v>5138.3</v>
      </c>
      <c r="D149" s="813">
        <f>'Fin. Data'!C55</f>
        <v>6357.9699999999993</v>
      </c>
      <c r="E149" s="813">
        <f>'Fin. Data'!D55</f>
        <v>6541.8700000000008</v>
      </c>
      <c r="F149" s="813">
        <f>'Fin. Data'!E55</f>
        <v>7544.43</v>
      </c>
      <c r="G149" s="813">
        <f>'Fin. Data'!F55</f>
        <v>9573.7000000000007</v>
      </c>
      <c r="H149" s="813">
        <f>'Fin. Data'!G55</f>
        <v>10117.060000000001</v>
      </c>
      <c r="I149" s="813">
        <f>'Fin. Data'!H55</f>
        <v>7972.52</v>
      </c>
      <c r="J149" s="813">
        <f>'Fin. Data'!I55</f>
        <v>6275.54</v>
      </c>
      <c r="K149" s="813">
        <f>'Fin. Data'!J55</f>
        <v>6655.16</v>
      </c>
      <c r="L149" s="813">
        <f>'Fin. Data'!K55</f>
        <v>5982.49</v>
      </c>
    </row>
    <row r="150" spans="1:12" ht="12.75" customHeight="1">
      <c r="B150" s="811" t="s">
        <v>447</v>
      </c>
      <c r="C150" s="794">
        <f t="shared" ref="C150:K150" si="40">(C149/D149)-1</f>
        <v>-0.19183324237138577</v>
      </c>
      <c r="D150" s="794">
        <f t="shared" si="40"/>
        <v>-2.8111228135074717E-2</v>
      </c>
      <c r="E150" s="794">
        <f t="shared" si="40"/>
        <v>-0.13288744146343723</v>
      </c>
      <c r="F150" s="794">
        <f t="shared" si="40"/>
        <v>-0.21196298191921625</v>
      </c>
      <c r="G150" s="794">
        <f t="shared" si="40"/>
        <v>-5.3707302319053185E-2</v>
      </c>
      <c r="H150" s="794">
        <f t="shared" si="40"/>
        <v>0.26899148575356358</v>
      </c>
      <c r="I150" s="794">
        <f t="shared" si="40"/>
        <v>0.27041178926435028</v>
      </c>
      <c r="J150" s="794">
        <f t="shared" si="40"/>
        <v>-5.7041453548825283E-2</v>
      </c>
      <c r="K150" s="794">
        <f t="shared" si="40"/>
        <v>0.11243980349319438</v>
      </c>
      <c r="L150" s="810" t="s">
        <v>513</v>
      </c>
    </row>
    <row r="151" spans="1:12" ht="12.75" customHeight="1">
      <c r="B151" s="811" t="s">
        <v>53</v>
      </c>
      <c r="C151" s="804">
        <f>'Fin. Data'!B16</f>
        <v>5944.47</v>
      </c>
      <c r="D151" s="813">
        <f>'Fin. Data'!C16</f>
        <v>7836.76</v>
      </c>
      <c r="E151" s="813">
        <f>'Fin. Data'!D16</f>
        <v>4807.37</v>
      </c>
      <c r="F151" s="813">
        <f>'Fin. Data'!E16</f>
        <v>3547.48</v>
      </c>
      <c r="G151" s="813">
        <f>'Fin. Data'!F16</f>
        <v>2992.5</v>
      </c>
      <c r="H151" s="813">
        <f>'Fin. Data'!G16</f>
        <v>2777.74</v>
      </c>
      <c r="I151" s="813">
        <f>'Fin. Data'!H16</f>
        <v>1714.78</v>
      </c>
      <c r="J151" s="813">
        <f>'Fin. Data'!I16</f>
        <v>1515.34</v>
      </c>
      <c r="K151" s="813">
        <f>'Fin. Data'!J16</f>
        <v>1263.07</v>
      </c>
      <c r="L151" s="813">
        <f>'Fin. Data'!K16</f>
        <v>1063.1100000000001</v>
      </c>
    </row>
    <row r="152" spans="1:12" ht="12.75" customHeight="1">
      <c r="B152" s="811" t="s">
        <v>610</v>
      </c>
      <c r="C152" s="794">
        <f t="shared" ref="C152:L152" si="41">C149/C151</f>
        <v>0.86438319984792589</v>
      </c>
      <c r="D152" s="794">
        <f t="shared" si="41"/>
        <v>0.8113008437160254</v>
      </c>
      <c r="E152" s="794">
        <f t="shared" si="41"/>
        <v>1.3608001880446068</v>
      </c>
      <c r="F152" s="794">
        <f t="shared" si="41"/>
        <v>2.1267012076178018</v>
      </c>
      <c r="G152" s="794">
        <f t="shared" si="41"/>
        <v>3.199231411862991</v>
      </c>
      <c r="H152" s="794">
        <f t="shared" si="41"/>
        <v>3.6421911337994204</v>
      </c>
      <c r="I152" s="794">
        <f t="shared" si="41"/>
        <v>4.6492961196188434</v>
      </c>
      <c r="J152" s="794">
        <f t="shared" si="41"/>
        <v>4.1413412171525863</v>
      </c>
      <c r="K152" s="794">
        <f t="shared" si="41"/>
        <v>5.2690349703500203</v>
      </c>
      <c r="L152" s="794">
        <f t="shared" si="41"/>
        <v>5.6273480636998983</v>
      </c>
    </row>
    <row r="153" spans="1:12" ht="12.75" customHeight="1">
      <c r="B153" s="795" t="s">
        <v>585</v>
      </c>
      <c r="C153" s="796">
        <f>AVERAGE(C152:E152)</f>
        <v>1.012161410536186</v>
      </c>
    </row>
    <row r="154" spans="1:12" ht="12.75" customHeight="1">
      <c r="B154" s="795" t="s">
        <v>586</v>
      </c>
      <c r="C154" s="796">
        <f>AVERAGE(C152:G152)</f>
        <v>1.6724833702178699</v>
      </c>
    </row>
    <row r="155" spans="1:12" ht="12.75" customHeight="1">
      <c r="B155" s="795" t="s">
        <v>587</v>
      </c>
      <c r="C155" s="796">
        <f>AVERAGE(C152:L152)</f>
        <v>3.169162835571012</v>
      </c>
    </row>
    <row r="157" spans="1:12" ht="12.75" customHeight="1">
      <c r="A157" s="749" t="s">
        <v>526</v>
      </c>
      <c r="B157" s="737" t="s">
        <v>512</v>
      </c>
      <c r="C157" s="737">
        <v>2023</v>
      </c>
      <c r="D157" s="737">
        <v>2022</v>
      </c>
      <c r="E157" s="737">
        <v>2021</v>
      </c>
      <c r="F157" s="737">
        <v>2020</v>
      </c>
      <c r="G157" s="737">
        <v>2019</v>
      </c>
      <c r="H157" s="737">
        <v>2018</v>
      </c>
      <c r="I157" s="737">
        <v>2017</v>
      </c>
      <c r="J157" s="737">
        <v>2016</v>
      </c>
      <c r="K157" s="737">
        <v>2015</v>
      </c>
      <c r="L157" s="737">
        <v>2014</v>
      </c>
    </row>
    <row r="158" spans="1:12" ht="12.75" customHeight="1">
      <c r="B158" s="811" t="s">
        <v>611</v>
      </c>
      <c r="C158" s="804">
        <f>Inputs!B44+Inputs!B48</f>
        <v>154.27000000000001</v>
      </c>
      <c r="D158" s="813">
        <f>Inputs!C44+Inputs!C48</f>
        <v>158.83000000000001</v>
      </c>
      <c r="E158" s="813">
        <f>Inputs!D44+Inputs!D48</f>
        <v>163.51</v>
      </c>
      <c r="F158" s="813">
        <f>Inputs!E44+Inputs!E48</f>
        <v>122.84</v>
      </c>
      <c r="G158" s="815" t="s">
        <v>513</v>
      </c>
      <c r="H158" s="815" t="s">
        <v>513</v>
      </c>
      <c r="I158" s="815" t="s">
        <v>513</v>
      </c>
      <c r="J158" s="815" t="s">
        <v>513</v>
      </c>
      <c r="K158" s="815" t="s">
        <v>513</v>
      </c>
      <c r="L158" s="815" t="s">
        <v>513</v>
      </c>
    </row>
    <row r="159" spans="1:12" ht="12.75" customHeight="1">
      <c r="B159" s="811" t="s">
        <v>584</v>
      </c>
      <c r="C159" s="794">
        <f>C158/C106</f>
        <v>1.9829558600478161E-2</v>
      </c>
      <c r="D159" s="794">
        <f>D158/D106</f>
        <v>1.6764830061220183E-2</v>
      </c>
      <c r="E159" s="794">
        <f>E158/E106</f>
        <v>1.49324200913242E-2</v>
      </c>
      <c r="F159" s="794">
        <f>F158/F106</f>
        <v>9.7137434761980068E-3</v>
      </c>
      <c r="G159" s="814" t="s">
        <v>513</v>
      </c>
      <c r="H159" s="814" t="s">
        <v>513</v>
      </c>
      <c r="I159" s="814" t="s">
        <v>513</v>
      </c>
      <c r="J159" s="814" t="s">
        <v>513</v>
      </c>
      <c r="K159" s="814" t="s">
        <v>513</v>
      </c>
      <c r="L159" s="814" t="s">
        <v>513</v>
      </c>
    </row>
    <row r="161" spans="1:12" ht="12.75" customHeight="1">
      <c r="A161" s="749" t="s">
        <v>526</v>
      </c>
      <c r="B161" s="737" t="s">
        <v>612</v>
      </c>
      <c r="C161" s="737">
        <v>2023</v>
      </c>
      <c r="D161" s="737">
        <v>2022</v>
      </c>
      <c r="E161" s="737">
        <v>2021</v>
      </c>
      <c r="F161" s="737">
        <v>2020</v>
      </c>
      <c r="G161" s="737">
        <v>2019</v>
      </c>
      <c r="H161" s="737">
        <v>2018</v>
      </c>
      <c r="I161" s="737">
        <v>2017</v>
      </c>
      <c r="J161" s="737">
        <v>2016</v>
      </c>
      <c r="K161" s="737">
        <v>2015</v>
      </c>
      <c r="L161" s="737">
        <v>2014</v>
      </c>
    </row>
    <row r="162" spans="1:12" ht="12.75" customHeight="1">
      <c r="B162" s="811" t="s">
        <v>613</v>
      </c>
      <c r="C162" s="804">
        <f>Inputs!B32</f>
        <v>1075.4000000000001</v>
      </c>
      <c r="D162" s="804">
        <f>Inputs!C32</f>
        <v>937</v>
      </c>
      <c r="E162" s="804">
        <f>Inputs!D32</f>
        <v>878.7</v>
      </c>
      <c r="F162" s="804">
        <f>Inputs!E32</f>
        <v>1000.6</v>
      </c>
      <c r="G162" s="804">
        <f>Inputs!F32</f>
        <v>1042.74</v>
      </c>
      <c r="H162" s="804">
        <f>Inputs!G32</f>
        <v>736.55</v>
      </c>
      <c r="I162" s="804">
        <f>Inputs!H32</f>
        <v>527.96</v>
      </c>
      <c r="J162" s="804">
        <f>Inputs!I32</f>
        <v>400.27</v>
      </c>
      <c r="K162" s="804">
        <f>Inputs!J32</f>
        <v>193.91</v>
      </c>
      <c r="L162" s="804">
        <f>Inputs!K32</f>
        <v>231.1</v>
      </c>
    </row>
    <row r="163" spans="1:12" ht="12.75" customHeight="1">
      <c r="B163" s="811" t="s">
        <v>614</v>
      </c>
      <c r="C163" s="816">
        <v>3632.06</v>
      </c>
      <c r="D163" s="816">
        <v>3632.06</v>
      </c>
      <c r="E163" s="816">
        <v>3632.06</v>
      </c>
      <c r="F163" s="816">
        <v>3632.06</v>
      </c>
      <c r="G163" s="816">
        <v>3657.88</v>
      </c>
      <c r="H163" s="816">
        <v>3680.05</v>
      </c>
      <c r="I163" s="816">
        <v>196.4</v>
      </c>
      <c r="J163" s="816">
        <v>39.840000000000003</v>
      </c>
      <c r="K163" s="816">
        <v>38.85</v>
      </c>
      <c r="L163" s="816">
        <v>38.85</v>
      </c>
    </row>
    <row r="164" spans="1:12" ht="12.75" customHeight="1">
      <c r="B164" s="811" t="s">
        <v>615</v>
      </c>
      <c r="C164" s="816">
        <f>C162+C163</f>
        <v>4707.46</v>
      </c>
      <c r="D164" s="816">
        <f t="shared" ref="D164:L164" si="42">D162+D163</f>
        <v>4569.0599999999995</v>
      </c>
      <c r="E164" s="816">
        <f t="shared" si="42"/>
        <v>4510.76</v>
      </c>
      <c r="F164" s="816">
        <f t="shared" si="42"/>
        <v>4632.66</v>
      </c>
      <c r="G164" s="816">
        <f t="shared" si="42"/>
        <v>4700.62</v>
      </c>
      <c r="H164" s="816">
        <f t="shared" si="42"/>
        <v>4416.6000000000004</v>
      </c>
      <c r="I164" s="816">
        <f t="shared" si="42"/>
        <v>724.36</v>
      </c>
      <c r="J164" s="816">
        <f t="shared" si="42"/>
        <v>440.11</v>
      </c>
      <c r="K164" s="816">
        <f t="shared" si="42"/>
        <v>232.76</v>
      </c>
      <c r="L164" s="816">
        <f t="shared" si="42"/>
        <v>269.95</v>
      </c>
    </row>
    <row r="165" spans="1:12" ht="12.75" customHeight="1">
      <c r="B165" s="811" t="s">
        <v>616</v>
      </c>
      <c r="C165" s="804">
        <f>Inputs!B60</f>
        <v>110.16</v>
      </c>
      <c r="D165" s="804">
        <f>Inputs!C60</f>
        <v>87.08</v>
      </c>
      <c r="E165" s="804">
        <f>Inputs!D60</f>
        <v>85.95</v>
      </c>
      <c r="F165" s="804">
        <f>Inputs!E60</f>
        <v>94.55</v>
      </c>
      <c r="G165" s="804">
        <f>Inputs!F60</f>
        <v>92.2</v>
      </c>
      <c r="H165" s="804">
        <f>Inputs!G60</f>
        <v>91.18</v>
      </c>
      <c r="I165" s="804">
        <f>Inputs!H60</f>
        <v>66.319999999999993</v>
      </c>
      <c r="J165" s="804">
        <f>Inputs!I60</f>
        <v>50.22</v>
      </c>
      <c r="K165" s="804">
        <f>Inputs!J60</f>
        <v>43.67</v>
      </c>
      <c r="L165" s="804">
        <f>Inputs!K60</f>
        <v>38.54</v>
      </c>
    </row>
    <row r="166" spans="1:12" ht="12.75" customHeight="1">
      <c r="B166" s="811" t="s">
        <v>617</v>
      </c>
      <c r="C166" s="794">
        <f>C165/C164</f>
        <v>2.3401154762865747E-2</v>
      </c>
      <c r="D166" s="794">
        <f t="shared" ref="D166:L166" si="43">D165/D164</f>
        <v>1.9058624749948568E-2</v>
      </c>
      <c r="E166" s="794">
        <f t="shared" si="43"/>
        <v>1.9054438719860955E-2</v>
      </c>
      <c r="F166" s="794">
        <f t="shared" si="43"/>
        <v>2.0409440796432286E-2</v>
      </c>
      <c r="G166" s="794">
        <f t="shared" si="43"/>
        <v>1.9614433840642299E-2</v>
      </c>
      <c r="H166" s="794">
        <f t="shared" si="43"/>
        <v>2.0644839922112031E-2</v>
      </c>
      <c r="I166" s="794">
        <f t="shared" si="43"/>
        <v>9.1556684521508627E-2</v>
      </c>
      <c r="J166" s="794">
        <f t="shared" si="43"/>
        <v>0.11410783667719433</v>
      </c>
      <c r="K166" s="794">
        <f t="shared" si="43"/>
        <v>0.18761814744801514</v>
      </c>
      <c r="L166" s="794">
        <f t="shared" si="43"/>
        <v>0.1427671791072421</v>
      </c>
    </row>
    <row r="167" spans="1:12" ht="12.75" customHeight="1">
      <c r="B167" s="795" t="s">
        <v>585</v>
      </c>
      <c r="C167" s="796">
        <f>AVERAGE(C166:E166)</f>
        <v>2.0504739410891756E-2</v>
      </c>
    </row>
    <row r="168" spans="1:12" ht="12.75" customHeight="1">
      <c r="B168" s="795" t="s">
        <v>586</v>
      </c>
      <c r="C168" s="796">
        <f>AVERAGE(C166:G166)</f>
        <v>2.030761857394997E-2</v>
      </c>
    </row>
    <row r="169" spans="1:12" ht="12.75" customHeight="1">
      <c r="B169" s="795" t="s">
        <v>587</v>
      </c>
      <c r="C169" s="796">
        <f>AVERAGE(C166:L166)</f>
        <v>6.5823278054582199E-2</v>
      </c>
    </row>
    <row r="171" spans="1:12" ht="12.75" customHeight="1">
      <c r="B171" s="795" t="s">
        <v>613</v>
      </c>
      <c r="C171" s="804">
        <f>C162</f>
        <v>1075.4000000000001</v>
      </c>
      <c r="D171" s="804">
        <f t="shared" ref="D171:F171" si="44">D162</f>
        <v>937</v>
      </c>
      <c r="E171" s="804">
        <f t="shared" si="44"/>
        <v>878.7</v>
      </c>
      <c r="F171" s="804">
        <f t="shared" si="44"/>
        <v>1000.6</v>
      </c>
      <c r="G171" s="804">
        <f t="shared" ref="G171:K171" si="45">G162</f>
        <v>1042.74</v>
      </c>
      <c r="H171" s="804">
        <f t="shared" si="45"/>
        <v>736.55</v>
      </c>
      <c r="I171" s="804">
        <f t="shared" si="45"/>
        <v>527.96</v>
      </c>
      <c r="J171" s="804">
        <f t="shared" si="45"/>
        <v>400.27</v>
      </c>
      <c r="K171" s="804">
        <f t="shared" si="45"/>
        <v>193.91</v>
      </c>
      <c r="L171" s="804">
        <f>L162</f>
        <v>231.1</v>
      </c>
    </row>
    <row r="172" spans="1:12" ht="12.75" customHeight="1">
      <c r="B172" s="795" t="s">
        <v>618</v>
      </c>
      <c r="C172" s="816">
        <f>DCF!F41</f>
        <v>265.83</v>
      </c>
      <c r="D172" s="816">
        <f>DCF!E41</f>
        <v>226.82</v>
      </c>
      <c r="E172" s="816">
        <f>DCF!D41</f>
        <v>198.86</v>
      </c>
      <c r="F172" s="816">
        <v>177.5</v>
      </c>
      <c r="G172" s="816">
        <v>168.6</v>
      </c>
      <c r="H172" s="816">
        <v>138.80000000000001</v>
      </c>
      <c r="I172" s="816">
        <v>104.3</v>
      </c>
      <c r="J172" s="816">
        <v>86.9</v>
      </c>
      <c r="K172" s="816">
        <v>78.400000000000006</v>
      </c>
      <c r="L172" s="816">
        <v>87.9</v>
      </c>
    </row>
    <row r="173" spans="1:12" ht="12.75" customHeight="1">
      <c r="B173" s="795" t="s">
        <v>619</v>
      </c>
      <c r="C173" s="816">
        <f>C172-D172</f>
        <v>39.009999999999991</v>
      </c>
      <c r="D173" s="816">
        <f>D172-E172</f>
        <v>27.95999999999998</v>
      </c>
      <c r="E173" s="816">
        <f>E172-F172</f>
        <v>21.360000000000014</v>
      </c>
      <c r="F173" s="816">
        <f t="shared" ref="F173:L173" si="46">F172-G172</f>
        <v>8.9000000000000057</v>
      </c>
      <c r="G173" s="816">
        <f t="shared" si="46"/>
        <v>29.799999999999983</v>
      </c>
      <c r="H173" s="816">
        <f t="shared" si="46"/>
        <v>34.500000000000014</v>
      </c>
      <c r="I173" s="816">
        <f>I172-J172</f>
        <v>17.399999999999991</v>
      </c>
      <c r="J173" s="816">
        <f t="shared" si="46"/>
        <v>8.5</v>
      </c>
      <c r="K173" s="816">
        <f t="shared" si="46"/>
        <v>-9.5</v>
      </c>
      <c r="L173" s="816">
        <f t="shared" si="46"/>
        <v>87.9</v>
      </c>
    </row>
    <row r="174" spans="1:12" ht="12.75" customHeight="1">
      <c r="B174" s="795" t="s">
        <v>616</v>
      </c>
      <c r="C174" s="804">
        <f>C165</f>
        <v>110.16</v>
      </c>
      <c r="D174" s="804">
        <f t="shared" ref="D174:E174" si="47">D165</f>
        <v>87.08</v>
      </c>
      <c r="E174" s="804">
        <f t="shared" si="47"/>
        <v>85.95</v>
      </c>
      <c r="F174" s="804">
        <f t="shared" ref="F174:L174" si="48">F165</f>
        <v>94.55</v>
      </c>
      <c r="G174" s="804">
        <f t="shared" si="48"/>
        <v>92.2</v>
      </c>
      <c r="H174" s="804">
        <f t="shared" si="48"/>
        <v>91.18</v>
      </c>
      <c r="I174" s="804">
        <f t="shared" si="48"/>
        <v>66.319999999999993</v>
      </c>
      <c r="J174" s="804">
        <f t="shared" si="48"/>
        <v>50.22</v>
      </c>
      <c r="K174" s="804">
        <f t="shared" si="48"/>
        <v>43.67</v>
      </c>
      <c r="L174" s="804">
        <f t="shared" si="48"/>
        <v>38.54</v>
      </c>
    </row>
    <row r="175" spans="1:12" ht="12.75" customHeight="1">
      <c r="B175" s="598"/>
    </row>
    <row r="176" spans="1:12" ht="12.75" customHeight="1">
      <c r="B176" s="795" t="s">
        <v>614</v>
      </c>
      <c r="C176" s="816">
        <f>C163</f>
        <v>3632.06</v>
      </c>
      <c r="D176" s="816">
        <f t="shared" ref="D176:E176" si="49">D163</f>
        <v>3632.06</v>
      </c>
      <c r="E176" s="816">
        <f t="shared" si="49"/>
        <v>3632.06</v>
      </c>
      <c r="F176" s="816">
        <f t="shared" ref="F176:K176" si="50">F163</f>
        <v>3632.06</v>
      </c>
      <c r="G176" s="816">
        <f t="shared" si="50"/>
        <v>3657.88</v>
      </c>
      <c r="H176" s="816">
        <f t="shared" si="50"/>
        <v>3680.05</v>
      </c>
      <c r="I176" s="816">
        <f t="shared" si="50"/>
        <v>196.4</v>
      </c>
      <c r="J176" s="816">
        <f>J163</f>
        <v>39.840000000000003</v>
      </c>
      <c r="K176" s="816">
        <f t="shared" si="50"/>
        <v>38.85</v>
      </c>
      <c r="L176" s="816">
        <f>L163</f>
        <v>38.85</v>
      </c>
    </row>
    <row r="177" spans="2:12" ht="12.75" customHeight="1">
      <c r="B177" s="795" t="s">
        <v>620</v>
      </c>
      <c r="C177" s="811"/>
      <c r="D177" s="811"/>
      <c r="E177" s="811"/>
      <c r="F177" s="811"/>
      <c r="G177" s="811"/>
      <c r="H177" s="811"/>
      <c r="I177" s="811"/>
      <c r="J177" s="811"/>
      <c r="K177" s="811"/>
      <c r="L177" s="811"/>
    </row>
    <row r="178" spans="2:12" ht="12.75" customHeight="1">
      <c r="B178" s="795" t="s">
        <v>621</v>
      </c>
      <c r="C178" s="816">
        <f t="shared" ref="C178:L178" si="51">C174-C173</f>
        <v>71.150000000000006</v>
      </c>
      <c r="D178" s="816">
        <f t="shared" si="51"/>
        <v>59.120000000000019</v>
      </c>
      <c r="E178" s="816">
        <f t="shared" si="51"/>
        <v>64.589999999999989</v>
      </c>
      <c r="F178" s="816">
        <f t="shared" si="51"/>
        <v>85.649999999999991</v>
      </c>
      <c r="G178" s="816">
        <f t="shared" si="51"/>
        <v>62.40000000000002</v>
      </c>
      <c r="H178" s="816">
        <f t="shared" si="51"/>
        <v>56.679999999999993</v>
      </c>
      <c r="I178" s="816">
        <f t="shared" si="51"/>
        <v>48.92</v>
      </c>
      <c r="J178" s="816">
        <f t="shared" si="51"/>
        <v>41.72</v>
      </c>
      <c r="K178" s="816">
        <f t="shared" si="51"/>
        <v>53.17</v>
      </c>
      <c r="L178" s="816">
        <f t="shared" si="51"/>
        <v>-49.360000000000007</v>
      </c>
    </row>
    <row r="179" spans="2:12" ht="12.75" customHeight="1">
      <c r="B179" s="795" t="s">
        <v>622</v>
      </c>
      <c r="C179" s="794">
        <f t="shared" ref="C179:L179" si="52">C178/C176</f>
        <v>1.9589434095251733E-2</v>
      </c>
      <c r="D179" s="794">
        <f t="shared" si="52"/>
        <v>1.6277264142112197E-2</v>
      </c>
      <c r="E179" s="794">
        <f t="shared" si="52"/>
        <v>1.7783296531444961E-2</v>
      </c>
      <c r="F179" s="794">
        <f t="shared" si="52"/>
        <v>2.358165889330022E-2</v>
      </c>
      <c r="G179" s="794">
        <f t="shared" si="52"/>
        <v>1.7059061532909779E-2</v>
      </c>
      <c r="H179" s="794">
        <f t="shared" si="52"/>
        <v>1.5401964647219464E-2</v>
      </c>
      <c r="I179" s="794">
        <f t="shared" si="52"/>
        <v>0.24908350305498983</v>
      </c>
      <c r="J179" s="794">
        <f t="shared" si="52"/>
        <v>1.0471887550200802</v>
      </c>
      <c r="K179" s="794">
        <f t="shared" si="52"/>
        <v>1.3685971685971685</v>
      </c>
      <c r="L179" s="794">
        <f t="shared" si="52"/>
        <v>-1.2705276705276707</v>
      </c>
    </row>
    <row r="180" spans="2:12" ht="12.75" customHeight="1">
      <c r="C180" s="828"/>
    </row>
  </sheetData>
  <mergeCells count="1">
    <mergeCell ref="C15:M15"/>
  </mergeCells>
  <phoneticPr fontId="82" type="noConversion"/>
  <conditionalFormatting sqref="C140:L142">
    <cfRule type="colorScale" priority="1">
      <colorScale>
        <cfvo type="min"/>
        <cfvo type="percentile" val="50"/>
        <cfvo type="max"/>
        <color rgb="FFF8696B"/>
        <color rgb="FFFFEB84"/>
        <color rgb="FF63BE7B"/>
      </colorScale>
    </cfRule>
  </conditionalFormatting>
  <hyperlinks>
    <hyperlink ref="B42" r:id="rId1" xr:uid="{76B2683B-4614-48C9-89C3-0639C83E8D20}"/>
    <hyperlink ref="B41" r:id="rId2" xr:uid="{D7A1941D-A09E-487C-8EDA-18D3D624B1B4}"/>
    <hyperlink ref="B44" location="'Market Data'!A1" display="Home Building Market Share" xr:uid="{0CC22192-4600-432A-81FD-7B801C146D67}"/>
    <hyperlink ref="B58" location="'Market Data'!A1" display="Home Building Projected Revenues" xr:uid="{6288E9BD-E40D-4C41-9AAE-53267E7B8B1A}"/>
    <hyperlink ref="B83" location="'Market Data'!A1" display="Home Building Projected Revenues" xr:uid="{228299D2-243B-4FDB-8429-654E1F1A1D58}"/>
    <hyperlink ref="B114" r:id="rId3" xr:uid="{A925A7FD-8106-4740-A542-784FDA1D87E0}"/>
    <hyperlink ref="B115" r:id="rId4" display="5Y US T-NOTE" xr:uid="{913BA59B-6361-4EA3-964D-08E507D55ED8}"/>
    <hyperlink ref="B116" r:id="rId5" xr:uid="{5947BEDA-175D-484E-8E0D-083A97F271E6}"/>
    <hyperlink ref="B117" r:id="rId6" xr:uid="{412555A6-6849-4899-A8D4-467DB8C4A307}"/>
    <hyperlink ref="B122" r:id="rId7" xr:uid="{A24ABBCA-6DB5-4DFD-8955-3D347F13B70E}"/>
    <hyperlink ref="B123" r:id="rId8" location=":~:text=The%20annual%20inflation%20rate%20for,12%20at%208%3A30%20a.m." xr:uid="{BA6756F9-57B6-4285-9576-438F38AAFE47}"/>
    <hyperlink ref="B124" r:id="rId9" location=":~:text=The%20annual%20inflation%20rate%20for,12%20at%208%3A30%20a.m." xr:uid="{36B23BA6-7439-4AFD-B2D0-C8EFDD0871A0}"/>
  </hyperlinks>
  <pageMargins left="0.7" right="0.7" top="0.75" bottom="0.75" header="0.3" footer="0.3"/>
  <pageSetup paperSize="9" orientation="portrait" r:id="rId10"/>
  <legacyDrawing r:id="rId11"/>
  <tableParts count="1">
    <tablePart r:id="rId1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96"/>
  <sheetViews>
    <sheetView zoomScale="76" workbookViewId="0">
      <selection activeCell="B5" sqref="B5"/>
    </sheetView>
  </sheetViews>
  <sheetFormatPr defaultColWidth="11.42578125" defaultRowHeight="12.75"/>
  <cols>
    <col min="1" max="1" width="36.140625" style="10" customWidth="1"/>
    <col min="2" max="10" width="12.42578125" style="44" customWidth="1"/>
    <col min="11" max="12" width="12.42578125" style="51" customWidth="1"/>
    <col min="13" max="13" width="12.140625" style="51" bestFit="1" customWidth="1"/>
    <col min="14" max="16384" width="11.42578125" style="43"/>
  </cols>
  <sheetData>
    <row r="1" spans="1:25" ht="15.75">
      <c r="A1" s="1230">
        <f>Inputs!H4</f>
        <v>0</v>
      </c>
      <c r="B1" s="1230"/>
      <c r="C1" s="1230"/>
      <c r="D1" s="1230"/>
      <c r="E1" s="1230"/>
      <c r="F1" s="1230"/>
      <c r="G1" s="1230"/>
      <c r="H1" s="1230"/>
      <c r="I1" s="1230"/>
      <c r="J1" s="1230"/>
      <c r="K1" s="1230"/>
      <c r="L1" s="1230"/>
      <c r="M1" s="1230"/>
    </row>
    <row r="2" spans="1:25" ht="12">
      <c r="A2" s="1231" t="str">
        <f>Inputs!G2</f>
        <v>Figures in Millions of USD</v>
      </c>
      <c r="B2" s="1231"/>
      <c r="C2" s="1231"/>
      <c r="D2" s="1231"/>
      <c r="E2" s="1231"/>
      <c r="F2" s="1231"/>
      <c r="G2" s="1231"/>
      <c r="H2" s="1231"/>
      <c r="I2" s="1231"/>
      <c r="J2" s="1231"/>
      <c r="K2" s="1231"/>
      <c r="L2" s="1231"/>
      <c r="M2" s="1231"/>
    </row>
    <row r="3" spans="1:25" ht="20.25">
      <c r="A3" s="1229" t="s">
        <v>623</v>
      </c>
      <c r="B3" s="1229"/>
      <c r="C3" s="1229"/>
      <c r="D3" s="1229"/>
      <c r="E3" s="1229"/>
      <c r="F3" s="1229"/>
      <c r="G3" s="1229"/>
      <c r="H3" s="1229"/>
      <c r="I3" s="1229"/>
      <c r="J3" s="1229"/>
      <c r="K3" s="1229"/>
      <c r="L3" s="1229"/>
      <c r="M3" s="1229"/>
    </row>
    <row r="4" spans="1:25">
      <c r="A4" s="114"/>
      <c r="B4" s="54">
        <f>OP!J20</f>
        <v>2023</v>
      </c>
      <c r="C4" s="45">
        <f>B4-1</f>
        <v>2022</v>
      </c>
      <c r="D4" s="45">
        <f t="shared" ref="D4:M4" si="0">C4-1</f>
        <v>2021</v>
      </c>
      <c r="E4" s="45">
        <f t="shared" si="0"/>
        <v>2020</v>
      </c>
      <c r="F4" s="45">
        <f t="shared" si="0"/>
        <v>2019</v>
      </c>
      <c r="G4" s="45">
        <f t="shared" si="0"/>
        <v>2018</v>
      </c>
      <c r="H4" s="45">
        <f t="shared" si="0"/>
        <v>2017</v>
      </c>
      <c r="I4" s="45">
        <f t="shared" si="0"/>
        <v>2016</v>
      </c>
      <c r="J4" s="45">
        <f>I4-1</f>
        <v>2015</v>
      </c>
      <c r="K4" s="45">
        <f t="shared" si="0"/>
        <v>2014</v>
      </c>
      <c r="L4" s="45">
        <f t="shared" si="0"/>
        <v>2013</v>
      </c>
      <c r="M4" s="45">
        <f t="shared" si="0"/>
        <v>2012</v>
      </c>
    </row>
    <row r="5" spans="1:25">
      <c r="A5" s="115" t="s">
        <v>124</v>
      </c>
      <c r="B5" s="55">
        <f>_xlfn.XLOOKUP($A5,Inputs!$A:$A,Inputs!B:B,,0)</f>
        <v>34233.366000000002</v>
      </c>
      <c r="C5" s="55">
        <f>_xlfn.XLOOKUP($A5,Inputs!$A:$A,Inputs!C:C,,0)</f>
        <v>33671.01</v>
      </c>
      <c r="D5" s="55">
        <f>_xlfn.XLOOKUP($A5,Inputs!$A:$A,Inputs!D:D,,0)</f>
        <v>27130.675999999999</v>
      </c>
      <c r="E5" s="55">
        <f>_xlfn.XLOOKUP($A5,Inputs!$A:$A,Inputs!E:E,,0)</f>
        <v>22489</v>
      </c>
      <c r="F5" s="55">
        <f>_xlfn.XLOOKUP($A5,Inputs!$A:$A,Inputs!F:F,,0)</f>
        <v>22260</v>
      </c>
      <c r="G5" s="55">
        <f>_xlfn.XLOOKUP($A5,Inputs!$A:$A,Inputs!G:G,,0)</f>
        <v>20572</v>
      </c>
      <c r="H5" s="55">
        <f>_xlfn.XLOOKUP($A5,Inputs!$A:$A,Inputs!H:H,,0)</f>
        <v>12646</v>
      </c>
      <c r="I5" s="55">
        <f>_xlfn.XLOOKUP($A5,Inputs!$A:$A,Inputs!I:I,,0)</f>
        <v>10950</v>
      </c>
      <c r="J5" s="55">
        <f>_xlfn.XLOOKUP($A5,Inputs!$A:$A,Inputs!J:J,,0)</f>
        <v>9474</v>
      </c>
      <c r="K5" s="55">
        <f>_xlfn.XLOOKUP($A5,Inputs!$A:$A,Inputs!K:K,,0)</f>
        <v>7779.8</v>
      </c>
      <c r="L5" s="55">
        <f>_xlfn.XLOOKUP($A5,Inputs!$A:$A,Inputs!L:L,,0)</f>
        <v>5935</v>
      </c>
      <c r="M5" s="56">
        <f>_xlfn.XLOOKUP($A5,Inputs!$A:$A,Inputs!M:M,,0)</f>
        <v>4105.1000000000004</v>
      </c>
    </row>
    <row r="6" spans="1:25">
      <c r="A6" s="115" t="s">
        <v>624</v>
      </c>
      <c r="B6" s="55">
        <f t="shared" ref="B6:M6" si="1">B5-B8</f>
        <v>28593.826000000001</v>
      </c>
      <c r="C6" s="55">
        <f t="shared" si="1"/>
        <v>26632.520000000004</v>
      </c>
      <c r="D6" s="55">
        <f t="shared" si="1"/>
        <v>21683.606</v>
      </c>
      <c r="E6" s="55">
        <f t="shared" si="1"/>
        <v>19013.59</v>
      </c>
      <c r="F6" s="55">
        <f t="shared" si="1"/>
        <v>19395.21</v>
      </c>
      <c r="G6" s="55">
        <f t="shared" si="1"/>
        <v>18121.8</v>
      </c>
      <c r="H6" s="55">
        <f t="shared" si="1"/>
        <v>11088.06</v>
      </c>
      <c r="I6" s="55">
        <f t="shared" si="1"/>
        <v>9429.67</v>
      </c>
      <c r="J6" s="55">
        <f t="shared" si="1"/>
        <v>8149.42</v>
      </c>
      <c r="K6" s="55">
        <f t="shared" si="1"/>
        <v>6681.85</v>
      </c>
      <c r="L6" s="55">
        <f t="shared" si="1"/>
        <v>5084.7</v>
      </c>
      <c r="M6" s="56">
        <f t="shared" si="1"/>
        <v>3716.4000000000005</v>
      </c>
    </row>
    <row r="7" spans="1:25">
      <c r="A7" s="116" t="s">
        <v>625</v>
      </c>
      <c r="B7" s="57">
        <f>IFERROR(B6/B$5,"-")</f>
        <v>0.83526189040248044</v>
      </c>
      <c r="C7" s="57">
        <f t="shared" ref="C7:M7" si="2">IFERROR(C6/C$5,"-")</f>
        <v>0.79096290844854378</v>
      </c>
      <c r="D7" s="57">
        <f t="shared" si="2"/>
        <v>0.79922837160415761</v>
      </c>
      <c r="E7" s="57">
        <f t="shared" si="2"/>
        <v>0.84546178131530969</v>
      </c>
      <c r="F7" s="57">
        <f t="shared" si="2"/>
        <v>0.87130323450134772</v>
      </c>
      <c r="G7" s="57">
        <f t="shared" si="2"/>
        <v>0.88089636398988913</v>
      </c>
      <c r="H7" s="57">
        <f t="shared" si="2"/>
        <v>0.87680373240550369</v>
      </c>
      <c r="I7" s="57">
        <f t="shared" si="2"/>
        <v>0.86115707762557081</v>
      </c>
      <c r="J7" s="57">
        <f t="shared" si="2"/>
        <v>0.86018788262613466</v>
      </c>
      <c r="K7" s="57">
        <f t="shared" si="2"/>
        <v>0.85887169335972646</v>
      </c>
      <c r="L7" s="57">
        <f t="shared" si="2"/>
        <v>0.85673125526537486</v>
      </c>
      <c r="M7" s="58">
        <f t="shared" si="2"/>
        <v>0.90531290346154791</v>
      </c>
    </row>
    <row r="8" spans="1:25">
      <c r="A8" s="115" t="s">
        <v>299</v>
      </c>
      <c r="B8" s="55">
        <f>_xlfn.XLOOKUP($A8,Inputs!$A:$A,Inputs!B:B,,0)</f>
        <v>5639.54</v>
      </c>
      <c r="C8" s="55">
        <f>_xlfn.XLOOKUP($A8,Inputs!$A:$A,Inputs!C:C,,0)</f>
        <v>7038.49</v>
      </c>
      <c r="D8" s="55">
        <f>_xlfn.XLOOKUP($A8,Inputs!$A:$A,Inputs!D:D,,0)</f>
        <v>5447.07</v>
      </c>
      <c r="E8" s="55">
        <f>_xlfn.XLOOKUP($A8,Inputs!$A:$A,Inputs!E:E,,0)</f>
        <v>3475.41</v>
      </c>
      <c r="F8" s="55">
        <f>_xlfn.XLOOKUP($A8,Inputs!$A:$A,Inputs!F:F,,0)</f>
        <v>2864.79</v>
      </c>
      <c r="G8" s="55">
        <f>_xlfn.XLOOKUP($A8,Inputs!$A:$A,Inputs!G:G,,0)</f>
        <v>2450.1999999999998</v>
      </c>
      <c r="H8" s="55">
        <f>_xlfn.XLOOKUP($A8,Inputs!$A:$A,Inputs!H:H,,0)</f>
        <v>1557.94</v>
      </c>
      <c r="I8" s="55">
        <f>_xlfn.XLOOKUP($A8,Inputs!$A:$A,Inputs!I:I,,0)</f>
        <v>1520.33</v>
      </c>
      <c r="J8" s="55">
        <f>_xlfn.XLOOKUP($A8,Inputs!$A:$A,Inputs!J:J,,0)</f>
        <v>1324.58</v>
      </c>
      <c r="K8" s="55">
        <f>_xlfn.XLOOKUP($A8,Inputs!$A:$A,Inputs!K:K,,0)</f>
        <v>1097.95</v>
      </c>
      <c r="L8" s="55">
        <f>_xlfn.XLOOKUP($A8,Inputs!$A:$A,Inputs!L:L,,0)</f>
        <v>850.3</v>
      </c>
      <c r="M8" s="56">
        <f>_xlfn.XLOOKUP($A8,Inputs!$A:$A,Inputs!M:M,,0)</f>
        <v>388.7</v>
      </c>
    </row>
    <row r="9" spans="1:25">
      <c r="A9" s="116" t="s">
        <v>125</v>
      </c>
      <c r="B9" s="57">
        <f t="shared" ref="B9:M9" si="3">IFERROR(B8/B$5,"-")</f>
        <v>0.16473810959751956</v>
      </c>
      <c r="C9" s="57">
        <f t="shared" si="3"/>
        <v>0.20903709155145625</v>
      </c>
      <c r="D9" s="57">
        <f t="shared" si="3"/>
        <v>0.20077162839584239</v>
      </c>
      <c r="E9" s="57">
        <f t="shared" si="3"/>
        <v>0.15453821868469028</v>
      </c>
      <c r="F9" s="57">
        <f t="shared" si="3"/>
        <v>0.12869676549865228</v>
      </c>
      <c r="G9" s="57">
        <f t="shared" si="3"/>
        <v>0.11910363601011083</v>
      </c>
      <c r="H9" s="57">
        <f t="shared" si="3"/>
        <v>0.12319626759449628</v>
      </c>
      <c r="I9" s="57">
        <f t="shared" si="3"/>
        <v>0.13884292237442922</v>
      </c>
      <c r="J9" s="57">
        <f t="shared" si="3"/>
        <v>0.13981211737386531</v>
      </c>
      <c r="K9" s="57">
        <f t="shared" si="3"/>
        <v>0.14112830664027354</v>
      </c>
      <c r="L9" s="57">
        <f t="shared" si="3"/>
        <v>0.14326874473462509</v>
      </c>
      <c r="M9" s="58">
        <f t="shared" si="3"/>
        <v>9.4687096538452156E-2</v>
      </c>
    </row>
    <row r="10" spans="1:25">
      <c r="A10" s="115" t="s">
        <v>626</v>
      </c>
      <c r="B10" s="57">
        <f t="shared" ref="B10" si="4">IFERROR(B9/C9-1,"-")</f>
        <v>-0.21191924182045041</v>
      </c>
      <c r="C10" s="57">
        <f t="shared" ref="C10" si="5">IFERROR(C9/D9-1,"-")</f>
        <v>4.1168481929715783E-2</v>
      </c>
      <c r="D10" s="57">
        <f t="shared" ref="D10" si="6">IFERROR(D9/E9-1,"-")</f>
        <v>0.29917136424021917</v>
      </c>
      <c r="E10" s="57">
        <f t="shared" ref="E10" si="7">IFERROR(E9/F9-1,"-")</f>
        <v>0.20079333840218871</v>
      </c>
      <c r="F10" s="57">
        <f t="shared" ref="F10" si="8">IFERROR(F9/G9-1,"-")</f>
        <v>8.0544388147202106E-2</v>
      </c>
      <c r="G10" s="57">
        <f t="shared" ref="G10" si="9">IFERROR(G9/H9-1,"-")</f>
        <v>-3.3220418640087845E-2</v>
      </c>
      <c r="H10" s="57">
        <f t="shared" ref="H10" si="10">IFERROR(H9/I9-1,"-")</f>
        <v>-0.11269321123720877</v>
      </c>
      <c r="I10" s="57">
        <f t="shared" ref="I10" si="11">IFERROR(I9/J9-1,"-")</f>
        <v>-6.9321244656098679E-3</v>
      </c>
      <c r="J10" s="57">
        <f t="shared" ref="J10" si="12">IFERROR(J9/K9-1,"-")</f>
        <v>-9.3261890384832569E-3</v>
      </c>
      <c r="K10" s="57">
        <f t="shared" ref="K10" si="13">IFERROR(K9/L9-1,"-")</f>
        <v>-1.4940021274816417E-2</v>
      </c>
      <c r="L10" s="57">
        <f t="shared" ref="L10" si="14">IFERROR(L9/M9-1,"-")</f>
        <v>0.5130756985081284</v>
      </c>
      <c r="M10" s="58" t="str">
        <f>IFERROR(M9/#REF!-1,"-")</f>
        <v>-</v>
      </c>
    </row>
    <row r="11" spans="1:25">
      <c r="A11" s="117" t="s">
        <v>300</v>
      </c>
      <c r="B11" s="55">
        <f>_xlfn.XLOOKUP($A11,Inputs!$A:$A,Inputs!B:B,,0)</f>
        <v>-242.46</v>
      </c>
      <c r="C11" s="55">
        <f>_xlfn.XLOOKUP($A11,Inputs!$A:$A,Inputs!C:C,,0)</f>
        <v>-312.73</v>
      </c>
      <c r="D11" s="55">
        <f>_xlfn.XLOOKUP($A11,Inputs!$A:$A,Inputs!D:D,,0)</f>
        <v>-353.7</v>
      </c>
      <c r="E11" s="55">
        <f>_xlfn.XLOOKUP($A11,Inputs!$A:$A,Inputs!E:E,,0)</f>
        <v>-374.1</v>
      </c>
      <c r="F11" s="55">
        <f>_xlfn.XLOOKUP($A11,Inputs!$A:$A,Inputs!F:F,,0)</f>
        <v>-394.99</v>
      </c>
      <c r="G11" s="55">
        <f>_xlfn.XLOOKUP($A11,Inputs!$A:$A,Inputs!G:G,,0)</f>
        <v>-19.760000000000002</v>
      </c>
      <c r="H11" s="55">
        <f>_xlfn.XLOOKUP($A11,Inputs!$A:$A,Inputs!H:H,,0)</f>
        <v>-277.81</v>
      </c>
      <c r="I11" s="55">
        <f>_xlfn.XLOOKUP($A11,Inputs!$A:$A,Inputs!I:I,,0)</f>
        <v>-245.06</v>
      </c>
      <c r="J11" s="55">
        <f>_xlfn.XLOOKUP($A11,Inputs!$A:$A,Inputs!J:J,,0)</f>
        <v>-220.15</v>
      </c>
      <c r="K11" s="55">
        <f>_xlfn.XLOOKUP($A11,Inputs!$A:$A,Inputs!K:K,,0)</f>
        <v>-201.5</v>
      </c>
      <c r="L11" s="55">
        <f>_xlfn.XLOOKUP($A11,Inputs!$A:$A,Inputs!L:L,,0)</f>
        <v>-214.3</v>
      </c>
      <c r="M11" s="56">
        <f>_xlfn.XLOOKUP($A11,Inputs!$A:$A,Inputs!M:M,,0)</f>
        <v>-181.4</v>
      </c>
    </row>
    <row r="12" spans="1:25">
      <c r="A12" s="115" t="s">
        <v>627</v>
      </c>
      <c r="B12" s="55">
        <f>_xlfn.XLOOKUP($A12,Inputs!$A:$A,Inputs!B:B,,0)</f>
        <v>-194.77</v>
      </c>
      <c r="C12" s="55">
        <f>_xlfn.XLOOKUP($A12,Inputs!$A:$A,Inputs!C:C,,0)</f>
        <v>-711.19</v>
      </c>
      <c r="D12" s="55">
        <f>_xlfn.XLOOKUP($A12,Inputs!$A:$A,Inputs!D:D,,0)</f>
        <v>725.65</v>
      </c>
      <c r="E12" s="55">
        <f>_xlfn.XLOOKUP($A12,Inputs!$A:$A,Inputs!E:E,,0)</f>
        <v>22.48</v>
      </c>
      <c r="F12" s="55">
        <f>_xlfn.XLOOKUP($A12,Inputs!$A:$A,Inputs!F:F,,0)</f>
        <v>-35.51</v>
      </c>
      <c r="G12" s="55">
        <f>_xlfn.XLOOKUP($A12,Inputs!$A:$A,Inputs!G:G,,0)</f>
        <v>-236.36</v>
      </c>
      <c r="H12" s="55">
        <f>_xlfn.XLOOKUP($A12,Inputs!$A:$A,Inputs!H:H,,0)</f>
        <v>-90.52</v>
      </c>
      <c r="I12" s="55">
        <f>_xlfn.XLOOKUP($A12,Inputs!$A:$A,Inputs!I:I,,0)</f>
        <v>55.21</v>
      </c>
      <c r="J12" s="55">
        <f>_xlfn.XLOOKUP($A12,Inputs!$A:$A,Inputs!J:J,,0)</f>
        <v>105.18</v>
      </c>
      <c r="K12" s="55">
        <f>_xlfn.XLOOKUP($A12,Inputs!$A:$A,Inputs!K:K,,0)</f>
        <v>73.38</v>
      </c>
      <c r="L12" s="55">
        <f>_xlfn.XLOOKUP($A12,Inputs!$A:$A,Inputs!L:L,,0)</f>
        <v>45.89</v>
      </c>
      <c r="M12" s="56">
        <f>_xlfn.XLOOKUP($A12,Inputs!$A:$A,Inputs!M:M,,0)</f>
        <v>14.81</v>
      </c>
    </row>
    <row r="13" spans="1:25">
      <c r="A13" s="117" t="s">
        <v>61</v>
      </c>
      <c r="B13" s="55">
        <f>B8-B12</f>
        <v>5834.31</v>
      </c>
      <c r="C13" s="55">
        <f t="shared" ref="C13:M13" si="15">C8-C12</f>
        <v>7749.68</v>
      </c>
      <c r="D13" s="55">
        <f t="shared" si="15"/>
        <v>4721.42</v>
      </c>
      <c r="E13" s="55">
        <f t="shared" si="15"/>
        <v>3452.93</v>
      </c>
      <c r="F13" s="55">
        <f t="shared" si="15"/>
        <v>2900.3</v>
      </c>
      <c r="G13" s="55">
        <f t="shared" si="15"/>
        <v>2686.56</v>
      </c>
      <c r="H13" s="55">
        <f t="shared" si="15"/>
        <v>1648.46</v>
      </c>
      <c r="I13" s="55">
        <f t="shared" si="15"/>
        <v>1465.12</v>
      </c>
      <c r="J13" s="55">
        <f t="shared" si="15"/>
        <v>1219.3999999999999</v>
      </c>
      <c r="K13" s="55">
        <f t="shared" si="15"/>
        <v>1024.5700000000002</v>
      </c>
      <c r="L13" s="55">
        <f t="shared" si="15"/>
        <v>804.41</v>
      </c>
      <c r="M13" s="56">
        <f t="shared" si="15"/>
        <v>373.89</v>
      </c>
      <c r="N13" s="53"/>
      <c r="O13" s="53"/>
      <c r="P13" s="53"/>
      <c r="Q13" s="53"/>
      <c r="R13" s="53"/>
      <c r="S13" s="53"/>
      <c r="T13" s="53"/>
      <c r="U13" s="53"/>
      <c r="V13" s="53"/>
      <c r="W13" s="53"/>
      <c r="X13" s="53"/>
      <c r="Y13" s="53"/>
    </row>
    <row r="14" spans="1:25">
      <c r="A14" s="115" t="s">
        <v>57</v>
      </c>
      <c r="B14" s="55">
        <f>_xlfn.XLOOKUP($A14,Inputs!$A:$A,Inputs!B:B,,0)</f>
        <v>110.16</v>
      </c>
      <c r="C14" s="55">
        <f>_xlfn.XLOOKUP($A14,Inputs!$A:$A,Inputs!C:C,,0)</f>
        <v>87.08</v>
      </c>
      <c r="D14" s="55">
        <f>_xlfn.XLOOKUP($A14,Inputs!$A:$A,Inputs!D:D,,0)</f>
        <v>85.95</v>
      </c>
      <c r="E14" s="55">
        <f>_xlfn.XLOOKUP($A14,Inputs!$A:$A,Inputs!E:E,,0)</f>
        <v>94.55</v>
      </c>
      <c r="F14" s="55">
        <f>_xlfn.XLOOKUP($A14,Inputs!$A:$A,Inputs!F:F,,0)</f>
        <v>92.2</v>
      </c>
      <c r="G14" s="55">
        <f>_xlfn.XLOOKUP($A14,Inputs!$A:$A,Inputs!G:G,,0)</f>
        <v>91.18</v>
      </c>
      <c r="H14" s="55">
        <f>_xlfn.XLOOKUP($A14,Inputs!$A:$A,Inputs!H:H,,0)</f>
        <v>66.319999999999993</v>
      </c>
      <c r="I14" s="55">
        <f>_xlfn.XLOOKUP($A14,Inputs!$A:$A,Inputs!I:I,,0)</f>
        <v>50.22</v>
      </c>
      <c r="J14" s="55">
        <f>_xlfn.XLOOKUP($A14,Inputs!$A:$A,Inputs!J:J,,0)</f>
        <v>43.67</v>
      </c>
      <c r="K14" s="55">
        <f>_xlfn.XLOOKUP($A14,Inputs!$A:$A,Inputs!K:K,,0)</f>
        <v>38.54</v>
      </c>
      <c r="L14" s="55">
        <f>_xlfn.XLOOKUP($A14,Inputs!$A:$A,Inputs!L:L,,0)</f>
        <v>30.35</v>
      </c>
      <c r="M14" s="56">
        <f>_xlfn.XLOOKUP($A14,Inputs!$A:$A,Inputs!M:M,,0)</f>
        <v>28.08</v>
      </c>
      <c r="N14" s="287"/>
    </row>
    <row r="15" spans="1:25">
      <c r="A15" s="117" t="s">
        <v>628</v>
      </c>
      <c r="B15" s="55">
        <f>_xlfn.XLOOKUP($A15,Inputs!$A:$A,Inputs!B:B,,0)</f>
        <v>-1449.8399999999983</v>
      </c>
      <c r="C15" s="55">
        <f>_xlfn.XLOOKUP($A15,Inputs!$A:$A,Inputs!C:C,,0)</f>
        <v>280.94999999999709</v>
      </c>
      <c r="D15" s="55">
        <f>_xlfn.XLOOKUP($A15,Inputs!$A:$A,Inputs!D:D,,0)</f>
        <v>1520.6599999999999</v>
      </c>
      <c r="E15" s="55">
        <f>_xlfn.XLOOKUP($A15,Inputs!$A:$A,Inputs!E:E,,0)</f>
        <v>-2281.9999999999964</v>
      </c>
      <c r="F15" s="55">
        <f>_xlfn.XLOOKUP($A15,Inputs!$A:$A,Inputs!F:F,,0)</f>
        <v>2843.4799999999959</v>
      </c>
      <c r="G15" s="55">
        <f>_xlfn.XLOOKUP($A15,Inputs!$A:$A,Inputs!G:G,,0)</f>
        <v>6435.3200000000015</v>
      </c>
      <c r="H15" s="55">
        <f>_xlfn.XLOOKUP($A15,Inputs!$A:$A,Inputs!H:H,,0)</f>
        <v>-7.9699999999993452</v>
      </c>
      <c r="I15" s="55">
        <f>_xlfn.XLOOKUP($A15,Inputs!$A:$A,Inputs!I:I,,0)</f>
        <v>227.18000000000029</v>
      </c>
      <c r="J15" s="55">
        <f>_xlfn.XLOOKUP($A15,Inputs!$A:$A,Inputs!J:J,,0)</f>
        <v>820.63000000000011</v>
      </c>
      <c r="K15" s="55">
        <f>_xlfn.XLOOKUP($A15,Inputs!$A:$A,Inputs!K:K,,0)</f>
        <v>1767.9299999999985</v>
      </c>
      <c r="L15" s="55">
        <f>_xlfn.XLOOKUP($A15,Inputs!$A:$A,Inputs!L:L,,0)</f>
        <v>930.30000000000018</v>
      </c>
      <c r="M15" s="56">
        <f>_xlfn.XLOOKUP($A15,Inputs!$A:$A,Inputs!M:M,,0)</f>
        <v>5240.6000000000004</v>
      </c>
    </row>
    <row r="16" spans="1:25">
      <c r="A16" s="115" t="s">
        <v>53</v>
      </c>
      <c r="B16" s="55">
        <f>B8-B12+B14</f>
        <v>5944.47</v>
      </c>
      <c r="C16" s="55">
        <f t="shared" ref="C16:M16" si="16">C8-C12+C14</f>
        <v>7836.76</v>
      </c>
      <c r="D16" s="55">
        <f t="shared" si="16"/>
        <v>4807.37</v>
      </c>
      <c r="E16" s="55">
        <f t="shared" si="16"/>
        <v>3547.48</v>
      </c>
      <c r="F16" s="55">
        <f t="shared" si="16"/>
        <v>2992.5</v>
      </c>
      <c r="G16" s="55">
        <f t="shared" si="16"/>
        <v>2777.74</v>
      </c>
      <c r="H16" s="55">
        <f t="shared" si="16"/>
        <v>1714.78</v>
      </c>
      <c r="I16" s="55">
        <f t="shared" si="16"/>
        <v>1515.34</v>
      </c>
      <c r="J16" s="55">
        <f t="shared" si="16"/>
        <v>1263.07</v>
      </c>
      <c r="K16" s="55">
        <f t="shared" si="16"/>
        <v>1063.1100000000001</v>
      </c>
      <c r="L16" s="55">
        <f t="shared" si="16"/>
        <v>834.76</v>
      </c>
      <c r="M16" s="56">
        <f t="shared" si="16"/>
        <v>401.96999999999997</v>
      </c>
    </row>
    <row r="17" spans="1:18">
      <c r="A17" s="116" t="s">
        <v>629</v>
      </c>
      <c r="B17" s="57">
        <f t="shared" ref="B17" si="17">IFERROR(B16/B$5,"-")</f>
        <v>0.17364550129251094</v>
      </c>
      <c r="C17" s="57">
        <f t="shared" ref="C17" si="18">IFERROR(C16/C$5,"-")</f>
        <v>0.23274502309256537</v>
      </c>
      <c r="D17" s="57">
        <f t="shared" ref="D17" si="19">IFERROR(D16/D$5,"-")</f>
        <v>0.1771931521352435</v>
      </c>
      <c r="E17" s="57">
        <f t="shared" ref="E17" si="20">IFERROR(E16/E$5,"-")</f>
        <v>0.15774289652719106</v>
      </c>
      <c r="F17" s="57">
        <f t="shared" ref="F17" si="21">IFERROR(F16/F$5,"-")</f>
        <v>0.13443396226415094</v>
      </c>
      <c r="G17" s="57">
        <f t="shared" ref="G17" si="22">IFERROR(G16/G$5,"-")</f>
        <v>0.13502527707563677</v>
      </c>
      <c r="H17" s="57">
        <f t="shared" ref="H17" si="23">IFERROR(H16/H$5,"-")</f>
        <v>0.13559860825557488</v>
      </c>
      <c r="I17" s="57">
        <f t="shared" ref="I17" si="24">IFERROR(I16/I$5,"-")</f>
        <v>0.13838721461187214</v>
      </c>
      <c r="J17" s="57">
        <f t="shared" ref="J17" si="25">IFERROR(J16/J$5,"-")</f>
        <v>0.13331961156850328</v>
      </c>
      <c r="K17" s="57">
        <f t="shared" ref="K17" si="26">IFERROR(K16/K$5,"-")</f>
        <v>0.13665004241754289</v>
      </c>
      <c r="L17" s="57">
        <f t="shared" ref="L17" si="27">IFERROR(L16/L$5,"-")</f>
        <v>0.14065037910699241</v>
      </c>
      <c r="M17" s="58">
        <f t="shared" ref="M17" si="28">IFERROR(M16/M$5,"-")</f>
        <v>9.7919660909600234E-2</v>
      </c>
      <c r="P17" s="287"/>
      <c r="Q17" s="287"/>
      <c r="R17" s="287"/>
    </row>
    <row r="18" spans="1:18">
      <c r="A18" s="115" t="s">
        <v>301</v>
      </c>
      <c r="B18" s="55">
        <f>_xlfn.XLOOKUP($A18,Inputs!$A:$A,Inputs!B:B,,0)</f>
        <v>-1241.01</v>
      </c>
      <c r="C18" s="55">
        <f>_xlfn.XLOOKUP($A18,Inputs!$A:$A,Inputs!C:C,,0)</f>
        <v>-1366.07</v>
      </c>
      <c r="D18" s="55">
        <f>_xlfn.XLOOKUP($A18,Inputs!$A:$A,Inputs!D:D,,0)</f>
        <v>-1362.51</v>
      </c>
      <c r="E18" s="55">
        <f>_xlfn.XLOOKUP($A18,Inputs!$A:$A,Inputs!E:E,,0)</f>
        <v>-656.24</v>
      </c>
      <c r="F18" s="55">
        <f>_xlfn.XLOOKUP($A18,Inputs!$A:$A,Inputs!F:F,,0)</f>
        <v>-592.16999999999996</v>
      </c>
      <c r="G18" s="55">
        <f>_xlfn.XLOOKUP($A18,Inputs!$A:$A,Inputs!G:G,,0)</f>
        <v>-476.57</v>
      </c>
      <c r="H18" s="55">
        <f>_xlfn.XLOOKUP($A18,Inputs!$A:$A,Inputs!H:H,,0)</f>
        <v>-417.86</v>
      </c>
      <c r="I18" s="55">
        <f>_xlfn.XLOOKUP($A18,Inputs!$A:$A,Inputs!I:I,,0)</f>
        <v>-417.38</v>
      </c>
      <c r="J18" s="55">
        <f>_xlfn.XLOOKUP($A18,Inputs!$A:$A,Inputs!J:J,,0)</f>
        <v>-390.42</v>
      </c>
      <c r="K18" s="55">
        <f>_xlfn.XLOOKUP($A18,Inputs!$A:$A,Inputs!K:K,,0)</f>
        <v>-341.09</v>
      </c>
      <c r="L18" s="55">
        <f>_xlfn.XLOOKUP($A18,Inputs!$A:$A,Inputs!L:L,,0)</f>
        <v>-177</v>
      </c>
      <c r="M18" s="56">
        <f>_xlfn.XLOOKUP($A18,Inputs!$A:$A,Inputs!M:M,,0)</f>
        <v>435.2</v>
      </c>
    </row>
    <row r="19" spans="1:18">
      <c r="A19" s="116" t="s">
        <v>630</v>
      </c>
      <c r="B19" s="57">
        <f t="shared" ref="B19" si="29">IFERROR(B18/B$5,"-")</f>
        <v>-3.6251474657794387E-2</v>
      </c>
      <c r="C19" s="57">
        <f t="shared" ref="C19" si="30">IFERROR(C18/C$5,"-")</f>
        <v>-4.0571102559739072E-2</v>
      </c>
      <c r="D19" s="57">
        <f t="shared" ref="D19" si="31">IFERROR(D18/D$5,"-")</f>
        <v>-5.0220274644096598E-2</v>
      </c>
      <c r="E19" s="57">
        <f t="shared" ref="E19" si="32">IFERROR(E18/E$5,"-")</f>
        <v>-2.9180488238694475E-2</v>
      </c>
      <c r="F19" s="57">
        <f t="shared" ref="F19" si="33">IFERROR(F18/F$5,"-")</f>
        <v>-2.660242587601078E-2</v>
      </c>
      <c r="G19" s="57">
        <f t="shared" ref="G19" si="34">IFERROR(G18/G$5,"-")</f>
        <v>-2.316595372350768E-2</v>
      </c>
      <c r="H19" s="57">
        <f t="shared" ref="H19" si="35">IFERROR(H18/H$5,"-")</f>
        <v>-3.304285940218251E-2</v>
      </c>
      <c r="I19" s="57">
        <f t="shared" ref="I19" si="36">IFERROR(I18/I$5,"-")</f>
        <v>-3.8116894977168948E-2</v>
      </c>
      <c r="J19" s="57">
        <f t="shared" ref="J19" si="37">IFERROR(J18/J$5,"-")</f>
        <v>-4.1209626345788473E-2</v>
      </c>
      <c r="K19" s="57">
        <f t="shared" ref="K19" si="38">IFERROR(K18/K$5,"-")</f>
        <v>-4.3843029383788784E-2</v>
      </c>
      <c r="L19" s="57">
        <f t="shared" ref="L19" si="39">IFERROR(L18/L$5,"-")</f>
        <v>-2.9823083403538331E-2</v>
      </c>
      <c r="M19" s="58">
        <f t="shared" ref="M19" si="40">IFERROR(M18/M$5,"-")</f>
        <v>0.10601446980585125</v>
      </c>
    </row>
    <row r="20" spans="1:18">
      <c r="A20" s="115" t="s">
        <v>65</v>
      </c>
      <c r="B20" s="55">
        <f>_xlfn.XLOOKUP($A20,Inputs!$A:$A,Inputs!B:B,,0)</f>
        <v>3961.29</v>
      </c>
      <c r="C20" s="55">
        <f>_xlfn.XLOOKUP($A20,Inputs!$A:$A,Inputs!C:C,,0)</f>
        <v>4648.5</v>
      </c>
      <c r="D20" s="55">
        <f>_xlfn.XLOOKUP($A20,Inputs!$A:$A,Inputs!D:D,,0)</f>
        <v>4456.55</v>
      </c>
      <c r="E20" s="55">
        <f>_xlfn.XLOOKUP($A20,Inputs!$A:$A,Inputs!E:E,,0)</f>
        <v>2467.5500000000002</v>
      </c>
      <c r="F20" s="55">
        <f>_xlfn.XLOOKUP($A20,Inputs!$A:$A,Inputs!F:F,,0)</f>
        <v>1842.12</v>
      </c>
      <c r="G20" s="55">
        <f>_xlfn.XLOOKUP($A20,Inputs!$A:$A,Inputs!G:G,,0)</f>
        <v>1717.51</v>
      </c>
      <c r="H20" s="55">
        <f>_xlfn.XLOOKUP($A20,Inputs!$A:$A,Inputs!H:H,,0)</f>
        <v>771.75</v>
      </c>
      <c r="I20" s="55">
        <f>_xlfn.XLOOKUP($A20,Inputs!$A:$A,Inputs!I:I,,0)</f>
        <v>913.09</v>
      </c>
      <c r="J20" s="55">
        <f>_xlfn.XLOOKUP($A20,Inputs!$A:$A,Inputs!J:J,,0)</f>
        <v>819.2</v>
      </c>
      <c r="K20" s="55">
        <f>_xlfn.XLOOKUP($A20,Inputs!$A:$A,Inputs!K:K,,0)</f>
        <v>628.69000000000005</v>
      </c>
      <c r="L20" s="55">
        <f>_xlfn.XLOOKUP($A20,Inputs!$A:$A,Inputs!L:L,,0)</f>
        <v>504.9</v>
      </c>
      <c r="M20" s="56">
        <f>_xlfn.XLOOKUP($A20,Inputs!$A:$A,Inputs!M:M,,0)</f>
        <v>657.3</v>
      </c>
    </row>
    <row r="21" spans="1:18">
      <c r="A21" s="116" t="s">
        <v>261</v>
      </c>
      <c r="B21" s="57">
        <f t="shared" ref="B21" si="41">IFERROR(B20/B$5,"-")</f>
        <v>0.11571430048684081</v>
      </c>
      <c r="C21" s="57">
        <f t="shared" ref="C21" si="42">IFERROR(C20/C$5,"-")</f>
        <v>0.13805644677721279</v>
      </c>
      <c r="D21" s="57">
        <f t="shared" ref="D21" si="43">IFERROR(D20/D$5,"-")</f>
        <v>0.16426240171826165</v>
      </c>
      <c r="E21" s="57">
        <f t="shared" ref="E21" si="44">IFERROR(E20/E$5,"-")</f>
        <v>0.10972253101516298</v>
      </c>
      <c r="F21" s="57">
        <f t="shared" ref="F21" si="45">IFERROR(F20/F$5,"-")</f>
        <v>8.275471698113207E-2</v>
      </c>
      <c r="G21" s="57">
        <f t="shared" ref="G21" si="46">IFERROR(G20/G$5,"-")</f>
        <v>8.3487750340268327E-2</v>
      </c>
      <c r="H21" s="57">
        <f t="shared" ref="H21" si="47">IFERROR(H20/H$5,"-")</f>
        <v>6.1027202277399967E-2</v>
      </c>
      <c r="I21" s="57">
        <f t="shared" ref="I21" si="48">IFERROR(I20/I$5,"-")</f>
        <v>8.3387214611872151E-2</v>
      </c>
      <c r="J21" s="57">
        <f t="shared" ref="J21" si="49">IFERROR(J20/J$5,"-")</f>
        <v>8.6468228836816555E-2</v>
      </c>
      <c r="K21" s="57">
        <f t="shared" ref="K21" si="50">IFERROR(K20/K$5,"-")</f>
        <v>8.0810560682793908E-2</v>
      </c>
      <c r="L21" s="57">
        <f t="shared" ref="L21" si="51">IFERROR(L20/L$5,"-")</f>
        <v>8.5071609098567813E-2</v>
      </c>
      <c r="M21" s="58">
        <f t="shared" ref="M21" si="52">IFERROR(M20/M$5,"-")</f>
        <v>0.16011790212175098</v>
      </c>
    </row>
    <row r="22" spans="1:18">
      <c r="A22" s="115" t="s">
        <v>631</v>
      </c>
      <c r="B22" s="57">
        <f t="shared" ref="B22" si="53">IFERROR(B21/C21-1,"-")</f>
        <v>-0.16183341533066109</v>
      </c>
      <c r="C22" s="57">
        <f t="shared" ref="C22" si="54">IFERROR(C21/D21-1,"-")</f>
        <v>-0.15953714707031119</v>
      </c>
      <c r="D22" s="57">
        <f t="shared" ref="D22" si="55">IFERROR(D21/E21-1,"-")</f>
        <v>0.49707084040525462</v>
      </c>
      <c r="E22" s="57">
        <f t="shared" ref="E22" si="56">IFERROR(E21/F21-1,"-")</f>
        <v>0.32587645777556729</v>
      </c>
      <c r="F22" s="57">
        <f t="shared" ref="F22" si="57">IFERROR(F21/G21-1,"-")</f>
        <v>-8.7801306916123201E-3</v>
      </c>
      <c r="G22" s="57">
        <f t="shared" ref="G22" si="58">IFERROR(G21/H21-1,"-")</f>
        <v>0.36804158186334091</v>
      </c>
      <c r="H22" s="57">
        <f t="shared" ref="H22" si="59">IFERROR(H21/I21-1,"-")</f>
        <v>-0.26814677092342531</v>
      </c>
      <c r="I22" s="57">
        <f t="shared" ref="I22" si="60">IFERROR(I21/J21-1,"-")</f>
        <v>-3.563174898330479E-2</v>
      </c>
      <c r="J22" s="57">
        <f t="shared" ref="J22" si="61">IFERROR(J21/K21-1,"-")</f>
        <v>7.0011494861800472E-2</v>
      </c>
      <c r="K22" s="57">
        <f t="shared" ref="K22" si="62">IFERROR(K21/L21-1,"-")</f>
        <v>-5.0087784408037517E-2</v>
      </c>
      <c r="L22" s="57">
        <f t="shared" ref="L22" si="63">IFERROR(L21/M21-1,"-")</f>
        <v>-0.46869395632050703</v>
      </c>
      <c r="M22" s="58" t="str">
        <f>IFERROR(M21/#REF!-1,"-")</f>
        <v>-</v>
      </c>
    </row>
    <row r="23" spans="1:18">
      <c r="A23" s="116" t="s">
        <v>632</v>
      </c>
      <c r="B23" s="59">
        <f>B36-C36</f>
        <v>1755.0999999999995</v>
      </c>
      <c r="C23" s="59">
        <f t="shared" ref="C23:M23" si="64">C36-D36</f>
        <v>1860.1000000000004</v>
      </c>
      <c r="D23" s="59">
        <f t="shared" si="64"/>
        <v>23</v>
      </c>
      <c r="E23" s="59">
        <f t="shared" si="64"/>
        <v>1463.9999999999998</v>
      </c>
      <c r="F23" s="59">
        <f t="shared" si="64"/>
        <v>-127.29999999999995</v>
      </c>
      <c r="G23" s="59">
        <f t="shared" si="64"/>
        <v>-1054.9000000000001</v>
      </c>
      <c r="H23" s="59">
        <f t="shared" si="64"/>
        <v>1321.4</v>
      </c>
      <c r="I23" s="59">
        <f t="shared" si="64"/>
        <v>171</v>
      </c>
      <c r="J23" s="59">
        <f t="shared" si="64"/>
        <v>-123.29999999999995</v>
      </c>
      <c r="K23" s="59">
        <f t="shared" si="64"/>
        <v>311.29999999999995</v>
      </c>
      <c r="L23" s="59">
        <f t="shared" si="64"/>
        <v>-340.20000000000005</v>
      </c>
      <c r="M23" s="56">
        <f t="shared" si="64"/>
        <v>1310.7</v>
      </c>
    </row>
    <row r="24" spans="1:18">
      <c r="A24" s="115" t="s">
        <v>135</v>
      </c>
      <c r="B24" s="55">
        <f>_xlfn.XLOOKUP($A24,Inputs!$A:$A,Inputs!B:B,,0)</f>
        <v>-430.56</v>
      </c>
      <c r="C24" s="55">
        <f>_xlfn.XLOOKUP($A24,Inputs!$A:$A,Inputs!C:C,,0)</f>
        <v>-438.04</v>
      </c>
      <c r="D24" s="55">
        <f>_xlfn.XLOOKUP($A24,Inputs!$A:$A,Inputs!D:D,,0)</f>
        <v>-309.77999999999997</v>
      </c>
      <c r="E24" s="55">
        <f>_xlfn.XLOOKUP($A24,Inputs!$A:$A,Inputs!E:E,,0)</f>
        <v>-195.04</v>
      </c>
      <c r="F24" s="55">
        <f>_xlfn.XLOOKUP($A24,Inputs!$A:$A,Inputs!F:F,,0)</f>
        <v>-51.45</v>
      </c>
      <c r="G24" s="55">
        <f>_xlfn.XLOOKUP($A24,Inputs!$A:$A,Inputs!G:G,,0)</f>
        <v>-49.16</v>
      </c>
      <c r="H24" s="55">
        <f>_xlfn.XLOOKUP($A24,Inputs!$A:$A,Inputs!H:H,,0)</f>
        <v>-37.61</v>
      </c>
      <c r="I24" s="55">
        <f>_xlfn.XLOOKUP($A24,Inputs!$A:$A,Inputs!I:I,,0)</f>
        <v>-35.32</v>
      </c>
      <c r="J24" s="55">
        <f>_xlfn.XLOOKUP($A24,Inputs!$A:$A,Inputs!J:J,,0)</f>
        <v>-33.19</v>
      </c>
      <c r="K24" s="55">
        <f>_xlfn.XLOOKUP($A24,Inputs!$A:$A,Inputs!K:K,,0)</f>
        <v>-32.78</v>
      </c>
      <c r="L24" s="55">
        <f>_xlfn.XLOOKUP($A24,Inputs!$A:$A,Inputs!L:L,,0)</f>
        <v>-30.911999999999999</v>
      </c>
      <c r="M24" s="56">
        <f>_xlfn.XLOOKUP($A24,Inputs!$A:$A,Inputs!M:M,,0)</f>
        <v>-30.393999999999998</v>
      </c>
    </row>
    <row r="25" spans="1:18">
      <c r="A25" s="117" t="s">
        <v>633</v>
      </c>
      <c r="B25" s="55">
        <f>_xlfn.XLOOKUP($A25,Inputs!$A:$A,Inputs!B:B,,0)</f>
        <v>-1182.711</v>
      </c>
      <c r="C25" s="55">
        <f>_xlfn.XLOOKUP($A25,Inputs!$A:$A,Inputs!C:C,,0)</f>
        <v>-1039.309</v>
      </c>
      <c r="D25" s="55">
        <f>_xlfn.XLOOKUP($A25,Inputs!$A:$A,Inputs!D:D,,0)</f>
        <v>-1430.212</v>
      </c>
      <c r="E25" s="55">
        <f>_xlfn.XLOOKUP($A25,Inputs!$A:$A,Inputs!E:E,,0)</f>
        <v>-321.524</v>
      </c>
      <c r="F25" s="55">
        <f>_xlfn.XLOOKUP($A25,Inputs!$A:$A,Inputs!F:F,,0)</f>
        <v>-523.07399999999996</v>
      </c>
      <c r="G25" s="55">
        <f>_xlfn.XLOOKUP($A25,Inputs!$A:$A,Inputs!G:G,,0)</f>
        <v>-299.83300000000003</v>
      </c>
      <c r="H25" s="55">
        <f>_xlfn.XLOOKUP($A25,Inputs!$A:$A,Inputs!H:H,,0)</f>
        <v>-28.053999999999998</v>
      </c>
      <c r="I25" s="55">
        <f>_xlfn.XLOOKUP($A25,Inputs!$A:$A,Inputs!I:I,,0)</f>
        <v>-19.902000000000001</v>
      </c>
      <c r="J25" s="55">
        <f>_xlfn.XLOOKUP($A25,Inputs!$A:$A,Inputs!J:J,,0)</f>
        <v>-23.187999999999999</v>
      </c>
      <c r="K25" s="55">
        <f>_xlfn.XLOOKUP($A25,Inputs!$A:$A,Inputs!K:K,,0)</f>
        <v>-20.423999999999999</v>
      </c>
      <c r="L25" s="55">
        <f>_xlfn.XLOOKUP($A25,Inputs!$A:$A,Inputs!L:L,,0)</f>
        <v>-12.32</v>
      </c>
      <c r="M25" s="56">
        <f>_xlfn.XLOOKUP($A25,Inputs!$A:$A,Inputs!M:M,,0)</f>
        <v>-17.149000000000001</v>
      </c>
    </row>
    <row r="26" spans="1:18">
      <c r="A26" s="115" t="s">
        <v>127</v>
      </c>
      <c r="B26" s="59">
        <f>SUM(B23:B25)</f>
        <v>141.8289999999995</v>
      </c>
      <c r="C26" s="59">
        <f t="shared" ref="C26:M26" si="65">SUM(C23:C25)</f>
        <v>382.75100000000043</v>
      </c>
      <c r="D26" s="59">
        <f t="shared" si="65"/>
        <v>-1716.992</v>
      </c>
      <c r="E26" s="59">
        <f t="shared" si="65"/>
        <v>947.43599999999981</v>
      </c>
      <c r="F26" s="59">
        <f t="shared" si="65"/>
        <v>-701.82399999999984</v>
      </c>
      <c r="G26" s="59">
        <f t="shared" si="65"/>
        <v>-1403.8930000000003</v>
      </c>
      <c r="H26" s="59">
        <f t="shared" si="65"/>
        <v>1255.7360000000001</v>
      </c>
      <c r="I26" s="59">
        <f t="shared" si="65"/>
        <v>115.77800000000001</v>
      </c>
      <c r="J26" s="59">
        <f t="shared" si="65"/>
        <v>-179.67799999999994</v>
      </c>
      <c r="K26" s="59">
        <f t="shared" si="65"/>
        <v>258.096</v>
      </c>
      <c r="L26" s="59">
        <f t="shared" si="65"/>
        <v>-383.43200000000002</v>
      </c>
      <c r="M26" s="56">
        <f t="shared" si="65"/>
        <v>1263.1570000000002</v>
      </c>
    </row>
    <row r="27" spans="1:18">
      <c r="A27" s="117" t="s">
        <v>634</v>
      </c>
      <c r="B27" s="59">
        <f>+B26-(B55-C26)</f>
        <v>-4613.72</v>
      </c>
      <c r="C27" s="59">
        <f t="shared" ref="C27:M27" si="66">+C26-(C55-D26)</f>
        <v>-7692.2109999999993</v>
      </c>
      <c r="D27" s="59">
        <f t="shared" si="66"/>
        <v>-7311.4260000000013</v>
      </c>
      <c r="E27" s="59">
        <f t="shared" si="66"/>
        <v>-7298.8180000000011</v>
      </c>
      <c r="F27" s="59">
        <f t="shared" si="66"/>
        <v>-11679.417000000001</v>
      </c>
      <c r="G27" s="59">
        <f t="shared" si="66"/>
        <v>-10265.217000000001</v>
      </c>
      <c r="H27" s="59">
        <f t="shared" si="66"/>
        <v>-6601.0060000000003</v>
      </c>
      <c r="I27" s="59">
        <f t="shared" si="66"/>
        <v>-6339.44</v>
      </c>
      <c r="J27" s="59">
        <f t="shared" si="66"/>
        <v>-6576.7420000000002</v>
      </c>
      <c r="K27" s="59">
        <f t="shared" si="66"/>
        <v>-6107.8259999999991</v>
      </c>
      <c r="L27" s="59">
        <f t="shared" si="66"/>
        <v>-3791.375</v>
      </c>
      <c r="M27" s="56">
        <f t="shared" si="66"/>
        <v>-3800.5429999999997</v>
      </c>
    </row>
    <row r="28" spans="1:18">
      <c r="A28" s="115" t="s">
        <v>635</v>
      </c>
      <c r="B28" s="59">
        <f>+B27+B30</f>
        <v>-4818.09</v>
      </c>
      <c r="C28" s="59">
        <f t="shared" ref="C28:L28" si="67">+C27+C30</f>
        <v>-8207.3009999999995</v>
      </c>
      <c r="D28" s="59">
        <f t="shared" si="67"/>
        <v>-7784.4760000000015</v>
      </c>
      <c r="E28" s="59">
        <f t="shared" si="67"/>
        <v>-7759.438000000001</v>
      </c>
      <c r="F28" s="59">
        <f t="shared" si="67"/>
        <v>-12048.297</v>
      </c>
      <c r="G28" s="59">
        <f t="shared" si="67"/>
        <v>-11144.687</v>
      </c>
      <c r="H28" s="59">
        <f t="shared" si="67"/>
        <v>-7769.8060000000005</v>
      </c>
      <c r="I28" s="59">
        <f t="shared" si="67"/>
        <v>-6780.7999999999993</v>
      </c>
      <c r="J28" s="59">
        <f t="shared" si="67"/>
        <v>-6893.4319999999998</v>
      </c>
      <c r="K28" s="59">
        <f t="shared" si="67"/>
        <v>-5770.5959999999995</v>
      </c>
      <c r="L28" s="59">
        <f t="shared" si="67"/>
        <v>-3306.7950000000001</v>
      </c>
      <c r="M28" s="56">
        <f t="shared" ref="M28" si="68">+M27+M30</f>
        <v>-3904.2429999999995</v>
      </c>
    </row>
    <row r="29" spans="1:18">
      <c r="A29" s="117" t="s">
        <v>132</v>
      </c>
      <c r="B29" s="55">
        <f>_xlfn.XLOOKUP($A29,Inputs!$A:$A,Inputs!B:B,,0)</f>
        <v>-99.8</v>
      </c>
      <c r="C29" s="55">
        <f>_xlfn.XLOOKUP($A29,Inputs!$A:$A,Inputs!C:C,,0)</f>
        <v>-57.21</v>
      </c>
      <c r="D29" s="55">
        <f>_xlfn.XLOOKUP($A29,Inputs!$A:$A,Inputs!D:D,,0)</f>
        <v>-65.17</v>
      </c>
      <c r="E29" s="55">
        <f>_xlfn.XLOOKUP($A29,Inputs!$A:$A,Inputs!E:E,,0)</f>
        <v>-73</v>
      </c>
      <c r="F29" s="55">
        <f>_xlfn.XLOOKUP($A29,Inputs!$A:$A,Inputs!F:F,,0)</f>
        <v>-89</v>
      </c>
      <c r="G29" s="55">
        <f>_xlfn.XLOOKUP($A29,Inputs!$A:$A,Inputs!G:G,,0)</f>
        <v>-130</v>
      </c>
      <c r="H29" s="55">
        <f>_xlfn.XLOOKUP($A29,Inputs!$A:$A,Inputs!H:H,,0)</f>
        <v>-112</v>
      </c>
      <c r="I29" s="55">
        <f>_xlfn.XLOOKUP($A29,Inputs!$A:$A,Inputs!I:I,,0)</f>
        <v>-76</v>
      </c>
      <c r="J29" s="55">
        <f>_xlfn.XLOOKUP($A29,Inputs!$A:$A,Inputs!J:J,,0)</f>
        <v>-91</v>
      </c>
      <c r="K29" s="55">
        <f>_xlfn.XLOOKUP($A29,Inputs!$A:$A,Inputs!K:K,,0)</f>
        <v>-23</v>
      </c>
      <c r="L29" s="55">
        <f>_xlfn.XLOOKUP($A29,Inputs!$A:$A,Inputs!L:L,,0)</f>
        <v>-8.1300000000000008</v>
      </c>
      <c r="M29" s="56">
        <f>_xlfn.XLOOKUP($A29,Inputs!$A:$A,Inputs!M:M,,0)</f>
        <v>0</v>
      </c>
    </row>
    <row r="30" spans="1:18">
      <c r="A30" s="115" t="s">
        <v>133</v>
      </c>
      <c r="B30" s="55">
        <f>_xlfn.XLOOKUP($A30,Inputs!$A:$A,Inputs!B:B,,0)</f>
        <v>-204.37</v>
      </c>
      <c r="C30" s="55">
        <f>_xlfn.XLOOKUP($A30,Inputs!$A:$A,Inputs!C:C,,0)</f>
        <v>-515.09</v>
      </c>
      <c r="D30" s="55">
        <f>_xlfn.XLOOKUP($A30,Inputs!$A:$A,Inputs!D:D,,0)</f>
        <v>-473.05</v>
      </c>
      <c r="E30" s="55">
        <f>_xlfn.XLOOKUP($A30,Inputs!$A:$A,Inputs!E:E,,0)</f>
        <v>-460.62</v>
      </c>
      <c r="F30" s="55">
        <f>_xlfn.XLOOKUP($A30,Inputs!$A:$A,Inputs!F:F,,0)</f>
        <v>-368.88</v>
      </c>
      <c r="G30" s="55">
        <f>_xlfn.XLOOKUP($A30,Inputs!$A:$A,Inputs!G:G,,0)</f>
        <v>-879.47</v>
      </c>
      <c r="H30" s="55">
        <f>_xlfn.XLOOKUP($A30,Inputs!$A:$A,Inputs!H:H,,0)</f>
        <v>-1168.8</v>
      </c>
      <c r="I30" s="55">
        <f>_xlfn.XLOOKUP($A30,Inputs!$A:$A,Inputs!I:I,,0)</f>
        <v>-441.36</v>
      </c>
      <c r="J30" s="55">
        <f>_xlfn.XLOOKUP($A30,Inputs!$A:$A,Inputs!J:J,,0)</f>
        <v>-316.69</v>
      </c>
      <c r="K30" s="55">
        <f>_xlfn.XLOOKUP($A30,Inputs!$A:$A,Inputs!K:K,,0)</f>
        <v>337.23</v>
      </c>
      <c r="L30" s="55">
        <f>_xlfn.XLOOKUP($A30,Inputs!$A:$A,Inputs!L:L,,0)</f>
        <v>484.58</v>
      </c>
      <c r="M30" s="56">
        <f>_xlfn.XLOOKUP($A30,Inputs!$A:$A,Inputs!M:M,,0)</f>
        <v>-103.7</v>
      </c>
    </row>
    <row r="31" spans="1:18">
      <c r="A31" s="116" t="s">
        <v>128</v>
      </c>
      <c r="B31" s="59">
        <f t="shared" ref="B31:M31" si="69">+B29+B30</f>
        <v>-304.17</v>
      </c>
      <c r="C31" s="59">
        <f t="shared" si="69"/>
        <v>-572.30000000000007</v>
      </c>
      <c r="D31" s="59">
        <f t="shared" si="69"/>
        <v>-538.22</v>
      </c>
      <c r="E31" s="59">
        <f t="shared" si="69"/>
        <v>-533.62</v>
      </c>
      <c r="F31" s="59">
        <f t="shared" si="69"/>
        <v>-457.88</v>
      </c>
      <c r="G31" s="59">
        <f t="shared" si="69"/>
        <v>-1009.47</v>
      </c>
      <c r="H31" s="59">
        <f t="shared" si="69"/>
        <v>-1280.8</v>
      </c>
      <c r="I31" s="59">
        <f t="shared" si="69"/>
        <v>-517.36</v>
      </c>
      <c r="J31" s="59">
        <f t="shared" si="69"/>
        <v>-407.69</v>
      </c>
      <c r="K31" s="59">
        <f t="shared" si="69"/>
        <v>314.23</v>
      </c>
      <c r="L31" s="59">
        <f t="shared" si="69"/>
        <v>476.45</v>
      </c>
      <c r="M31" s="60">
        <f t="shared" si="69"/>
        <v>-103.7</v>
      </c>
    </row>
    <row r="32" spans="1:18">
      <c r="A32" s="115" t="s">
        <v>126</v>
      </c>
      <c r="B32" s="59">
        <f t="shared" ref="B32:M32" si="70">+B24+B25</f>
        <v>-1613.271</v>
      </c>
      <c r="C32" s="59">
        <f t="shared" si="70"/>
        <v>-1477.3489999999999</v>
      </c>
      <c r="D32" s="59">
        <f t="shared" si="70"/>
        <v>-1739.992</v>
      </c>
      <c r="E32" s="59">
        <f t="shared" si="70"/>
        <v>-516.56399999999996</v>
      </c>
      <c r="F32" s="59">
        <f t="shared" si="70"/>
        <v>-574.524</v>
      </c>
      <c r="G32" s="59">
        <f t="shared" si="70"/>
        <v>-348.99300000000005</v>
      </c>
      <c r="H32" s="59">
        <f t="shared" si="70"/>
        <v>-65.664000000000001</v>
      </c>
      <c r="I32" s="59">
        <f>+I24+I25</f>
        <v>-55.222000000000001</v>
      </c>
      <c r="J32" s="59">
        <f t="shared" si="70"/>
        <v>-56.378</v>
      </c>
      <c r="K32" s="59">
        <f t="shared" si="70"/>
        <v>-53.204000000000001</v>
      </c>
      <c r="L32" s="59">
        <f t="shared" si="70"/>
        <v>-43.231999999999999</v>
      </c>
      <c r="M32" s="60">
        <f t="shared" si="70"/>
        <v>-47.542999999999999</v>
      </c>
    </row>
    <row r="33" spans="1:13">
      <c r="A33" s="117" t="s">
        <v>636</v>
      </c>
      <c r="B33" s="57">
        <f>IFERROR(B32/B20,"-")</f>
        <v>-0.40725899896245921</v>
      </c>
      <c r="C33" s="57">
        <f t="shared" ref="C33:M33" si="71">IFERROR(C32/C20,"-")</f>
        <v>-0.31781198235990105</v>
      </c>
      <c r="D33" s="57">
        <f t="shared" si="71"/>
        <v>-0.39043475334058853</v>
      </c>
      <c r="E33" s="57">
        <f t="shared" si="71"/>
        <v>-0.20934287045855199</v>
      </c>
      <c r="F33" s="57">
        <f t="shared" si="71"/>
        <v>-0.31188196208716046</v>
      </c>
      <c r="G33" s="57">
        <f t="shared" si="71"/>
        <v>-0.20319707017717512</v>
      </c>
      <c r="H33" s="57">
        <f t="shared" si="71"/>
        <v>-8.5084548104956276E-2</v>
      </c>
      <c r="I33" s="57">
        <f t="shared" si="71"/>
        <v>-6.0478156589164264E-2</v>
      </c>
      <c r="J33" s="57">
        <f t="shared" si="71"/>
        <v>-6.8820800781249997E-2</v>
      </c>
      <c r="K33" s="57">
        <f t="shared" si="71"/>
        <v>-8.4626763587777751E-2</v>
      </c>
      <c r="L33" s="57">
        <f t="shared" si="71"/>
        <v>-8.5624876213111503E-2</v>
      </c>
      <c r="M33" s="58">
        <f t="shared" si="71"/>
        <v>-7.2330746995283746E-2</v>
      </c>
    </row>
    <row r="34" spans="1:13">
      <c r="A34" s="7"/>
      <c r="B34" s="47"/>
      <c r="C34" s="47"/>
      <c r="D34" s="47"/>
      <c r="E34" s="47"/>
      <c r="F34" s="47"/>
      <c r="G34" s="47"/>
      <c r="H34" s="47"/>
      <c r="I34" s="47"/>
      <c r="J34" s="47"/>
      <c r="K34" s="47"/>
      <c r="L34" s="47"/>
      <c r="M34" s="47"/>
    </row>
    <row r="35" spans="1:13" ht="20.25">
      <c r="A35" s="1229" t="s">
        <v>637</v>
      </c>
      <c r="B35" s="1229"/>
      <c r="C35" s="1229"/>
      <c r="D35" s="1229"/>
      <c r="E35" s="1229"/>
      <c r="F35" s="1229"/>
      <c r="G35" s="1229"/>
      <c r="H35" s="1229"/>
      <c r="I35" s="1229"/>
      <c r="J35" s="1229"/>
      <c r="K35" s="1229"/>
      <c r="L35" s="1229"/>
      <c r="M35" s="1229"/>
    </row>
    <row r="36" spans="1:13">
      <c r="A36" s="118" t="s">
        <v>304</v>
      </c>
      <c r="B36" s="55">
        <f>_xlfn.XLOOKUP($A36,Inputs!$A:$A,Inputs!B:B,,0)</f>
        <v>6570.9</v>
      </c>
      <c r="C36" s="55">
        <f>_xlfn.XLOOKUP($A36,Inputs!$A:$A,Inputs!C:C,,0)</f>
        <v>4815.8</v>
      </c>
      <c r="D36" s="55">
        <f>_xlfn.XLOOKUP($A36,Inputs!$A:$A,Inputs!D:D,,0)</f>
        <v>2955.7</v>
      </c>
      <c r="E36" s="55">
        <f>_xlfn.XLOOKUP($A36,Inputs!$A:$A,Inputs!E:E,,0)</f>
        <v>2932.7</v>
      </c>
      <c r="F36" s="55">
        <f>_xlfn.XLOOKUP($A36,Inputs!$A:$A,Inputs!F:F,,0)</f>
        <v>1468.7</v>
      </c>
      <c r="G36" s="55">
        <f>_xlfn.XLOOKUP($A36,Inputs!$A:$A,Inputs!G:G,,0)</f>
        <v>1596</v>
      </c>
      <c r="H36" s="55">
        <f>_xlfn.XLOOKUP($A36,Inputs!$A:$A,Inputs!H:H,,0)</f>
        <v>2650.9</v>
      </c>
      <c r="I36" s="55">
        <f>_xlfn.XLOOKUP($A36,Inputs!$A:$A,Inputs!I:I,,0)</f>
        <v>1329.5</v>
      </c>
      <c r="J36" s="55">
        <f>_xlfn.XLOOKUP($A36,Inputs!$A:$A,Inputs!J:J,,0)</f>
        <v>1158.5</v>
      </c>
      <c r="K36" s="55">
        <f>_xlfn.XLOOKUP($A36,Inputs!$A:$A,Inputs!K:K,,0)</f>
        <v>1281.8</v>
      </c>
      <c r="L36" s="55">
        <f>_xlfn.XLOOKUP($A36,Inputs!$A:$A,Inputs!L:L,,0)</f>
        <v>970.5</v>
      </c>
      <c r="M36" s="56">
        <f>_xlfn.XLOOKUP($A36,Inputs!$A:$A,Inputs!M:M,,0)</f>
        <v>1310.7</v>
      </c>
    </row>
    <row r="37" spans="1:13">
      <c r="A37" s="116" t="s">
        <v>638</v>
      </c>
      <c r="B37" s="55">
        <f>_xlfn.XLOOKUP($A37,Inputs!$A:$A,Inputs!B:B,,0)</f>
        <v>1696.21</v>
      </c>
      <c r="C37" s="55">
        <f>_xlfn.XLOOKUP($A37,Inputs!$A:$A,Inputs!C:C,,0)</f>
        <v>1614.28</v>
      </c>
      <c r="D37" s="55">
        <f>_xlfn.XLOOKUP($A37,Inputs!$A:$A,Inputs!D:D,,0)</f>
        <v>1296.8499999999999</v>
      </c>
      <c r="E37" s="55">
        <f>_xlfn.XLOOKUP($A37,Inputs!$A:$A,Inputs!E:E,,0)</f>
        <v>938.08</v>
      </c>
      <c r="F37" s="55">
        <f>_xlfn.XLOOKUP($A37,Inputs!$A:$A,Inputs!F:F,,0)</f>
        <v>2625.68</v>
      </c>
      <c r="G37" s="55">
        <f>_xlfn.XLOOKUP($A37,Inputs!$A:$A,Inputs!G:G,,0)</f>
        <v>1041.8399999999999</v>
      </c>
      <c r="H37" s="55">
        <f>_xlfn.XLOOKUP($A37,Inputs!$A:$A,Inputs!H:H,,0)</f>
        <v>758.55</v>
      </c>
      <c r="I37" s="55">
        <f>_xlfn.XLOOKUP($A37,Inputs!$A:$A,Inputs!I:I,,0)</f>
        <v>1018.51</v>
      </c>
      <c r="J37" s="55">
        <f>_xlfn.XLOOKUP($A37,Inputs!$A:$A,Inputs!J:J,,0)</f>
        <v>953.4</v>
      </c>
      <c r="K37" s="55">
        <f>_xlfn.XLOOKUP($A37,Inputs!$A:$A,Inputs!K:K,,0)</f>
        <v>648.79</v>
      </c>
      <c r="L37" s="55">
        <f>_xlfn.XLOOKUP($A37,Inputs!$A:$A,Inputs!L:L,,0)</f>
        <v>613.6</v>
      </c>
      <c r="M37" s="56">
        <f>_xlfn.XLOOKUP($A37,Inputs!$A:$A,Inputs!M:M,,0)</f>
        <v>662.5</v>
      </c>
    </row>
    <row r="38" spans="1:13">
      <c r="A38" s="118" t="s">
        <v>306</v>
      </c>
      <c r="B38" s="55">
        <f>_xlfn.XLOOKUP($A38,Inputs!$A:$A,Inputs!B:B,,0)</f>
        <v>18897.669999999998</v>
      </c>
      <c r="C38" s="55">
        <f>_xlfn.XLOOKUP($A38,Inputs!$A:$A,Inputs!C:C,,0)</f>
        <v>21862.45</v>
      </c>
      <c r="D38" s="55">
        <f>_xlfn.XLOOKUP($A38,Inputs!$A:$A,Inputs!D:D,,0)</f>
        <v>19169.400000000001</v>
      </c>
      <c r="E38" s="55">
        <f>_xlfn.XLOOKUP($A38,Inputs!$A:$A,Inputs!E:E,,0)</f>
        <v>17175.150000000001</v>
      </c>
      <c r="F38" s="55">
        <f>_xlfn.XLOOKUP($A38,Inputs!$A:$A,Inputs!F:F,,0)</f>
        <v>17776.509999999998</v>
      </c>
      <c r="G38" s="55">
        <f>_xlfn.XLOOKUP($A38,Inputs!$A:$A,Inputs!G:G,,0)</f>
        <v>17068.7</v>
      </c>
      <c r="H38" s="55">
        <f>_xlfn.XLOOKUP($A38,Inputs!$A:$A,Inputs!H:H,,0)</f>
        <v>10860.89</v>
      </c>
      <c r="I38" s="55">
        <f>_xlfn.XLOOKUP($A38,Inputs!$A:$A,Inputs!I:I,,0)</f>
        <v>9178.93</v>
      </c>
      <c r="J38" s="55">
        <f>_xlfn.XLOOKUP($A38,Inputs!$A:$A,Inputs!J:J,,0)</f>
        <v>8740.6</v>
      </c>
      <c r="K38" s="55">
        <f>_xlfn.XLOOKUP($A38,Inputs!$A:$A,Inputs!K:K,,0)</f>
        <v>7736.6</v>
      </c>
      <c r="L38" s="55">
        <f>_xlfn.XLOOKUP($A38,Inputs!$A:$A,Inputs!L:L,,0)</f>
        <v>6601.1</v>
      </c>
      <c r="M38" s="56">
        <f>_xlfn.XLOOKUP($A38,Inputs!$A:$A,Inputs!M:M,,0)</f>
        <v>5046.3999999999996</v>
      </c>
    </row>
    <row r="39" spans="1:13">
      <c r="A39" s="116" t="s">
        <v>639</v>
      </c>
      <c r="B39" s="55">
        <f>_xlfn.XLOOKUP($A39,Inputs!$A:$A,Inputs!B:B,,0)</f>
        <v>1075.4000000000001</v>
      </c>
      <c r="C39" s="55">
        <f>_xlfn.XLOOKUP($A39,Inputs!$A:$A,Inputs!C:C,,0)</f>
        <v>937</v>
      </c>
      <c r="D39" s="55">
        <f>_xlfn.XLOOKUP($A39,Inputs!$A:$A,Inputs!D:D,,0)</f>
        <v>878.7</v>
      </c>
      <c r="E39" s="55">
        <f>_xlfn.XLOOKUP($A39,Inputs!$A:$A,Inputs!E:E,,0)</f>
        <v>1000.6</v>
      </c>
      <c r="F39" s="55">
        <f>_xlfn.XLOOKUP($A39,Inputs!$A:$A,Inputs!F:F,,0)</f>
        <v>1042.74</v>
      </c>
      <c r="G39" s="55">
        <f>_xlfn.XLOOKUP($A39,Inputs!$A:$A,Inputs!G:G,,0)</f>
        <v>736.55</v>
      </c>
      <c r="H39" s="55">
        <f>_xlfn.XLOOKUP($A39,Inputs!$A:$A,Inputs!H:H,,0)</f>
        <v>527.96</v>
      </c>
      <c r="I39" s="55">
        <f>_xlfn.XLOOKUP($A39,Inputs!$A:$A,Inputs!I:I,,0)</f>
        <v>400.27</v>
      </c>
      <c r="J39" s="55">
        <f>_xlfn.XLOOKUP($A39,Inputs!$A:$A,Inputs!J:J,,0)</f>
        <v>193.91</v>
      </c>
      <c r="K39" s="55">
        <f>_xlfn.XLOOKUP($A39,Inputs!$A:$A,Inputs!K:K,,0)</f>
        <v>231.1</v>
      </c>
      <c r="L39" s="55">
        <f>_xlfn.XLOOKUP($A39,Inputs!$A:$A,Inputs!L:L,,0)</f>
        <v>265.2</v>
      </c>
      <c r="M39" s="56">
        <f>_xlfn.XLOOKUP($A39,Inputs!$A:$A,Inputs!M:M,,0)</f>
        <v>392.6</v>
      </c>
    </row>
    <row r="40" spans="1:13">
      <c r="A40" s="118" t="s">
        <v>640</v>
      </c>
      <c r="B40" s="55">
        <f>_xlfn.XLOOKUP($A40,Inputs!$A:$A,Inputs!B:B,,0)</f>
        <v>9861.8020000000033</v>
      </c>
      <c r="C40" s="55">
        <f>_xlfn.XLOOKUP($A40,Inputs!$A:$A,Inputs!C:C,,0)</f>
        <v>7513.9690000000046</v>
      </c>
      <c r="D40" s="55">
        <f>_xlfn.XLOOKUP($A40,Inputs!$A:$A,Inputs!D:D,,0)</f>
        <v>7813.5899999999983</v>
      </c>
      <c r="E40" s="55">
        <f>_xlfn.XLOOKUP($A40,Inputs!$A:$A,Inputs!E:E,,0)</f>
        <v>6823.6810000000005</v>
      </c>
      <c r="F40" s="55">
        <f>_xlfn.XLOOKUP($A40,Inputs!$A:$A,Inputs!F:F,,0)</f>
        <v>6445.8799999999992</v>
      </c>
      <c r="G40" s="55">
        <f>_xlfn.XLOOKUP($A40,Inputs!$A:$A,Inputs!G:G,,0)</f>
        <v>8123.09</v>
      </c>
      <c r="H40" s="55">
        <f>_xlfn.XLOOKUP($A40,Inputs!$A:$A,Inputs!H:H,,0)</f>
        <v>3946.7299999999987</v>
      </c>
      <c r="I40" s="55">
        <f>_xlfn.XLOOKUP($A40,Inputs!$A:$A,Inputs!I:I,,0)</f>
        <v>3434.57</v>
      </c>
      <c r="J40" s="55">
        <f>_xlfn.XLOOKUP($A40,Inputs!$A:$A,Inputs!J:J,,0)</f>
        <v>3373.1000000000004</v>
      </c>
      <c r="K40" s="55">
        <f>_xlfn.XLOOKUP($A40,Inputs!$A:$A,Inputs!K:K,,0)</f>
        <v>3024.8599999999992</v>
      </c>
      <c r="L40" s="55">
        <f>_xlfn.XLOOKUP($A40,Inputs!$A:$A,Inputs!L:L,,0)</f>
        <v>2822.5999999999995</v>
      </c>
      <c r="M40" s="56">
        <f>_xlfn.XLOOKUP($A40,Inputs!$A:$A,Inputs!M:M,,0)</f>
        <v>2949.8000000000006</v>
      </c>
    </row>
    <row r="41" spans="1:13">
      <c r="A41" s="119" t="s">
        <v>42</v>
      </c>
      <c r="B41" s="61">
        <f>_xlfn.XLOOKUP($A41,Inputs!$A:$A,Inputs!B:B,,0)</f>
        <v>39234.300000000003</v>
      </c>
      <c r="C41" s="61">
        <f>_xlfn.XLOOKUP($A41,Inputs!$A:$A,Inputs!C:C,,0)</f>
        <v>37984.300000000003</v>
      </c>
      <c r="D41" s="61">
        <f>_xlfn.XLOOKUP($A41,Inputs!$A:$A,Inputs!D:D,,0)</f>
        <v>33207.78</v>
      </c>
      <c r="E41" s="61">
        <f>_xlfn.XLOOKUP($A41,Inputs!$A:$A,Inputs!E:E,,0)</f>
        <v>29935.18</v>
      </c>
      <c r="F41" s="61">
        <f>_xlfn.XLOOKUP($A41,Inputs!$A:$A,Inputs!F:F,,0)</f>
        <v>29359.51</v>
      </c>
      <c r="G41" s="61">
        <f>_xlfn.XLOOKUP($A41,Inputs!$A:$A,Inputs!G:G,,0)</f>
        <v>28566.18</v>
      </c>
      <c r="H41" s="61">
        <f>_xlfn.XLOOKUP($A41,Inputs!$A:$A,Inputs!H:H,,0)</f>
        <v>18745.03</v>
      </c>
      <c r="I41" s="61">
        <f>_xlfn.XLOOKUP($A41,Inputs!$A:$A,Inputs!I:I,,0)</f>
        <v>15361.78</v>
      </c>
      <c r="J41" s="61">
        <f>_xlfn.XLOOKUP($A41,Inputs!$A:$A,Inputs!J:J,,0)</f>
        <v>14419.51</v>
      </c>
      <c r="K41" s="61">
        <f>_xlfn.XLOOKUP($A41,Inputs!$A:$A,Inputs!K:K,,0)</f>
        <v>12923.15</v>
      </c>
      <c r="L41" s="61">
        <f>_xlfn.XLOOKUP($A41,Inputs!$A:$A,Inputs!L:L,,0)</f>
        <v>11273</v>
      </c>
      <c r="M41" s="61">
        <f>_xlfn.XLOOKUP($A41,Inputs!$A:$A,Inputs!M:M,,0)</f>
        <v>10362</v>
      </c>
    </row>
    <row r="42" spans="1:13">
      <c r="B42"/>
      <c r="C42"/>
      <c r="D42"/>
      <c r="E42"/>
      <c r="F42"/>
      <c r="G42"/>
      <c r="H42"/>
      <c r="I42"/>
      <c r="J42"/>
      <c r="K42"/>
      <c r="L42"/>
      <c r="M42"/>
    </row>
    <row r="43" spans="1:13">
      <c r="B43"/>
      <c r="C43"/>
      <c r="D43"/>
      <c r="E43"/>
      <c r="F43"/>
      <c r="G43"/>
      <c r="H43"/>
      <c r="I43"/>
      <c r="J43"/>
      <c r="K43"/>
      <c r="L43"/>
      <c r="M43"/>
    </row>
    <row r="44" spans="1:13" ht="20.25">
      <c r="A44" s="1229" t="s">
        <v>641</v>
      </c>
      <c r="B44" s="1229"/>
      <c r="C44" s="1229"/>
      <c r="D44" s="1229"/>
      <c r="E44" s="1229"/>
      <c r="F44" s="1229"/>
      <c r="G44" s="1229"/>
      <c r="H44" s="1229"/>
      <c r="I44" s="1229"/>
      <c r="J44" s="1229"/>
      <c r="K44" s="1229"/>
      <c r="L44" s="1229"/>
      <c r="M44" s="1229"/>
    </row>
    <row r="45" spans="1:13">
      <c r="A45" s="120" t="s">
        <v>310</v>
      </c>
      <c r="B45" s="61">
        <f>_xlfn.XLOOKUP($A45,Inputs!$A:$A,Inputs!B:B,,0)</f>
        <v>6208.75</v>
      </c>
      <c r="C45" s="61">
        <f>_xlfn.XLOOKUP($A45,Inputs!$A:$A,Inputs!C:C,,0)</f>
        <v>5585.49</v>
      </c>
      <c r="D45" s="61">
        <f>_xlfn.XLOOKUP($A45,Inputs!$A:$A,Inputs!D:D,,0)</f>
        <v>2871.69</v>
      </c>
      <c r="E45" s="61">
        <f>_xlfn.XLOOKUP($A45,Inputs!$A:$A,Inputs!E:E,,0)</f>
        <v>2051.16</v>
      </c>
      <c r="F45" s="61">
        <f>_xlfn.XLOOKUP($A45,Inputs!$A:$A,Inputs!F:F,,0)</f>
        <v>2143.7399999999998</v>
      </c>
      <c r="G45" s="61">
        <f>_xlfn.XLOOKUP($A45,Inputs!$A:$A,Inputs!G:G,,0)</f>
        <v>2615.5300000000002</v>
      </c>
      <c r="H45" s="61">
        <f>_xlfn.XLOOKUP($A45,Inputs!$A:$A,Inputs!H:H,,0)</f>
        <v>2614.27</v>
      </c>
      <c r="I45" s="61">
        <f>_xlfn.XLOOKUP($A45,Inputs!$A:$A,Inputs!I:I,,0)</f>
        <v>1184.8599999999999</v>
      </c>
      <c r="J45" s="61">
        <f>_xlfn.XLOOKUP($A45,Inputs!$A:$A,Inputs!J:J,,0)</f>
        <v>968.96</v>
      </c>
      <c r="K45" s="61">
        <f>_xlfn.XLOOKUP($A45,Inputs!$A:$A,Inputs!K:K,,0)</f>
        <v>509.83</v>
      </c>
      <c r="L45" s="61">
        <f>_xlfn.XLOOKUP($A45,Inputs!$A:$A,Inputs!L:L,,0)</f>
        <v>1092.3</v>
      </c>
      <c r="M45" s="61">
        <f>_xlfn.XLOOKUP($A45,Inputs!$A:$A,Inputs!M:M,,0)</f>
        <v>488.9</v>
      </c>
    </row>
    <row r="46" spans="1:13">
      <c r="A46" s="121" t="s">
        <v>642</v>
      </c>
      <c r="B46" s="55">
        <f>_xlfn.XLOOKUP($A46,Inputs!$A:$A,Inputs!B:B,,0)</f>
        <v>2036.45</v>
      </c>
      <c r="C46" s="55">
        <f>_xlfn.XLOOKUP($A46,Inputs!$A:$A,Inputs!C:C,,0)</f>
        <v>2001.81</v>
      </c>
      <c r="D46" s="55">
        <f>_xlfn.XLOOKUP($A46,Inputs!$A:$A,Inputs!D:D,,0)</f>
        <v>573.84</v>
      </c>
      <c r="E46" s="55">
        <f>_xlfn.XLOOKUP($A46,Inputs!$A:$A,Inputs!E:E,,0)</f>
        <v>307.13</v>
      </c>
      <c r="F46" s="55">
        <f>_xlfn.XLOOKUP($A46,Inputs!$A:$A,Inputs!F:F,,0)</f>
        <v>618.27</v>
      </c>
      <c r="G46" s="55">
        <f>_xlfn.XLOOKUP($A46,Inputs!$A:$A,Inputs!G:G,,0)</f>
        <v>1114.54</v>
      </c>
      <c r="H46" s="55">
        <f>_xlfn.XLOOKUP($A46,Inputs!$A:$A,Inputs!H:H,,0)</f>
        <v>1478.89</v>
      </c>
      <c r="I46" s="55">
        <f>_xlfn.XLOOKUP($A46,Inputs!$A:$A,Inputs!I:I,,0)</f>
        <v>478.33</v>
      </c>
      <c r="J46" s="55">
        <f>_xlfn.XLOOKUP($A46,Inputs!$A:$A,Inputs!J:J,,0)</f>
        <v>374.67</v>
      </c>
      <c r="K46" s="55">
        <f>_xlfn.XLOOKUP($A46,Inputs!$A:$A,Inputs!K:K,,0)</f>
        <v>0</v>
      </c>
      <c r="L46" s="55">
        <f>_xlfn.XLOOKUP($A46,Inputs!$A:$A,Inputs!L:L,,0)</f>
        <v>0</v>
      </c>
      <c r="M46" s="55">
        <f>_xlfn.XLOOKUP($A46,Inputs!$A:$A,Inputs!M:M,,0)</f>
        <v>0</v>
      </c>
    </row>
    <row r="47" spans="1:13">
      <c r="A47" s="115" t="s">
        <v>643</v>
      </c>
      <c r="B47" s="55">
        <f>_xlfn.XLOOKUP($A47,Inputs!$A:$A,Inputs!B:B,,0)</f>
        <v>0</v>
      </c>
      <c r="C47" s="55">
        <f>_xlfn.XLOOKUP($A47,Inputs!$A:$A,Inputs!C:C,,0)</f>
        <v>0</v>
      </c>
      <c r="D47" s="55">
        <f>_xlfn.XLOOKUP($A47,Inputs!$A:$A,Inputs!D:D,,0)</f>
        <v>0</v>
      </c>
      <c r="E47" s="55">
        <f>_xlfn.XLOOKUP($A47,Inputs!$A:$A,Inputs!E:E,,0)</f>
        <v>0</v>
      </c>
      <c r="F47" s="55">
        <f>_xlfn.XLOOKUP($A47,Inputs!$A:$A,Inputs!F:F,,0)</f>
        <v>0</v>
      </c>
      <c r="G47" s="55">
        <f>_xlfn.XLOOKUP($A47,Inputs!$A:$A,Inputs!G:G,,0)</f>
        <v>0</v>
      </c>
      <c r="H47" s="55">
        <f>_xlfn.XLOOKUP($A47,Inputs!$A:$A,Inputs!H:H,,0)</f>
        <v>0</v>
      </c>
      <c r="I47" s="55">
        <f>_xlfn.XLOOKUP($A47,Inputs!$A:$A,Inputs!I:I,,0)</f>
        <v>0</v>
      </c>
      <c r="J47" s="55">
        <f>_xlfn.XLOOKUP($A47,Inputs!$A:$A,Inputs!J:J,,0)</f>
        <v>0</v>
      </c>
      <c r="K47" s="55">
        <f>_xlfn.XLOOKUP($A47,Inputs!$A:$A,Inputs!K:K,,0)</f>
        <v>0</v>
      </c>
      <c r="L47" s="55">
        <f>_xlfn.XLOOKUP($A47,Inputs!$A:$A,Inputs!L:L,,0)</f>
        <v>0</v>
      </c>
      <c r="M47" s="55">
        <f>_xlfn.XLOOKUP($A47,Inputs!$A:$A,Inputs!M:M,,0)</f>
        <v>0</v>
      </c>
    </row>
    <row r="48" spans="1:13">
      <c r="A48" s="116" t="s">
        <v>644</v>
      </c>
      <c r="B48" s="55">
        <f>_xlfn.XLOOKUP($A48,Inputs!$A:$A,Inputs!B:B,,0)</f>
        <v>2540.8999999999996</v>
      </c>
      <c r="C48" s="55">
        <f>_xlfn.XLOOKUP($A48,Inputs!$A:$A,Inputs!C:C,,0)</f>
        <v>1967.5499999999997</v>
      </c>
      <c r="D48" s="55">
        <f>_xlfn.XLOOKUP($A48,Inputs!$A:$A,Inputs!D:D,,0)</f>
        <v>976.59999999999991</v>
      </c>
      <c r="E48" s="55">
        <f>_xlfn.XLOOKUP($A48,Inputs!$A:$A,Inputs!E:E,,0)</f>
        <v>706.69</v>
      </c>
      <c r="F48" s="55">
        <f>_xlfn.XLOOKUP($A48,Inputs!$A:$A,Inputs!F:F,,0)</f>
        <v>260.25999999999976</v>
      </c>
      <c r="G48" s="55">
        <f>_xlfn.XLOOKUP($A48,Inputs!$A:$A,Inputs!G:G,,0)</f>
        <v>175.59000000000015</v>
      </c>
      <c r="H48" s="55">
        <f>_xlfn.XLOOKUP($A48,Inputs!$A:$A,Inputs!H:H,,0)</f>
        <v>380.71000000000004</v>
      </c>
      <c r="I48" s="55">
        <f>_xlfn.XLOOKUP($A48,Inputs!$A:$A,Inputs!I:I,,0)</f>
        <v>110.00999999999999</v>
      </c>
      <c r="J48" s="55">
        <f>_xlfn.XLOOKUP($A48,Inputs!$A:$A,Inputs!J:J,,0)</f>
        <v>51.430000000000064</v>
      </c>
      <c r="K48" s="55">
        <f>_xlfn.XLOOKUP($A48,Inputs!$A:$A,Inputs!K:K,,0)</f>
        <v>45.029999999999973</v>
      </c>
      <c r="L48" s="55">
        <f>_xlfn.XLOOKUP($A48,Inputs!$A:$A,Inputs!L:L,,0)</f>
        <v>779.4</v>
      </c>
      <c r="M48" s="55">
        <f>_xlfn.XLOOKUP($A48,Inputs!$A:$A,Inputs!M:M,,0)</f>
        <v>268.2</v>
      </c>
    </row>
    <row r="49" spans="1:13">
      <c r="A49" s="120" t="s">
        <v>645</v>
      </c>
      <c r="B49" s="61">
        <f>_xlfn.XLOOKUP($A49,Inputs!$A:$A,Inputs!B:B,,0)</f>
        <v>6323.59</v>
      </c>
      <c r="C49" s="61">
        <f>_xlfn.XLOOKUP($A49,Inputs!$A:$A,Inputs!C:C,,0)</f>
        <v>8158.4400000000005</v>
      </c>
      <c r="D49" s="61">
        <f>_xlfn.XLOOKUP($A49,Inputs!$A:$A,Inputs!D:D,,0)</f>
        <v>9339.81</v>
      </c>
      <c r="E49" s="61">
        <f>_xlfn.XLOOKUP($A49,Inputs!$A:$A,Inputs!E:E,,0)</f>
        <v>9784.6200000000008</v>
      </c>
      <c r="F49" s="61">
        <f>_xlfn.XLOOKUP($A49,Inputs!$A:$A,Inputs!F:F,,0)</f>
        <v>11181.94</v>
      </c>
      <c r="G49" s="61">
        <f>_xlfn.XLOOKUP($A49,Inputs!$A:$A,Inputs!G:G,,0)</f>
        <v>11267.689999999999</v>
      </c>
      <c r="H49" s="61">
        <f>_xlfn.XLOOKUP($A49,Inputs!$A:$A,Inputs!H:H,,0)</f>
        <v>8144.6299999999992</v>
      </c>
      <c r="I49" s="61">
        <f>_xlfn.XLOOKUP($A49,Inputs!$A:$A,Inputs!I:I,,0)</f>
        <v>6965.35</v>
      </c>
      <c r="J49" s="61">
        <f>_xlfn.XLOOKUP($A49,Inputs!$A:$A,Inputs!J:J,,0)</f>
        <v>7500.4800000000005</v>
      </c>
      <c r="K49" s="61">
        <f>_xlfn.XLOOKUP($A49,Inputs!$A:$A,Inputs!K:K,,0)</f>
        <v>7162.02</v>
      </c>
      <c r="L49" s="61">
        <f>_xlfn.XLOOKUP($A49,Inputs!$A:$A,Inputs!L:L,,0)</f>
        <v>5553.5</v>
      </c>
      <c r="M49" s="61">
        <f>_xlfn.XLOOKUP($A49,Inputs!$A:$A,Inputs!M:M,,0)</f>
        <v>5872.1</v>
      </c>
    </row>
    <row r="50" spans="1:13">
      <c r="A50" s="121" t="s">
        <v>646</v>
      </c>
      <c r="B50" s="55">
        <f>_xlfn.XLOOKUP($A50,Inputs!$A:$A,Inputs!B:B,,0)</f>
        <v>2947.58</v>
      </c>
      <c r="C50" s="55">
        <f>_xlfn.XLOOKUP($A50,Inputs!$A:$A,Inputs!C:C,,0)</f>
        <v>4197.33</v>
      </c>
      <c r="D50" s="55">
        <f>_xlfn.XLOOKUP($A50,Inputs!$A:$A,Inputs!D:D,,0)</f>
        <v>5804.52</v>
      </c>
      <c r="E50" s="55">
        <f>_xlfn.XLOOKUP($A50,Inputs!$A:$A,Inputs!E:E,,0)</f>
        <v>7114.46</v>
      </c>
      <c r="F50" s="55">
        <f>_xlfn.XLOOKUP($A50,Inputs!$A:$A,Inputs!F:F,,0)</f>
        <v>8955.43</v>
      </c>
      <c r="G50" s="55">
        <f>_xlfn.XLOOKUP($A50,Inputs!$A:$A,Inputs!G:G,,0)</f>
        <v>9002.52</v>
      </c>
      <c r="H50" s="55">
        <f>_xlfn.XLOOKUP($A50,Inputs!$A:$A,Inputs!H:H,,0)</f>
        <v>6493.63</v>
      </c>
      <c r="I50" s="55">
        <f>_xlfn.XLOOKUP($A50,Inputs!$A:$A,Inputs!I:I,,0)</f>
        <v>5797.21</v>
      </c>
      <c r="J50" s="55">
        <f>_xlfn.XLOOKUP($A50,Inputs!$A:$A,Inputs!J:J,,0)</f>
        <v>6280.49</v>
      </c>
      <c r="K50" s="55">
        <f>_xlfn.XLOOKUP($A50,Inputs!$A:$A,Inputs!K:K,,0)</f>
        <v>5982.49</v>
      </c>
      <c r="L50" s="55">
        <f>_xlfn.XLOOKUP($A50,Inputs!$A:$A,Inputs!L:L,,0)</f>
        <v>4671.1000000000004</v>
      </c>
      <c r="M50" s="55">
        <f>_xlfn.XLOOKUP($A50,Inputs!$A:$A,Inputs!M:M,,0)</f>
        <v>5063.7</v>
      </c>
    </row>
    <row r="51" spans="1:13">
      <c r="A51" s="115" t="s">
        <v>647</v>
      </c>
      <c r="B51" s="55">
        <f>_xlfn.XLOOKUP($A51,Inputs!$A:$A,Inputs!B:B,,0)</f>
        <v>154.27000000000001</v>
      </c>
      <c r="C51" s="55">
        <f>_xlfn.XLOOKUP($A51,Inputs!$A:$A,Inputs!C:C,,0)</f>
        <v>158.83000000000001</v>
      </c>
      <c r="D51" s="55">
        <f>_xlfn.XLOOKUP($A51,Inputs!$A:$A,Inputs!D:D,,0)</f>
        <v>163.51</v>
      </c>
      <c r="E51" s="55">
        <f>_xlfn.XLOOKUP($A51,Inputs!$A:$A,Inputs!E:E,,0)</f>
        <v>122.84</v>
      </c>
      <c r="F51" s="55">
        <f>_xlfn.XLOOKUP($A51,Inputs!$A:$A,Inputs!F:F,,0)</f>
        <v>0</v>
      </c>
      <c r="G51" s="55">
        <f>_xlfn.XLOOKUP($A51,Inputs!$A:$A,Inputs!G:G,,0)</f>
        <v>0</v>
      </c>
      <c r="H51" s="55">
        <f>_xlfn.XLOOKUP($A51,Inputs!$A:$A,Inputs!H:H,,0)</f>
        <v>0</v>
      </c>
      <c r="I51" s="55">
        <f>_xlfn.XLOOKUP($A51,Inputs!$A:$A,Inputs!I:I,,0)</f>
        <v>0</v>
      </c>
      <c r="J51" s="55">
        <f>_xlfn.XLOOKUP($A51,Inputs!$A:$A,Inputs!J:J,,0)</f>
        <v>0</v>
      </c>
      <c r="K51" s="55">
        <f>_xlfn.XLOOKUP($A51,Inputs!$A:$A,Inputs!K:K,,0)</f>
        <v>0</v>
      </c>
      <c r="L51" s="55">
        <f>_xlfn.XLOOKUP($A51,Inputs!$A:$A,Inputs!L:L,,0)</f>
        <v>0</v>
      </c>
      <c r="M51" s="55">
        <f>_xlfn.XLOOKUP($A51,Inputs!$A:$A,Inputs!M:M,,0)</f>
        <v>0</v>
      </c>
    </row>
    <row r="52" spans="1:13">
      <c r="A52" s="116" t="s">
        <v>648</v>
      </c>
      <c r="B52" s="55">
        <f>_xlfn.XLOOKUP($A52,Inputs!$A:$A,Inputs!B:B,,0)</f>
        <v>3221.7400000000002</v>
      </c>
      <c r="C52" s="55">
        <f>_xlfn.XLOOKUP($A52,Inputs!$A:$A,Inputs!C:C,,0)</f>
        <v>3802.2800000000007</v>
      </c>
      <c r="D52" s="55">
        <f>_xlfn.XLOOKUP($A52,Inputs!$A:$A,Inputs!D:D,,0)</f>
        <v>3371.7799999999988</v>
      </c>
      <c r="E52" s="55">
        <f>_xlfn.XLOOKUP($A52,Inputs!$A:$A,Inputs!E:E,,0)</f>
        <v>2547.3200000000006</v>
      </c>
      <c r="F52" s="55">
        <f>_xlfn.XLOOKUP($A52,Inputs!$A:$A,Inputs!F:F,,0)</f>
        <v>2226.5100000000002</v>
      </c>
      <c r="G52" s="55">
        <f>_xlfn.XLOOKUP($A52,Inputs!$A:$A,Inputs!G:G,,0)</f>
        <v>2265.1699999999983</v>
      </c>
      <c r="H52" s="55">
        <f>_xlfn.XLOOKUP($A52,Inputs!$A:$A,Inputs!H:H,,0)</f>
        <v>1650.9999999999991</v>
      </c>
      <c r="I52" s="55">
        <f>_xlfn.XLOOKUP($A52,Inputs!$A:$A,Inputs!I:I,,0)</f>
        <v>1168.1400000000003</v>
      </c>
      <c r="J52" s="55">
        <f>_xlfn.XLOOKUP($A52,Inputs!$A:$A,Inputs!J:J,,0)</f>
        <v>1219.9900000000007</v>
      </c>
      <c r="K52" s="55">
        <f>_xlfn.XLOOKUP($A52,Inputs!$A:$A,Inputs!K:K,,0)</f>
        <v>1179.5300000000007</v>
      </c>
      <c r="L52" s="55">
        <f>_xlfn.XLOOKUP($A52,Inputs!$A:$A,Inputs!L:L,,0)</f>
        <v>882.39999999999964</v>
      </c>
      <c r="M52" s="55">
        <f>_xlfn.XLOOKUP($A52,Inputs!$A:$A,Inputs!M:M,,0)</f>
        <v>808.40000000000055</v>
      </c>
    </row>
    <row r="53" spans="1:13">
      <c r="A53" s="120" t="s">
        <v>48</v>
      </c>
      <c r="B53" s="61">
        <f>_xlfn.XLOOKUP($A53,Inputs!$A:$A,Inputs!B:B,,0)</f>
        <v>12532.34</v>
      </c>
      <c r="C53" s="61">
        <f>_xlfn.XLOOKUP($A53,Inputs!$A:$A,Inputs!C:C,,0)</f>
        <v>13743.93</v>
      </c>
      <c r="D53" s="61">
        <f>_xlfn.XLOOKUP($A53,Inputs!$A:$A,Inputs!D:D,,0)</f>
        <v>12211.5</v>
      </c>
      <c r="E53" s="61">
        <f>_xlfn.XLOOKUP($A53,Inputs!$A:$A,Inputs!E:E,,0)</f>
        <v>11835.78</v>
      </c>
      <c r="F53" s="61">
        <f>_xlfn.XLOOKUP($A53,Inputs!$A:$A,Inputs!F:F,,0)</f>
        <v>13325.68</v>
      </c>
      <c r="G53" s="61">
        <f>_xlfn.XLOOKUP($A53,Inputs!$A:$A,Inputs!G:G,,0)</f>
        <v>13883.22</v>
      </c>
      <c r="H53" s="61">
        <f>_xlfn.XLOOKUP($A53,Inputs!$A:$A,Inputs!H:H,,0)</f>
        <v>10758.9</v>
      </c>
      <c r="I53" s="61">
        <f>_xlfn.XLOOKUP($A53,Inputs!$A:$A,Inputs!I:I,,0)</f>
        <v>8150.21</v>
      </c>
      <c r="J53" s="61">
        <f>_xlfn.XLOOKUP($A53,Inputs!$A:$A,Inputs!J:J,,0)</f>
        <v>8469.44</v>
      </c>
      <c r="K53" s="61">
        <f>_xlfn.XLOOKUP($A53,Inputs!$A:$A,Inputs!K:K,,0)</f>
        <v>7671.85</v>
      </c>
      <c r="L53" s="61">
        <f>_xlfn.XLOOKUP($A53,Inputs!$A:$A,Inputs!L:L,,0)</f>
        <v>6645.8</v>
      </c>
      <c r="M53" s="61">
        <f>_xlfn.XLOOKUP($A53,Inputs!$A:$A,Inputs!M:M,,0)</f>
        <v>6361</v>
      </c>
    </row>
    <row r="54" spans="1:13">
      <c r="B54"/>
      <c r="C54"/>
      <c r="D54"/>
      <c r="E54"/>
      <c r="F54"/>
      <c r="G54"/>
      <c r="H54"/>
      <c r="I54"/>
      <c r="J54"/>
      <c r="K54"/>
      <c r="L54"/>
      <c r="M54"/>
    </row>
    <row r="55" spans="1:13">
      <c r="A55" s="120" t="s">
        <v>311</v>
      </c>
      <c r="B55" s="61">
        <f>B46+B50+B47+B51</f>
        <v>5138.3</v>
      </c>
      <c r="C55" s="61">
        <f t="shared" ref="C55:M55" si="72">C46+C50+C47+C51</f>
        <v>6357.9699999999993</v>
      </c>
      <c r="D55" s="61">
        <f t="shared" si="72"/>
        <v>6541.8700000000008</v>
      </c>
      <c r="E55" s="61">
        <f t="shared" si="72"/>
        <v>7544.43</v>
      </c>
      <c r="F55" s="61">
        <f t="shared" si="72"/>
        <v>9573.7000000000007</v>
      </c>
      <c r="G55" s="61">
        <f t="shared" si="72"/>
        <v>10117.060000000001</v>
      </c>
      <c r="H55" s="61">
        <f t="shared" si="72"/>
        <v>7972.52</v>
      </c>
      <c r="I55" s="61">
        <f t="shared" si="72"/>
        <v>6275.54</v>
      </c>
      <c r="J55" s="61">
        <f t="shared" si="72"/>
        <v>6655.16</v>
      </c>
      <c r="K55" s="61">
        <f t="shared" si="72"/>
        <v>5982.49</v>
      </c>
      <c r="L55" s="61">
        <f t="shared" si="72"/>
        <v>4671.1000000000004</v>
      </c>
      <c r="M55" s="61">
        <f t="shared" si="72"/>
        <v>5063.7</v>
      </c>
    </row>
    <row r="56" spans="1:13">
      <c r="A56" s="121" t="s">
        <v>69</v>
      </c>
      <c r="B56" s="57">
        <f>IFERROR(B55/B41,"-")</f>
        <v>0.13096448770591038</v>
      </c>
      <c r="C56" s="57">
        <f t="shared" ref="C56:M56" si="73">IFERROR(C55/C41,"-")</f>
        <v>0.16738415608554058</v>
      </c>
      <c r="D56" s="57">
        <f t="shared" si="73"/>
        <v>0.19699811309277529</v>
      </c>
      <c r="E56" s="57">
        <f t="shared" si="73"/>
        <v>0.25202554319031989</v>
      </c>
      <c r="F56" s="57">
        <f t="shared" si="73"/>
        <v>0.32608514242914821</v>
      </c>
      <c r="G56" s="57">
        <f t="shared" si="73"/>
        <v>0.3541621595887165</v>
      </c>
      <c r="H56" s="57">
        <f t="shared" si="73"/>
        <v>0.42531380317876261</v>
      </c>
      <c r="I56" s="57">
        <f t="shared" si="73"/>
        <v>0.40851646098303712</v>
      </c>
      <c r="J56" s="57">
        <f t="shared" si="73"/>
        <v>0.46153856823151407</v>
      </c>
      <c r="K56" s="57">
        <f t="shared" si="73"/>
        <v>0.46292815606102228</v>
      </c>
      <c r="L56" s="57">
        <f t="shared" si="73"/>
        <v>0.41436174931251668</v>
      </c>
      <c r="M56" s="57">
        <f t="shared" si="73"/>
        <v>0.48867979154603358</v>
      </c>
    </row>
    <row r="57" spans="1:13">
      <c r="A57" s="120" t="s">
        <v>649</v>
      </c>
      <c r="B57" s="61">
        <f>B55-B36</f>
        <v>-1432.5999999999995</v>
      </c>
      <c r="C57" s="61">
        <f t="shared" ref="C57:M57" si="74">C55-C36</f>
        <v>1542.1699999999992</v>
      </c>
      <c r="D57" s="61">
        <f t="shared" si="74"/>
        <v>3586.170000000001</v>
      </c>
      <c r="E57" s="61">
        <f t="shared" si="74"/>
        <v>4611.7300000000005</v>
      </c>
      <c r="F57" s="61">
        <f t="shared" si="74"/>
        <v>8105.0000000000009</v>
      </c>
      <c r="G57" s="61">
        <f t="shared" si="74"/>
        <v>8521.0600000000013</v>
      </c>
      <c r="H57" s="61">
        <f t="shared" si="74"/>
        <v>5321.6200000000008</v>
      </c>
      <c r="I57" s="61">
        <f t="shared" si="74"/>
        <v>4946.04</v>
      </c>
      <c r="J57" s="61">
        <f t="shared" si="74"/>
        <v>5496.66</v>
      </c>
      <c r="K57" s="61">
        <f t="shared" si="74"/>
        <v>4700.6899999999996</v>
      </c>
      <c r="L57" s="61">
        <f t="shared" si="74"/>
        <v>3700.6000000000004</v>
      </c>
      <c r="M57" s="61">
        <f t="shared" si="74"/>
        <v>3753</v>
      </c>
    </row>
    <row r="58" spans="1:13">
      <c r="B58"/>
      <c r="C58"/>
      <c r="D58"/>
      <c r="E58"/>
      <c r="F58"/>
      <c r="G58"/>
      <c r="H58"/>
      <c r="I58"/>
      <c r="J58"/>
      <c r="K58"/>
      <c r="L58"/>
      <c r="M58"/>
    </row>
    <row r="59" spans="1:13" s="48" customFormat="1">
      <c r="A59" s="120" t="s">
        <v>650</v>
      </c>
      <c r="B59" s="61">
        <f>_xlfn.XLOOKUP($A59,Inputs!$A:$A,Inputs!B:B,,0)</f>
        <v>121.3</v>
      </c>
      <c r="C59" s="61">
        <f>_xlfn.XLOOKUP($A59,Inputs!$A:$A,Inputs!C:C,,0)</f>
        <v>139.87</v>
      </c>
      <c r="D59" s="61">
        <f>_xlfn.XLOOKUP($A59,Inputs!$A:$A,Inputs!D:D,,0)</f>
        <v>179.86</v>
      </c>
      <c r="E59" s="61">
        <f>_xlfn.XLOOKUP($A59,Inputs!$A:$A,Inputs!E:E,,0)</f>
        <v>104.55</v>
      </c>
      <c r="F59" s="61">
        <f>_xlfn.XLOOKUP($A59,Inputs!$A:$A,Inputs!F:F,,0)</f>
        <v>84.31</v>
      </c>
      <c r="G59" s="61">
        <f>_xlfn.XLOOKUP($A59,Inputs!$A:$A,Inputs!G:G,,0)</f>
        <v>101.42</v>
      </c>
      <c r="H59" s="61">
        <f>_xlfn.XLOOKUP($A59,Inputs!$A:$A,Inputs!H:H,,0)</f>
        <v>113.82</v>
      </c>
      <c r="I59" s="61">
        <f>_xlfn.XLOOKUP($A59,Inputs!$A:$A,Inputs!I:I,,0)</f>
        <v>185.53</v>
      </c>
      <c r="J59" s="61">
        <f>_xlfn.XLOOKUP($A59,Inputs!$A:$A,Inputs!J:J,,0)</f>
        <v>301.13</v>
      </c>
      <c r="K59" s="61">
        <f>_xlfn.XLOOKUP($A59,Inputs!$A:$A,Inputs!K:K,,0)</f>
        <v>424.28</v>
      </c>
      <c r="L59" s="61">
        <f>_xlfn.XLOOKUP($A59,Inputs!$A:$A,Inputs!L:L,,0)</f>
        <v>458.6</v>
      </c>
      <c r="M59" s="61">
        <f>_xlfn.XLOOKUP($A59,Inputs!$A:$A,Inputs!M:M,,0)</f>
        <v>586.4</v>
      </c>
    </row>
    <row r="60" spans="1:13">
      <c r="B60"/>
      <c r="C60"/>
      <c r="D60"/>
      <c r="E60"/>
      <c r="F60"/>
      <c r="G60"/>
      <c r="H60"/>
      <c r="I60"/>
      <c r="J60"/>
      <c r="K60"/>
      <c r="L60"/>
      <c r="M60"/>
    </row>
    <row r="61" spans="1:13">
      <c r="A61" s="120" t="s">
        <v>651</v>
      </c>
      <c r="B61" s="61">
        <f>_xlfn.XLOOKUP($A61,Inputs!$A:$A,Inputs!B:B,,0)</f>
        <v>26580.660000000003</v>
      </c>
      <c r="C61" s="61">
        <f>_xlfn.XLOOKUP($A61,Inputs!$A:$A,Inputs!C:C,,0)</f>
        <v>24100.500000000004</v>
      </c>
      <c r="D61" s="61">
        <f>_xlfn.XLOOKUP($A61,Inputs!$A:$A,Inputs!D:D,,0)</f>
        <v>20816.419999999998</v>
      </c>
      <c r="E61" s="61">
        <f>_xlfn.XLOOKUP($A61,Inputs!$A:$A,Inputs!E:E,,0)</f>
        <v>17994.850000000002</v>
      </c>
      <c r="F61" s="61">
        <f>_xlfn.XLOOKUP($A61,Inputs!$A:$A,Inputs!F:F,,0)</f>
        <v>15949.519999999999</v>
      </c>
      <c r="G61" s="61">
        <f>_xlfn.XLOOKUP($A61,Inputs!$A:$A,Inputs!G:G,,0)</f>
        <v>14581.54</v>
      </c>
      <c r="H61" s="61">
        <f>_xlfn.XLOOKUP($A61,Inputs!$A:$A,Inputs!H:H,,0)</f>
        <v>7872.3099999999995</v>
      </c>
      <c r="I61" s="61">
        <f>_xlfn.XLOOKUP($A61,Inputs!$A:$A,Inputs!I:I,,0)</f>
        <v>7026.0400000000009</v>
      </c>
      <c r="J61" s="61">
        <f>_xlfn.XLOOKUP($A61,Inputs!$A:$A,Inputs!J:J,,0)</f>
        <v>5648.94</v>
      </c>
      <c r="K61" s="61">
        <f>_xlfn.XLOOKUP($A61,Inputs!$A:$A,Inputs!K:K,,0)</f>
        <v>4827.0199999999995</v>
      </c>
      <c r="L61" s="61">
        <f>_xlfn.XLOOKUP($A61,Inputs!$A:$A,Inputs!L:L,,0)</f>
        <v>4168.5999999999995</v>
      </c>
      <c r="M61" s="61">
        <f>_xlfn.XLOOKUP($A61,Inputs!$A:$A,Inputs!M:M,,0)</f>
        <v>3414.6</v>
      </c>
    </row>
    <row r="62" spans="1:13">
      <c r="K62" s="44"/>
      <c r="L62" s="44"/>
      <c r="M62" s="44"/>
    </row>
    <row r="63" spans="1:13" ht="20.25">
      <c r="A63" s="1229" t="s">
        <v>129</v>
      </c>
      <c r="B63" s="1229"/>
      <c r="C63" s="1229"/>
      <c r="D63" s="1229"/>
      <c r="E63" s="1229"/>
      <c r="F63" s="1229"/>
      <c r="G63" s="1229"/>
      <c r="H63" s="1229"/>
      <c r="I63" s="1229"/>
      <c r="J63" s="1229"/>
      <c r="K63" s="1229"/>
      <c r="L63" s="1229"/>
      <c r="M63" s="1229"/>
    </row>
    <row r="64" spans="1:13">
      <c r="A64" s="120" t="s">
        <v>130</v>
      </c>
      <c r="B64" s="61">
        <f>_xlfn.XLOOKUP($A64,Inputs!$A:$A,Inputs!B:B,,0)</f>
        <v>5179.74</v>
      </c>
      <c r="C64" s="61">
        <f>_xlfn.XLOOKUP($A64,Inputs!$A:$A,Inputs!C:C,,0)</f>
        <v>3265.67</v>
      </c>
      <c r="D64" s="61">
        <f>_xlfn.XLOOKUP($A64,Inputs!$A:$A,Inputs!D:D,,0)</f>
        <v>2532.77</v>
      </c>
      <c r="E64" s="61">
        <f>_xlfn.XLOOKUP($A64,Inputs!$A:$A,Inputs!E:E,,0)</f>
        <v>4190.82</v>
      </c>
      <c r="F64" s="61">
        <f>_xlfn.XLOOKUP($A64,Inputs!$A:$A,Inputs!F:F,,0)</f>
        <v>1482.34</v>
      </c>
      <c r="G64" s="61">
        <f>_xlfn.XLOOKUP($A64,Inputs!$A:$A,Inputs!G:G,,0)</f>
        <v>1691.75</v>
      </c>
      <c r="H64" s="61">
        <f>_xlfn.XLOOKUP($A64,Inputs!$A:$A,Inputs!H:H,,0)</f>
        <v>996.86</v>
      </c>
      <c r="I64" s="61">
        <f>_xlfn.XLOOKUP($A64,Inputs!$A:$A,Inputs!I:I,,0)</f>
        <v>507.8</v>
      </c>
      <c r="J64" s="61">
        <f>_xlfn.XLOOKUP($A64,Inputs!$A:$A,Inputs!J:J,,0)</f>
        <v>-419.65</v>
      </c>
      <c r="K64" s="61">
        <f>_xlfn.XLOOKUP($A64,Inputs!$A:$A,Inputs!K:K,,0)</f>
        <v>-788.49</v>
      </c>
      <c r="L64" s="61">
        <f>_xlfn.XLOOKUP($A64,Inputs!$A:$A,Inputs!L:L,,0)</f>
        <v>-807.71400000000006</v>
      </c>
      <c r="M64" s="61">
        <f>_xlfn.XLOOKUP($A64,Inputs!$A:$A,Inputs!M:M,,0)</f>
        <v>-424.64800000000002</v>
      </c>
    </row>
    <row r="65" spans="1:235">
      <c r="A65" s="120" t="s">
        <v>131</v>
      </c>
      <c r="B65" s="61">
        <f>_xlfn.XLOOKUP($A65,Inputs!$A:$A,Inputs!B:B,,0)</f>
        <v>-176.98</v>
      </c>
      <c r="C65" s="61">
        <f>_xlfn.XLOOKUP($A65,Inputs!$A:$A,Inputs!C:C,,0)</f>
        <v>-128.30000000000001</v>
      </c>
      <c r="D65" s="61">
        <f>_xlfn.XLOOKUP($A65,Inputs!$A:$A,Inputs!D:D,,0)</f>
        <v>-105.09</v>
      </c>
      <c r="E65" s="61">
        <f>_xlfn.XLOOKUP($A65,Inputs!$A:$A,Inputs!E:E,,0)</f>
        <v>-280.2</v>
      </c>
      <c r="F65" s="61">
        <f>_xlfn.XLOOKUP($A65,Inputs!$A:$A,Inputs!F:F,,0)</f>
        <v>19.600000000000001</v>
      </c>
      <c r="G65" s="61">
        <f>_xlfn.XLOOKUP($A65,Inputs!$A:$A,Inputs!G:G,,0)</f>
        <v>-593.95000000000005</v>
      </c>
      <c r="H65" s="61">
        <f>_xlfn.XLOOKUP($A65,Inputs!$A:$A,Inputs!H:H,,0)</f>
        <v>-869.82</v>
      </c>
      <c r="I65" s="61">
        <f>_xlfn.XLOOKUP($A65,Inputs!$A:$A,Inputs!I:I,,0)</f>
        <v>-85.84</v>
      </c>
      <c r="J65" s="61">
        <f>_xlfn.XLOOKUP($A65,Inputs!$A:$A,Inputs!J:J,,0)</f>
        <v>-98.39</v>
      </c>
      <c r="K65" s="61">
        <f>_xlfn.XLOOKUP($A65,Inputs!$A:$A,Inputs!K:K,,0)</f>
        <v>438.36</v>
      </c>
      <c r="L65" s="61">
        <f>_xlfn.XLOOKUP($A65,Inputs!$A:$A,Inputs!L:L,,0)</f>
        <v>689.24900000000002</v>
      </c>
      <c r="M65" s="61">
        <f>_xlfn.XLOOKUP($A65,Inputs!$A:$A,Inputs!M:M,,0)</f>
        <v>245.291</v>
      </c>
    </row>
    <row r="66" spans="1:235">
      <c r="A66" s="116" t="s">
        <v>132</v>
      </c>
      <c r="B66" s="55">
        <f>_xlfn.XLOOKUP($A66,Inputs!$A:$A,Inputs!B:B,,0)</f>
        <v>-99.8</v>
      </c>
      <c r="C66" s="55">
        <f>_xlfn.XLOOKUP($A66,Inputs!$A:$A,Inputs!C:C,,0)</f>
        <v>-57.21</v>
      </c>
      <c r="D66" s="55">
        <f>_xlfn.XLOOKUP($A66,Inputs!$A:$A,Inputs!D:D,,0)</f>
        <v>-65.17</v>
      </c>
      <c r="E66" s="55">
        <f>_xlfn.XLOOKUP($A66,Inputs!$A:$A,Inputs!E:E,,0)</f>
        <v>-73</v>
      </c>
      <c r="F66" s="55">
        <f>_xlfn.XLOOKUP($A66,Inputs!$A:$A,Inputs!F:F,,0)</f>
        <v>-89</v>
      </c>
      <c r="G66" s="55">
        <f>_xlfn.XLOOKUP($A66,Inputs!$A:$A,Inputs!G:G,,0)</f>
        <v>-130</v>
      </c>
      <c r="H66" s="55">
        <f>_xlfn.XLOOKUP($A66,Inputs!$A:$A,Inputs!H:H,,0)</f>
        <v>-112</v>
      </c>
      <c r="I66" s="55">
        <f>_xlfn.XLOOKUP($A66,Inputs!$A:$A,Inputs!I:I,,0)</f>
        <v>-76</v>
      </c>
      <c r="J66" s="55">
        <f>_xlfn.XLOOKUP($A66,Inputs!$A:$A,Inputs!J:J,,0)</f>
        <v>-91</v>
      </c>
      <c r="K66" s="55">
        <f>_xlfn.XLOOKUP($A66,Inputs!$A:$A,Inputs!K:K,,0)</f>
        <v>-23</v>
      </c>
      <c r="L66" s="55">
        <f>_xlfn.XLOOKUP($A66,Inputs!$A:$A,Inputs!L:L,,0)</f>
        <v>-8.1300000000000008</v>
      </c>
      <c r="M66" s="55">
        <f>_xlfn.XLOOKUP($A66,Inputs!$A:$A,Inputs!M:M,,0)</f>
        <v>0</v>
      </c>
    </row>
    <row r="67" spans="1:235">
      <c r="A67" s="116" t="s">
        <v>133</v>
      </c>
      <c r="B67" s="55">
        <f>_xlfn.XLOOKUP($A67,Inputs!$A:$A,Inputs!B:B,,0)</f>
        <v>-204.37</v>
      </c>
      <c r="C67" s="55">
        <f>_xlfn.XLOOKUP($A67,Inputs!$A:$A,Inputs!C:C,,0)</f>
        <v>-515.09</v>
      </c>
      <c r="D67" s="55">
        <f>_xlfn.XLOOKUP($A67,Inputs!$A:$A,Inputs!D:D,,0)</f>
        <v>-473.05</v>
      </c>
      <c r="E67" s="55">
        <f>_xlfn.XLOOKUP($A67,Inputs!$A:$A,Inputs!E:E,,0)</f>
        <v>-460.62</v>
      </c>
      <c r="F67" s="55">
        <f>_xlfn.XLOOKUP($A67,Inputs!$A:$A,Inputs!F:F,,0)</f>
        <v>-368.88</v>
      </c>
      <c r="G67" s="55">
        <f>_xlfn.XLOOKUP($A67,Inputs!$A:$A,Inputs!G:G,,0)</f>
        <v>-879.47</v>
      </c>
      <c r="H67" s="55">
        <f>_xlfn.XLOOKUP($A67,Inputs!$A:$A,Inputs!H:H,,0)</f>
        <v>-1168.8</v>
      </c>
      <c r="I67" s="55">
        <f>_xlfn.XLOOKUP($A67,Inputs!$A:$A,Inputs!I:I,,0)</f>
        <v>-441.36</v>
      </c>
      <c r="J67" s="55">
        <f>_xlfn.XLOOKUP($A67,Inputs!$A:$A,Inputs!J:J,,0)</f>
        <v>-316.69</v>
      </c>
      <c r="K67" s="55">
        <f>_xlfn.XLOOKUP($A67,Inputs!$A:$A,Inputs!K:K,,0)</f>
        <v>337.23</v>
      </c>
      <c r="L67" s="55">
        <f>_xlfn.XLOOKUP($A67,Inputs!$A:$A,Inputs!L:L,,0)</f>
        <v>484.58</v>
      </c>
      <c r="M67" s="55">
        <f>_xlfn.XLOOKUP($A67,Inputs!$A:$A,Inputs!M:M,,0)</f>
        <v>-103.7</v>
      </c>
      <c r="IA67" s="44"/>
    </row>
    <row r="68" spans="1:235">
      <c r="A68" s="120" t="s">
        <v>134</v>
      </c>
      <c r="B68" s="61">
        <f>_xlfn.XLOOKUP($A68,Inputs!$A:$A,Inputs!B:B,,0)</f>
        <v>-3247.59</v>
      </c>
      <c r="C68" s="61">
        <f>_xlfn.XLOOKUP($A68,Inputs!$A:$A,Inputs!C:C,,0)</f>
        <v>-1277.28</v>
      </c>
      <c r="D68" s="61">
        <f>_xlfn.XLOOKUP($A68,Inputs!$A:$A,Inputs!D:D,,0)</f>
        <v>-2404.73</v>
      </c>
      <c r="E68" s="61">
        <f>_xlfn.XLOOKUP($A68,Inputs!$A:$A,Inputs!E:E,,0)</f>
        <v>-2446.5700000000002</v>
      </c>
      <c r="F68" s="61">
        <f>_xlfn.XLOOKUP($A68,Inputs!$A:$A,Inputs!F:F,,0)</f>
        <v>-1629.22</v>
      </c>
      <c r="G68" s="61">
        <f>_xlfn.XLOOKUP($A68,Inputs!$A:$A,Inputs!G:G,,0)</f>
        <v>-2195.9</v>
      </c>
      <c r="H68" s="61">
        <f>_xlfn.XLOOKUP($A68,Inputs!$A:$A,Inputs!H:H,,0)</f>
        <v>1194.3</v>
      </c>
      <c r="I68" s="61">
        <f>_xlfn.XLOOKUP($A68,Inputs!$A:$A,Inputs!I:I,,0)</f>
        <v>-250.88</v>
      </c>
      <c r="J68" s="61">
        <f>_xlfn.XLOOKUP($A68,Inputs!$A:$A,Inputs!J:J,,0)</f>
        <v>394.67</v>
      </c>
      <c r="K68" s="61">
        <f>_xlfn.XLOOKUP($A68,Inputs!$A:$A,Inputs!K:K,,0)</f>
        <v>661.44</v>
      </c>
      <c r="L68" s="61">
        <f>_xlfn.XLOOKUP($A68,Inputs!$A:$A,Inputs!L:L,,0)</f>
        <v>-221.773</v>
      </c>
      <c r="M68" s="61">
        <f>_xlfn.XLOOKUP($A68,Inputs!$A:$A,Inputs!M:M,,0)</f>
        <v>326.49599999999998</v>
      </c>
      <c r="IA68" s="44"/>
    </row>
    <row r="69" spans="1:235">
      <c r="A69" s="116" t="s">
        <v>135</v>
      </c>
      <c r="B69" s="55">
        <f>_xlfn.XLOOKUP($A69,Inputs!$A:$A,Inputs!B:B,,0)</f>
        <v>-430.56</v>
      </c>
      <c r="C69" s="55">
        <f>_xlfn.XLOOKUP($A69,Inputs!$A:$A,Inputs!C:C,,0)</f>
        <v>-438.04</v>
      </c>
      <c r="D69" s="55">
        <f>_xlfn.XLOOKUP($A69,Inputs!$A:$A,Inputs!D:D,,0)</f>
        <v>-309.77999999999997</v>
      </c>
      <c r="E69" s="55">
        <f>_xlfn.XLOOKUP($A69,Inputs!$A:$A,Inputs!E:E,,0)</f>
        <v>-195.04</v>
      </c>
      <c r="F69" s="55">
        <f>_xlfn.XLOOKUP($A69,Inputs!$A:$A,Inputs!F:F,,0)</f>
        <v>-51.45</v>
      </c>
      <c r="G69" s="55">
        <f>_xlfn.XLOOKUP($A69,Inputs!$A:$A,Inputs!G:G,,0)</f>
        <v>-49.16</v>
      </c>
      <c r="H69" s="55">
        <f>_xlfn.XLOOKUP($A69,Inputs!$A:$A,Inputs!H:H,,0)</f>
        <v>-37.61</v>
      </c>
      <c r="I69" s="55">
        <f>_xlfn.XLOOKUP($A69,Inputs!$A:$A,Inputs!I:I,,0)</f>
        <v>-35.32</v>
      </c>
      <c r="J69" s="55">
        <f>_xlfn.XLOOKUP($A69,Inputs!$A:$A,Inputs!J:J,,0)</f>
        <v>-33.19</v>
      </c>
      <c r="K69" s="55">
        <f>_xlfn.XLOOKUP($A69,Inputs!$A:$A,Inputs!K:K,,0)</f>
        <v>-32.78</v>
      </c>
      <c r="L69" s="55">
        <f>_xlfn.XLOOKUP($A69,Inputs!$A:$A,Inputs!L:L,,0)</f>
        <v>-30.911999999999999</v>
      </c>
      <c r="M69" s="55">
        <f>_xlfn.XLOOKUP($A69,Inputs!$A:$A,Inputs!M:M,,0)</f>
        <v>-30.393999999999998</v>
      </c>
      <c r="IA69" s="44"/>
    </row>
    <row r="70" spans="1:235">
      <c r="A70" s="116" t="s">
        <v>633</v>
      </c>
      <c r="B70" s="55">
        <f>_xlfn.XLOOKUP($A70,Inputs!$A:$A,Inputs!B:B,,0)</f>
        <v>-1182.711</v>
      </c>
      <c r="C70" s="55">
        <f>_xlfn.XLOOKUP($A70,Inputs!$A:$A,Inputs!C:C,,0)</f>
        <v>-1039.309</v>
      </c>
      <c r="D70" s="55">
        <f>_xlfn.XLOOKUP($A70,Inputs!$A:$A,Inputs!D:D,,0)</f>
        <v>-1430.212</v>
      </c>
      <c r="E70" s="55">
        <f>_xlfn.XLOOKUP($A70,Inputs!$A:$A,Inputs!E:E,,0)</f>
        <v>-321.524</v>
      </c>
      <c r="F70" s="55">
        <f>_xlfn.XLOOKUP($A70,Inputs!$A:$A,Inputs!F:F,,0)</f>
        <v>-523.07399999999996</v>
      </c>
      <c r="G70" s="55">
        <f>_xlfn.XLOOKUP($A70,Inputs!$A:$A,Inputs!G:G,,0)</f>
        <v>-299.83300000000003</v>
      </c>
      <c r="H70" s="55">
        <f>_xlfn.XLOOKUP($A70,Inputs!$A:$A,Inputs!H:H,,0)</f>
        <v>-28.053999999999998</v>
      </c>
      <c r="I70" s="55">
        <f>_xlfn.XLOOKUP($A70,Inputs!$A:$A,Inputs!I:I,,0)</f>
        <v>-19.902000000000001</v>
      </c>
      <c r="J70" s="55">
        <f>_xlfn.XLOOKUP($A70,Inputs!$A:$A,Inputs!J:J,,0)</f>
        <v>-23.187999999999999</v>
      </c>
      <c r="K70" s="55">
        <f>_xlfn.XLOOKUP($A70,Inputs!$A:$A,Inputs!K:K,,0)</f>
        <v>-20.423999999999999</v>
      </c>
      <c r="L70" s="55">
        <f>_xlfn.XLOOKUP($A70,Inputs!$A:$A,Inputs!L:L,,0)</f>
        <v>-12.32</v>
      </c>
      <c r="M70" s="55">
        <f>_xlfn.XLOOKUP($A70,Inputs!$A:$A,Inputs!M:M,,0)</f>
        <v>-17.149000000000001</v>
      </c>
    </row>
    <row r="71" spans="1:235">
      <c r="A71" s="120" t="s">
        <v>138</v>
      </c>
      <c r="B71" s="61">
        <f>_xlfn.XLOOKUP($A71,Inputs!$A:$A,Inputs!B:B,,0)</f>
        <v>0</v>
      </c>
      <c r="C71" s="61">
        <f>_xlfn.XLOOKUP($A71,Inputs!$A:$A,Inputs!C:C,,0)</f>
        <v>0</v>
      </c>
      <c r="D71" s="61">
        <f>_xlfn.XLOOKUP($A71,Inputs!$A:$A,Inputs!D:D,,0)</f>
        <v>0</v>
      </c>
      <c r="E71" s="61">
        <f>_xlfn.XLOOKUP($A71,Inputs!$A:$A,Inputs!E:E,,0)</f>
        <v>0</v>
      </c>
      <c r="F71" s="61">
        <f>_xlfn.XLOOKUP($A71,Inputs!$A:$A,Inputs!F:F,,0)</f>
        <v>0</v>
      </c>
      <c r="G71" s="61">
        <f>_xlfn.XLOOKUP($A71,Inputs!$A:$A,Inputs!G:G,,0)</f>
        <v>0</v>
      </c>
      <c r="H71" s="61">
        <f>_xlfn.XLOOKUP($A71,Inputs!$A:$A,Inputs!H:H,,0)</f>
        <v>0</v>
      </c>
      <c r="I71" s="61">
        <f>_xlfn.XLOOKUP($A71,Inputs!$A:$A,Inputs!I:I,,0)</f>
        <v>0</v>
      </c>
      <c r="J71" s="61">
        <f>_xlfn.XLOOKUP($A71,Inputs!$A:$A,Inputs!J:J,,0)</f>
        <v>0</v>
      </c>
      <c r="K71" s="61">
        <f>_xlfn.XLOOKUP($A71,Inputs!$A:$A,Inputs!K:K,,0)</f>
        <v>0</v>
      </c>
      <c r="L71" s="61">
        <f>_xlfn.XLOOKUP($A71,Inputs!$A:$A,Inputs!L:L,,0)</f>
        <v>0</v>
      </c>
      <c r="M71" s="61">
        <f>_xlfn.XLOOKUP($A71,Inputs!$A:$A,Inputs!M:M,,0)</f>
        <v>0</v>
      </c>
    </row>
    <row r="72" spans="1:235">
      <c r="A72" s="120" t="s">
        <v>652</v>
      </c>
      <c r="B72" s="61">
        <f>_xlfn.XLOOKUP($A72,Inputs!$A:$A,Inputs!B:B,,0)</f>
        <v>1755.17</v>
      </c>
      <c r="C72" s="61">
        <f>_xlfn.XLOOKUP($A72,Inputs!$A:$A,Inputs!C:C,,0)</f>
        <v>1860.09</v>
      </c>
      <c r="D72" s="61">
        <f>_xlfn.XLOOKUP($A72,Inputs!$A:$A,Inputs!D:D,,0)</f>
        <v>22.949999999999818</v>
      </c>
      <c r="E72" s="61">
        <f>_xlfn.XLOOKUP($A72,Inputs!$A:$A,Inputs!E:E,,0)</f>
        <v>1464.0499999999997</v>
      </c>
      <c r="F72" s="61">
        <f>_xlfn.XLOOKUP($A72,Inputs!$A:$A,Inputs!F:F,,0)</f>
        <v>-127.2800000000002</v>
      </c>
      <c r="G72" s="61">
        <f>_xlfn.XLOOKUP($A72,Inputs!$A:$A,Inputs!G:G,,0)</f>
        <v>-1098.1000000000001</v>
      </c>
      <c r="H72" s="61">
        <f>_xlfn.XLOOKUP($A72,Inputs!$A:$A,Inputs!H:H,,0)</f>
        <v>1321.34</v>
      </c>
      <c r="I72" s="61">
        <f>_xlfn.XLOOKUP($A72,Inputs!$A:$A,Inputs!I:I,,0)</f>
        <v>171.08000000000004</v>
      </c>
      <c r="J72" s="61">
        <f>_xlfn.XLOOKUP($A72,Inputs!$A:$A,Inputs!J:J,,0)</f>
        <v>-123.36999999999995</v>
      </c>
      <c r="K72" s="61">
        <f>_xlfn.XLOOKUP($A72,Inputs!$A:$A,Inputs!K:K,,0)</f>
        <v>311.31000000000006</v>
      </c>
      <c r="L72" s="61">
        <f>_xlfn.XLOOKUP($A72,Inputs!$A:$A,Inputs!L:L,,0)</f>
        <v>-340.23800000000006</v>
      </c>
      <c r="M72" s="61">
        <f>_xlfn.XLOOKUP($A72,Inputs!$A:$A,Inputs!M:M,,0)</f>
        <v>147.13899999999995</v>
      </c>
    </row>
    <row r="73" spans="1:235">
      <c r="K73" s="44"/>
      <c r="L73" s="44"/>
      <c r="M73" s="44"/>
    </row>
    <row r="74" spans="1:235" ht="20.25">
      <c r="A74" s="1229" t="s">
        <v>653</v>
      </c>
      <c r="B74" s="1229"/>
      <c r="C74" s="1229"/>
      <c r="D74" s="1229"/>
      <c r="E74" s="1229"/>
      <c r="F74" s="1229"/>
      <c r="G74" s="1229"/>
      <c r="H74" s="1229"/>
      <c r="I74" s="1229"/>
      <c r="J74" s="1229"/>
      <c r="K74" s="1229"/>
      <c r="L74" s="1229"/>
      <c r="M74" s="1229"/>
    </row>
    <row r="75" spans="1:235">
      <c r="A75" s="115" t="s">
        <v>654</v>
      </c>
      <c r="B75" s="55" t="e">
        <f>_xlfn.XLOOKUP($A75,Inputs!$A:$A,Inputs!B:B,,0)</f>
        <v>#N/A</v>
      </c>
      <c r="C75" s="55" t="e">
        <f>_xlfn.XLOOKUP($A75,Inputs!$A:$A,Inputs!C:C,,0)</f>
        <v>#N/A</v>
      </c>
      <c r="D75" s="55" t="e">
        <f>_xlfn.XLOOKUP($A75,Inputs!$A:$A,Inputs!D:D,,0)</f>
        <v>#N/A</v>
      </c>
      <c r="E75" s="55" t="e">
        <f>_xlfn.XLOOKUP($A75,Inputs!$A:$A,Inputs!E:E,,0)</f>
        <v>#N/A</v>
      </c>
      <c r="F75" s="55" t="e">
        <f>_xlfn.XLOOKUP($A75,Inputs!$A:$A,Inputs!F:F,,0)</f>
        <v>#N/A</v>
      </c>
      <c r="G75" s="55" t="e">
        <f>_xlfn.XLOOKUP($A75,Inputs!$A:$A,Inputs!G:G,,0)</f>
        <v>#N/A</v>
      </c>
      <c r="H75" s="55" t="e">
        <f>_xlfn.XLOOKUP($A75,Inputs!$A:$A,Inputs!H:H,,0)</f>
        <v>#N/A</v>
      </c>
      <c r="I75" s="55" t="e">
        <f>_xlfn.XLOOKUP($A75,Inputs!$A:$A,Inputs!I:I,,0)</f>
        <v>#N/A</v>
      </c>
      <c r="J75" s="55" t="e">
        <f>_xlfn.XLOOKUP($A75,Inputs!$A:$A,Inputs!J:J,,0)</f>
        <v>#N/A</v>
      </c>
      <c r="K75" s="55" t="e">
        <f>_xlfn.XLOOKUP($A75,Inputs!$A:$A,Inputs!K:K,,0)</f>
        <v>#N/A</v>
      </c>
      <c r="L75" s="55" t="e">
        <f>_xlfn.XLOOKUP($A75,Inputs!$A:$A,Inputs!L:L,,0)</f>
        <v>#N/A</v>
      </c>
      <c r="M75" s="55" t="e">
        <f>_xlfn.XLOOKUP($A75,Inputs!$A:$A,Inputs!M:M,,0)</f>
        <v>#N/A</v>
      </c>
    </row>
    <row r="76" spans="1:235">
      <c r="A76" s="121" t="s">
        <v>655</v>
      </c>
      <c r="B76" s="55" t="e">
        <f>_xlfn.XLOOKUP($A76,Inputs!$A:$A,Inputs!B:B,,0)</f>
        <v>#N/A</v>
      </c>
      <c r="C76" s="55" t="e">
        <f>_xlfn.XLOOKUP($A76,Inputs!$A:$A,Inputs!C:C,,0)</f>
        <v>#N/A</v>
      </c>
      <c r="D76" s="55" t="e">
        <f>_xlfn.XLOOKUP($A76,Inputs!$A:$A,Inputs!D:D,,0)</f>
        <v>#N/A</v>
      </c>
      <c r="E76" s="55" t="e">
        <f>_xlfn.XLOOKUP($A76,Inputs!$A:$A,Inputs!E:E,,0)</f>
        <v>#N/A</v>
      </c>
      <c r="F76" s="55" t="e">
        <f>_xlfn.XLOOKUP($A76,Inputs!$A:$A,Inputs!F:F,,0)</f>
        <v>#N/A</v>
      </c>
      <c r="G76" s="55" t="e">
        <f>_xlfn.XLOOKUP($A76,Inputs!$A:$A,Inputs!G:G,,0)</f>
        <v>#N/A</v>
      </c>
      <c r="H76" s="55" t="e">
        <f>_xlfn.XLOOKUP($A76,Inputs!$A:$A,Inputs!H:H,,0)</f>
        <v>#N/A</v>
      </c>
      <c r="I76" s="55" t="e">
        <f>_xlfn.XLOOKUP($A76,Inputs!$A:$A,Inputs!I:I,,0)</f>
        <v>#N/A</v>
      </c>
      <c r="J76" s="55" t="e">
        <f>_xlfn.XLOOKUP($A76,Inputs!$A:$A,Inputs!J:J,,0)</f>
        <v>#N/A</v>
      </c>
      <c r="K76" s="55" t="e">
        <f>_xlfn.XLOOKUP($A76,Inputs!$A:$A,Inputs!K:K,,0)</f>
        <v>#N/A</v>
      </c>
      <c r="L76" s="55" t="e">
        <f>_xlfn.XLOOKUP($A76,Inputs!$A:$A,Inputs!L:L,,0)</f>
        <v>#N/A</v>
      </c>
      <c r="M76" s="55" t="e">
        <f>_xlfn.XLOOKUP($A76,Inputs!$A:$A,Inputs!M:M,,0)</f>
        <v>#N/A</v>
      </c>
    </row>
    <row r="77" spans="1:235">
      <c r="A77" s="115" t="s">
        <v>46</v>
      </c>
      <c r="B77" s="55">
        <f>_xlfn.XLOOKUP($A77,Inputs!$A:$A,Inputs!B:B,,0)</f>
        <v>0.997</v>
      </c>
      <c r="C77" s="55" t="str">
        <f>_xlfn.XLOOKUP($A77,Inputs!$A:$A,Inputs!C:C,,0)</f>
        <v>Yahoo finance</v>
      </c>
      <c r="D77" s="55">
        <f>_xlfn.XLOOKUP($A77,Inputs!$A:$A,Inputs!D:D,,0)</f>
        <v>0</v>
      </c>
      <c r="E77" s="55">
        <f>_xlfn.XLOOKUP($A77,Inputs!$A:$A,Inputs!E:E,,0)</f>
        <v>0</v>
      </c>
      <c r="F77" s="55">
        <f>_xlfn.XLOOKUP($A77,Inputs!$A:$A,Inputs!F:F,,0)</f>
        <v>0</v>
      </c>
      <c r="G77" s="55">
        <f>_xlfn.XLOOKUP($A77,Inputs!$A:$A,Inputs!G:G,,0)</f>
        <v>0</v>
      </c>
      <c r="H77" s="55">
        <f>_xlfn.XLOOKUP($A77,Inputs!$A:$A,Inputs!H:H,,0)</f>
        <v>0</v>
      </c>
      <c r="I77" s="55">
        <f>_xlfn.XLOOKUP($A77,Inputs!$A:$A,Inputs!I:I,,0)</f>
        <v>0</v>
      </c>
      <c r="J77" s="55">
        <f>_xlfn.XLOOKUP($A77,Inputs!$A:$A,Inputs!J:J,,0)</f>
        <v>0</v>
      </c>
      <c r="K77" s="55">
        <f>_xlfn.XLOOKUP($A77,Inputs!$A:$A,Inputs!K:K,,0)</f>
        <v>0</v>
      </c>
      <c r="L77" s="55">
        <f>_xlfn.XLOOKUP($A77,Inputs!$A:$A,Inputs!L:L,,0)</f>
        <v>0</v>
      </c>
      <c r="M77" s="55">
        <f>_xlfn.XLOOKUP($A77,Inputs!$A:$A,Inputs!M:M,,0)</f>
        <v>0</v>
      </c>
    </row>
    <row r="78" spans="1:235">
      <c r="A78" s="121" t="s">
        <v>50</v>
      </c>
      <c r="B78" s="55">
        <f>_xlfn.XLOOKUP($A78,Inputs!$A:$A,Inputs!B:B,,0)</f>
        <v>2.5999999999999999E-2</v>
      </c>
      <c r="C78" s="55" t="str">
        <f>_xlfn.XLOOKUP($A78,Inputs!$A:$A,Inputs!C:C,,0)</f>
        <v>Yahoo finance</v>
      </c>
      <c r="D78" s="55">
        <f>_xlfn.XLOOKUP($A78,Inputs!$A:$A,Inputs!D:D,,0)</f>
        <v>0</v>
      </c>
      <c r="E78" s="55">
        <f>_xlfn.XLOOKUP($A78,Inputs!$A:$A,Inputs!E:E,,0)</f>
        <v>0</v>
      </c>
      <c r="F78" s="55">
        <f>_xlfn.XLOOKUP($A78,Inputs!$A:$A,Inputs!F:F,,0)</f>
        <v>0</v>
      </c>
      <c r="G78" s="55">
        <f>_xlfn.XLOOKUP($A78,Inputs!$A:$A,Inputs!G:G,,0)</f>
        <v>0</v>
      </c>
      <c r="H78" s="55">
        <f>_xlfn.XLOOKUP($A78,Inputs!$A:$A,Inputs!H:H,,0)</f>
        <v>0</v>
      </c>
      <c r="I78" s="55">
        <f>_xlfn.XLOOKUP($A78,Inputs!$A:$A,Inputs!I:I,,0)</f>
        <v>0</v>
      </c>
      <c r="J78" s="55">
        <f>_xlfn.XLOOKUP($A78,Inputs!$A:$A,Inputs!J:J,,0)</f>
        <v>0</v>
      </c>
      <c r="K78" s="55">
        <f>_xlfn.XLOOKUP($A78,Inputs!$A:$A,Inputs!K:K,,0)</f>
        <v>0</v>
      </c>
      <c r="L78" s="55">
        <f>_xlfn.XLOOKUP($A78,Inputs!$A:$A,Inputs!L:L,,0)</f>
        <v>0</v>
      </c>
      <c r="M78" s="55">
        <f>_xlfn.XLOOKUP($A78,Inputs!$A:$A,Inputs!M:M,,0)</f>
        <v>0</v>
      </c>
    </row>
    <row r="79" spans="1:235">
      <c r="A79" s="115" t="s">
        <v>656</v>
      </c>
      <c r="B79" s="55">
        <f>_xlfn.XLOOKUP($A79,Inputs!$A:$A,Inputs!B:B,,0)</f>
        <v>0</v>
      </c>
      <c r="C79" s="55" t="str">
        <f>_xlfn.XLOOKUP($A79,Inputs!$A:$A,Inputs!C:C,,0)</f>
        <v>10-K</v>
      </c>
      <c r="D79" s="55">
        <f>_xlfn.XLOOKUP($A79,Inputs!$A:$A,Inputs!D:D,,0)</f>
        <v>0</v>
      </c>
      <c r="E79" s="55">
        <f>_xlfn.XLOOKUP($A79,Inputs!$A:$A,Inputs!E:E,,0)</f>
        <v>0</v>
      </c>
      <c r="F79" s="55">
        <f>_xlfn.XLOOKUP($A79,Inputs!$A:$A,Inputs!F:F,,0)</f>
        <v>0</v>
      </c>
      <c r="G79" s="55">
        <f>_xlfn.XLOOKUP($A79,Inputs!$A:$A,Inputs!G:G,,0)</f>
        <v>0</v>
      </c>
      <c r="H79" s="55">
        <f>_xlfn.XLOOKUP($A79,Inputs!$A:$A,Inputs!H:H,,0)</f>
        <v>0</v>
      </c>
      <c r="I79" s="55">
        <f>_xlfn.XLOOKUP($A79,Inputs!$A:$A,Inputs!I:I,,0)</f>
        <v>0</v>
      </c>
      <c r="J79" s="55">
        <f>_xlfn.XLOOKUP($A79,Inputs!$A:$A,Inputs!J:J,,0)</f>
        <v>0</v>
      </c>
      <c r="K79" s="55">
        <f>_xlfn.XLOOKUP($A79,Inputs!$A:$A,Inputs!K:K,,0)</f>
        <v>0</v>
      </c>
      <c r="L79" s="55">
        <f>_xlfn.XLOOKUP($A79,Inputs!$A:$A,Inputs!L:L,,0)</f>
        <v>0</v>
      </c>
      <c r="M79" s="55">
        <f>_xlfn.XLOOKUP($A79,Inputs!$A:$A,Inputs!M:M,,0)</f>
        <v>0</v>
      </c>
    </row>
    <row r="80" spans="1:235">
      <c r="A80" s="115" t="s">
        <v>657</v>
      </c>
      <c r="B80" s="55" t="e">
        <f>_xlfn.XLOOKUP($A80,Inputs!$A:$A,Inputs!B:B,,0)</f>
        <v>#N/A</v>
      </c>
      <c r="C80" s="55" t="e">
        <f>_xlfn.XLOOKUP($A80,Inputs!$A:$A,Inputs!C:C,,0)</f>
        <v>#N/A</v>
      </c>
      <c r="D80" s="55" t="e">
        <f>_xlfn.XLOOKUP($A80,Inputs!$A:$A,Inputs!D:D,,0)</f>
        <v>#N/A</v>
      </c>
      <c r="E80" s="55" t="e">
        <f>_xlfn.XLOOKUP($A80,Inputs!$A:$A,Inputs!E:E,,0)</f>
        <v>#N/A</v>
      </c>
      <c r="F80" s="55" t="e">
        <f>_xlfn.XLOOKUP($A80,Inputs!$A:$A,Inputs!F:F,,0)</f>
        <v>#N/A</v>
      </c>
      <c r="G80" s="55" t="e">
        <f>_xlfn.XLOOKUP($A80,Inputs!$A:$A,Inputs!G:G,,0)</f>
        <v>#N/A</v>
      </c>
      <c r="H80" s="55" t="e">
        <f>_xlfn.XLOOKUP($A80,Inputs!$A:$A,Inputs!H:H,,0)</f>
        <v>#N/A</v>
      </c>
      <c r="I80" s="55" t="e">
        <f>_xlfn.XLOOKUP($A80,Inputs!$A:$A,Inputs!I:I,,0)</f>
        <v>#N/A</v>
      </c>
      <c r="J80" s="55" t="e">
        <f>_xlfn.XLOOKUP($A80,Inputs!$A:$A,Inputs!J:J,,0)</f>
        <v>#N/A</v>
      </c>
      <c r="K80" s="55" t="e">
        <f>_xlfn.XLOOKUP($A80,Inputs!$A:$A,Inputs!K:K,,0)</f>
        <v>#N/A</v>
      </c>
      <c r="L80" s="55" t="e">
        <f>_xlfn.XLOOKUP($A80,Inputs!$A:$A,Inputs!L:L,,0)</f>
        <v>#N/A</v>
      </c>
      <c r="M80" s="55" t="e">
        <f>_xlfn.XLOOKUP($A80,Inputs!$A:$A,Inputs!M:M,,0)</f>
        <v>#N/A</v>
      </c>
    </row>
    <row r="81" spans="1:13">
      <c r="A81" s="121" t="s">
        <v>658</v>
      </c>
      <c r="B81" s="55">
        <f>_xlfn.XLOOKUP($A81,Inputs!$A:$A,Inputs!B:B,,0)</f>
        <v>1366817</v>
      </c>
      <c r="C81" s="55" t="str">
        <f>_xlfn.XLOOKUP($A81,Inputs!$A:$A,Inputs!C:C,,0)</f>
        <v>Yahoo Finance</v>
      </c>
      <c r="D81" s="55">
        <f>_xlfn.XLOOKUP($A81,Inputs!$A:$A,Inputs!D:D,,0)</f>
        <v>0</v>
      </c>
      <c r="E81" s="55">
        <f>_xlfn.XLOOKUP($A81,Inputs!$A:$A,Inputs!E:E,,0)</f>
        <v>0</v>
      </c>
      <c r="F81" s="55">
        <f>_xlfn.XLOOKUP($A81,Inputs!$A:$A,Inputs!F:F,,0)</f>
        <v>0</v>
      </c>
      <c r="G81" s="55">
        <f>_xlfn.XLOOKUP($A81,Inputs!$A:$A,Inputs!G:G,,0)</f>
        <v>0</v>
      </c>
      <c r="H81" s="55">
        <f>_xlfn.XLOOKUP($A81,Inputs!$A:$A,Inputs!H:H,,0)</f>
        <v>0</v>
      </c>
      <c r="I81" s="55">
        <f>_xlfn.XLOOKUP($A81,Inputs!$A:$A,Inputs!I:I,,0)</f>
        <v>0</v>
      </c>
      <c r="J81" s="55">
        <f>_xlfn.XLOOKUP($A81,Inputs!$A:$A,Inputs!J:J,,0)</f>
        <v>0</v>
      </c>
      <c r="K81" s="55">
        <f>_xlfn.XLOOKUP($A81,Inputs!$A:$A,Inputs!K:K,,0)</f>
        <v>0</v>
      </c>
      <c r="L81" s="55">
        <f>_xlfn.XLOOKUP($A81,Inputs!$A:$A,Inputs!L:L,,0)</f>
        <v>0</v>
      </c>
      <c r="M81" s="55">
        <f>_xlfn.XLOOKUP($A81,Inputs!$A:$A,Inputs!M:M,,0)</f>
        <v>0</v>
      </c>
    </row>
    <row r="82" spans="1:13">
      <c r="B82" s="46"/>
      <c r="C82" s="46"/>
      <c r="D82" s="46"/>
      <c r="E82" s="46"/>
      <c r="F82" s="46"/>
      <c r="G82" s="46"/>
      <c r="H82" s="46"/>
      <c r="I82" s="46"/>
      <c r="J82" s="46"/>
      <c r="K82" s="46"/>
      <c r="L82" s="46"/>
      <c r="M82" s="46"/>
    </row>
    <row r="83" spans="1:13">
      <c r="B83" s="45">
        <v>2020</v>
      </c>
      <c r="C83" s="45">
        <v>2021</v>
      </c>
      <c r="D83" s="45">
        <v>2022</v>
      </c>
      <c r="G83" s="45"/>
      <c r="H83" s="46"/>
      <c r="I83" s="46"/>
      <c r="J83" s="46"/>
      <c r="K83" s="46"/>
      <c r="L83" s="46"/>
      <c r="M83" s="46"/>
    </row>
    <row r="84" spans="1:13">
      <c r="A84" s="115" t="s">
        <v>659</v>
      </c>
      <c r="B84" s="59">
        <v>0</v>
      </c>
      <c r="C84" s="59">
        <v>0</v>
      </c>
      <c r="D84" s="60">
        <v>0</v>
      </c>
      <c r="G84" s="46"/>
      <c r="H84" s="46"/>
      <c r="I84" s="46"/>
      <c r="J84" s="46"/>
      <c r="K84" s="46"/>
      <c r="L84" s="46"/>
      <c r="M84" s="46"/>
    </row>
    <row r="85" spans="1:13">
      <c r="A85" s="121" t="s">
        <v>71</v>
      </c>
      <c r="B85" s="59">
        <v>0</v>
      </c>
      <c r="C85" s="59">
        <v>0</v>
      </c>
      <c r="D85" s="60">
        <v>0</v>
      </c>
    </row>
    <row r="87" spans="1:13">
      <c r="A87" s="13" t="s">
        <v>660</v>
      </c>
      <c r="B87" s="45" t="s">
        <v>661</v>
      </c>
      <c r="C87" s="45" t="s">
        <v>662</v>
      </c>
      <c r="D87" s="45" t="s">
        <v>663</v>
      </c>
      <c r="E87" s="45" t="s">
        <v>664</v>
      </c>
      <c r="G87" s="45"/>
    </row>
    <row r="88" spans="1:13">
      <c r="B88" s="62" t="e">
        <f>VLOOKUP($A88,Inputs!$A$5:$M$97,MATCH(B$4,Inputs!$B$5:$M$5,0)+1,FALSE)</f>
        <v>#N/A</v>
      </c>
      <c r="C88" s="62" t="e">
        <f>VLOOKUP($A88,Inputs!$A$5:$M$97,MATCH(C$4,Inputs!$B$5:$M$5,0)+1,FALSE)</f>
        <v>#N/A</v>
      </c>
      <c r="D88" s="62" t="e">
        <f>VLOOKUP($A88,Inputs!$A$5:$M$97,MATCH(D$4,Inputs!$B$5:$M$5,0)+1,FALSE)</f>
        <v>#N/A</v>
      </c>
      <c r="E88" s="62" t="e">
        <f>VLOOKUP($A88,Inputs!$A$5:$M$97,MATCH(E$4,Inputs!$B$5:$M$5,0)+1,FALSE)</f>
        <v>#N/A</v>
      </c>
    </row>
    <row r="89" spans="1:13">
      <c r="B89" s="63"/>
      <c r="C89" s="63"/>
      <c r="D89" s="2"/>
      <c r="E89" s="63"/>
      <c r="F89" s="2"/>
    </row>
    <row r="90" spans="1:13">
      <c r="B90" s="63"/>
      <c r="C90" s="63"/>
      <c r="D90" s="2"/>
      <c r="E90" s="63"/>
      <c r="F90" s="2"/>
    </row>
    <row r="91" spans="1:13">
      <c r="B91" s="63"/>
      <c r="C91" s="63"/>
      <c r="D91" s="2"/>
      <c r="E91" s="63"/>
      <c r="F91" s="2"/>
    </row>
    <row r="92" spans="1:13">
      <c r="B92" s="63"/>
      <c r="C92" s="63"/>
      <c r="D92" s="2"/>
      <c r="E92" s="63"/>
      <c r="F92" s="2"/>
    </row>
    <row r="93" spans="1:13">
      <c r="B93" s="63"/>
      <c r="C93" s="63"/>
      <c r="D93" s="2"/>
      <c r="E93" s="63"/>
      <c r="F93" s="2"/>
    </row>
    <row r="94" spans="1:13">
      <c r="B94" s="63"/>
      <c r="C94" s="63"/>
      <c r="D94" s="2"/>
      <c r="E94" s="63"/>
      <c r="F94" s="2"/>
    </row>
    <row r="95" spans="1:13">
      <c r="B95" s="63"/>
      <c r="C95" s="63"/>
      <c r="D95" s="2"/>
      <c r="E95" s="63"/>
      <c r="F95" s="2"/>
    </row>
    <row r="96" spans="1:13">
      <c r="B96" s="63"/>
      <c r="C96" s="63"/>
      <c r="D96" s="2"/>
      <c r="E96" s="63"/>
      <c r="F96" s="2"/>
    </row>
  </sheetData>
  <mergeCells count="7">
    <mergeCell ref="A74:M74"/>
    <mergeCell ref="A1:M1"/>
    <mergeCell ref="A2:M2"/>
    <mergeCell ref="A3:M3"/>
    <mergeCell ref="A35:M35"/>
    <mergeCell ref="A44:M44"/>
    <mergeCell ref="A63:M63"/>
  </mergeCells>
  <phoneticPr fontId="82" type="noConversion"/>
  <pageMargins left="0.7" right="0.7" top="0.75" bottom="0.75"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heetViews>
  <sheetFormatPr defaultColWidth="8.85546875" defaultRowHeight="12.75"/>
  <cols>
    <col min="1" max="9" width="0" hidden="1" customWidth="1"/>
    <col min="11" max="11" width="21.85546875" bestFit="1" customWidth="1"/>
  </cols>
  <sheetData>
    <row r="2" spans="2:27">
      <c r="E2" s="10" t="s">
        <v>665</v>
      </c>
      <c r="F2" s="10" t="s">
        <v>666</v>
      </c>
      <c r="H2" s="10" t="s">
        <v>414</v>
      </c>
      <c r="K2" s="1232" t="s">
        <v>665</v>
      </c>
      <c r="L2" s="1234" t="s">
        <v>667</v>
      </c>
      <c r="M2" s="1235"/>
      <c r="N2" s="1235"/>
      <c r="O2" s="1235"/>
      <c r="P2" s="1236"/>
      <c r="Q2" s="1235" t="s">
        <v>350</v>
      </c>
      <c r="R2" s="1235"/>
      <c r="S2" s="1235"/>
      <c r="T2" s="1235"/>
      <c r="U2" s="1235"/>
      <c r="V2" s="1235"/>
      <c r="W2" s="1235"/>
      <c r="X2" s="1235"/>
      <c r="Y2" s="1235"/>
      <c r="Z2" s="1235"/>
      <c r="AA2" s="1236"/>
    </row>
    <row r="3" spans="2:27">
      <c r="E3" t="s">
        <v>668</v>
      </c>
      <c r="F3" t="s">
        <v>669</v>
      </c>
      <c r="H3" s="10" t="s">
        <v>418</v>
      </c>
      <c r="K3" s="1233"/>
      <c r="L3" s="71" t="s">
        <v>670</v>
      </c>
      <c r="M3" s="88" t="s">
        <v>671</v>
      </c>
      <c r="N3" s="88" t="s">
        <v>672</v>
      </c>
      <c r="O3" s="88" t="s">
        <v>673</v>
      </c>
      <c r="P3" s="89" t="s">
        <v>674</v>
      </c>
      <c r="Q3" s="88" t="s">
        <v>675</v>
      </c>
      <c r="R3" s="88" t="s">
        <v>676</v>
      </c>
      <c r="S3" s="88" t="s">
        <v>359</v>
      </c>
      <c r="T3" s="88" t="s">
        <v>677</v>
      </c>
      <c r="U3" s="88" t="s">
        <v>678</v>
      </c>
      <c r="V3" s="88" t="s">
        <v>679</v>
      </c>
      <c r="W3" s="88" t="s">
        <v>680</v>
      </c>
      <c r="X3" s="88" t="s">
        <v>681</v>
      </c>
      <c r="Y3" s="88" t="s">
        <v>682</v>
      </c>
      <c r="Z3" s="88" t="s">
        <v>683</v>
      </c>
      <c r="AA3" s="89" t="s">
        <v>403</v>
      </c>
    </row>
    <row r="4" spans="2:27">
      <c r="B4" s="72"/>
      <c r="E4" t="s">
        <v>668</v>
      </c>
      <c r="F4" t="s">
        <v>684</v>
      </c>
      <c r="H4" s="10" t="s">
        <v>421</v>
      </c>
      <c r="K4" s="90" t="s">
        <v>668</v>
      </c>
      <c r="L4" s="91" t="s">
        <v>414</v>
      </c>
      <c r="M4" t="s">
        <v>414</v>
      </c>
      <c r="N4" t="s">
        <v>418</v>
      </c>
      <c r="O4" t="s">
        <v>414</v>
      </c>
      <c r="P4" s="92" t="s">
        <v>414</v>
      </c>
      <c r="Q4" t="s">
        <v>418</v>
      </c>
      <c r="R4" t="s">
        <v>418</v>
      </c>
      <c r="S4" t="s">
        <v>414</v>
      </c>
      <c r="T4" t="s">
        <v>414</v>
      </c>
      <c r="U4" t="s">
        <v>421</v>
      </c>
      <c r="V4" t="s">
        <v>414</v>
      </c>
      <c r="W4" t="s">
        <v>414</v>
      </c>
      <c r="X4" t="s">
        <v>414</v>
      </c>
      <c r="Y4" t="s">
        <v>414</v>
      </c>
      <c r="Z4" t="s">
        <v>414</v>
      </c>
      <c r="AA4" s="92" t="s">
        <v>418</v>
      </c>
    </row>
    <row r="5" spans="2:27" ht="15">
      <c r="B5" s="84" t="s">
        <v>329</v>
      </c>
      <c r="E5" t="s">
        <v>668</v>
      </c>
      <c r="F5" t="s">
        <v>685</v>
      </c>
      <c r="H5" s="10" t="s">
        <v>686</v>
      </c>
      <c r="K5" s="90" t="s">
        <v>687</v>
      </c>
      <c r="L5" s="91" t="s">
        <v>414</v>
      </c>
      <c r="M5" t="s">
        <v>414</v>
      </c>
      <c r="N5" t="s">
        <v>418</v>
      </c>
      <c r="O5" t="s">
        <v>418</v>
      </c>
      <c r="P5" s="92" t="s">
        <v>414</v>
      </c>
      <c r="Q5" t="s">
        <v>418</v>
      </c>
      <c r="R5" t="s">
        <v>418</v>
      </c>
      <c r="S5" t="s">
        <v>414</v>
      </c>
      <c r="T5" t="s">
        <v>414</v>
      </c>
      <c r="U5" t="s">
        <v>418</v>
      </c>
      <c r="V5" t="s">
        <v>418</v>
      </c>
      <c r="W5" t="s">
        <v>418</v>
      </c>
      <c r="X5" t="s">
        <v>421</v>
      </c>
      <c r="Y5" t="s">
        <v>414</v>
      </c>
      <c r="Z5" t="s">
        <v>421</v>
      </c>
      <c r="AA5" s="92" t="s">
        <v>414</v>
      </c>
    </row>
    <row r="6" spans="2:27">
      <c r="B6" s="86" t="s">
        <v>688</v>
      </c>
      <c r="E6" t="s">
        <v>668</v>
      </c>
      <c r="F6" t="s">
        <v>689</v>
      </c>
      <c r="K6" s="90" t="s">
        <v>690</v>
      </c>
      <c r="L6" s="91" t="s">
        <v>421</v>
      </c>
      <c r="M6" t="s">
        <v>686</v>
      </c>
      <c r="N6" t="s">
        <v>421</v>
      </c>
      <c r="O6" t="s">
        <v>421</v>
      </c>
      <c r="P6" s="92" t="s">
        <v>421</v>
      </c>
      <c r="Q6" t="s">
        <v>418</v>
      </c>
      <c r="R6" t="s">
        <v>421</v>
      </c>
      <c r="S6" t="s">
        <v>421</v>
      </c>
      <c r="T6" t="s">
        <v>414</v>
      </c>
      <c r="U6" t="s">
        <v>418</v>
      </c>
      <c r="V6" t="s">
        <v>418</v>
      </c>
      <c r="W6" t="s">
        <v>414</v>
      </c>
      <c r="X6" t="s">
        <v>421</v>
      </c>
      <c r="Y6" t="s">
        <v>414</v>
      </c>
      <c r="Z6" t="s">
        <v>686</v>
      </c>
      <c r="AA6" s="92" t="s">
        <v>414</v>
      </c>
    </row>
    <row r="7" spans="2:27">
      <c r="B7" s="86" t="s">
        <v>691</v>
      </c>
      <c r="E7" t="s">
        <v>668</v>
      </c>
      <c r="F7" t="s">
        <v>692</v>
      </c>
      <c r="K7" s="90" t="s">
        <v>672</v>
      </c>
      <c r="L7" s="91" t="s">
        <v>686</v>
      </c>
      <c r="M7" t="s">
        <v>686</v>
      </c>
      <c r="N7" t="s">
        <v>418</v>
      </c>
      <c r="O7" t="s">
        <v>686</v>
      </c>
      <c r="P7" s="92" t="s">
        <v>421</v>
      </c>
      <c r="Q7" t="s">
        <v>421</v>
      </c>
      <c r="R7" t="s">
        <v>418</v>
      </c>
      <c r="S7" t="s">
        <v>418</v>
      </c>
      <c r="T7" t="s">
        <v>418</v>
      </c>
      <c r="U7" t="s">
        <v>418</v>
      </c>
      <c r="V7" t="s">
        <v>421</v>
      </c>
      <c r="W7" t="s">
        <v>418</v>
      </c>
      <c r="X7" t="s">
        <v>418</v>
      </c>
      <c r="Y7" t="s">
        <v>421</v>
      </c>
      <c r="Z7" t="s">
        <v>421</v>
      </c>
      <c r="AA7" s="92" t="s">
        <v>414</v>
      </c>
    </row>
    <row r="8" spans="2:27">
      <c r="B8" s="86"/>
      <c r="K8" s="90" t="s">
        <v>693</v>
      </c>
      <c r="L8" s="91" t="s">
        <v>414</v>
      </c>
      <c r="M8" t="s">
        <v>414</v>
      </c>
      <c r="N8" t="s">
        <v>414</v>
      </c>
      <c r="O8" t="s">
        <v>418</v>
      </c>
      <c r="P8" s="92" t="s">
        <v>418</v>
      </c>
      <c r="Q8" t="s">
        <v>414</v>
      </c>
      <c r="R8" t="s">
        <v>418</v>
      </c>
      <c r="S8" t="s">
        <v>418</v>
      </c>
      <c r="T8" t="s">
        <v>421</v>
      </c>
      <c r="U8" t="s">
        <v>418</v>
      </c>
      <c r="V8" t="s">
        <v>414</v>
      </c>
      <c r="W8" t="s">
        <v>414</v>
      </c>
      <c r="X8" t="s">
        <v>418</v>
      </c>
      <c r="Y8" t="s">
        <v>418</v>
      </c>
      <c r="Z8" t="s">
        <v>421</v>
      </c>
      <c r="AA8" s="92" t="s">
        <v>414</v>
      </c>
    </row>
    <row r="9" spans="2:27">
      <c r="B9" s="86" t="s">
        <v>339</v>
      </c>
      <c r="E9" t="s">
        <v>668</v>
      </c>
      <c r="F9" t="s">
        <v>694</v>
      </c>
      <c r="K9" s="90" t="s">
        <v>695</v>
      </c>
      <c r="L9" s="91" t="s">
        <v>414</v>
      </c>
      <c r="M9" t="s">
        <v>414</v>
      </c>
      <c r="N9" t="s">
        <v>414</v>
      </c>
      <c r="O9" t="s">
        <v>414</v>
      </c>
      <c r="P9" s="92" t="s">
        <v>414</v>
      </c>
      <c r="Q9" t="s">
        <v>414</v>
      </c>
      <c r="R9" t="s">
        <v>414</v>
      </c>
      <c r="S9" t="s">
        <v>418</v>
      </c>
      <c r="T9" t="s">
        <v>421</v>
      </c>
      <c r="U9" t="s">
        <v>418</v>
      </c>
      <c r="V9" t="s">
        <v>414</v>
      </c>
      <c r="W9" t="s">
        <v>414</v>
      </c>
      <c r="X9" t="s">
        <v>414</v>
      </c>
      <c r="Y9" t="s">
        <v>414</v>
      </c>
      <c r="Z9" t="s">
        <v>418</v>
      </c>
      <c r="AA9" s="92" t="s">
        <v>414</v>
      </c>
    </row>
    <row r="10" spans="2:27">
      <c r="B10" s="86"/>
      <c r="K10" s="90" t="s">
        <v>696</v>
      </c>
      <c r="L10" s="91" t="s">
        <v>414</v>
      </c>
      <c r="M10" t="s">
        <v>418</v>
      </c>
      <c r="N10" t="s">
        <v>414</v>
      </c>
      <c r="O10" t="s">
        <v>418</v>
      </c>
      <c r="P10" s="92" t="s">
        <v>421</v>
      </c>
      <c r="Q10" t="s">
        <v>414</v>
      </c>
      <c r="R10" t="s">
        <v>414</v>
      </c>
      <c r="S10" t="s">
        <v>414</v>
      </c>
      <c r="T10" t="s">
        <v>414</v>
      </c>
      <c r="U10" t="s">
        <v>414</v>
      </c>
      <c r="V10" t="s">
        <v>414</v>
      </c>
      <c r="W10" t="s">
        <v>414</v>
      </c>
      <c r="X10" t="s">
        <v>414</v>
      </c>
      <c r="Y10" t="s">
        <v>418</v>
      </c>
      <c r="Z10" t="s">
        <v>414</v>
      </c>
      <c r="AA10" s="92" t="s">
        <v>414</v>
      </c>
    </row>
    <row r="11" spans="2:27">
      <c r="B11" s="86" t="s">
        <v>343</v>
      </c>
      <c r="E11" t="s">
        <v>668</v>
      </c>
      <c r="F11" t="s">
        <v>697</v>
      </c>
      <c r="K11" s="90" t="s">
        <v>698</v>
      </c>
      <c r="L11" s="91" t="s">
        <v>414</v>
      </c>
      <c r="M11" t="s">
        <v>418</v>
      </c>
      <c r="N11" t="s">
        <v>414</v>
      </c>
      <c r="O11" t="s">
        <v>414</v>
      </c>
      <c r="P11" s="92" t="s">
        <v>414</v>
      </c>
      <c r="Q11" t="s">
        <v>414</v>
      </c>
      <c r="R11" t="s">
        <v>414</v>
      </c>
      <c r="S11" t="s">
        <v>418</v>
      </c>
      <c r="T11" t="s">
        <v>414</v>
      </c>
      <c r="U11" t="s">
        <v>421</v>
      </c>
      <c r="V11" t="s">
        <v>414</v>
      </c>
      <c r="W11" t="s">
        <v>414</v>
      </c>
      <c r="X11" t="s">
        <v>414</v>
      </c>
      <c r="Y11" t="s">
        <v>414</v>
      </c>
      <c r="Z11" t="s">
        <v>414</v>
      </c>
      <c r="AA11" s="92" t="s">
        <v>414</v>
      </c>
    </row>
    <row r="12" spans="2:27">
      <c r="B12" s="85" t="s">
        <v>699</v>
      </c>
      <c r="E12" t="s">
        <v>668</v>
      </c>
      <c r="F12" t="s">
        <v>700</v>
      </c>
      <c r="K12" s="90" t="s">
        <v>315</v>
      </c>
      <c r="L12" s="91" t="s">
        <v>686</v>
      </c>
      <c r="M12" t="s">
        <v>686</v>
      </c>
      <c r="N12" t="s">
        <v>686</v>
      </c>
      <c r="O12" t="s">
        <v>421</v>
      </c>
      <c r="P12" s="92" t="s">
        <v>421</v>
      </c>
      <c r="Q12" t="s">
        <v>414</v>
      </c>
      <c r="R12" t="s">
        <v>418</v>
      </c>
      <c r="S12" t="s">
        <v>421</v>
      </c>
      <c r="T12" t="s">
        <v>686</v>
      </c>
      <c r="U12" t="s">
        <v>418</v>
      </c>
      <c r="V12" t="s">
        <v>686</v>
      </c>
      <c r="W12" t="s">
        <v>418</v>
      </c>
      <c r="X12" t="s">
        <v>686</v>
      </c>
      <c r="Y12" t="s">
        <v>686</v>
      </c>
      <c r="Z12" t="s">
        <v>686</v>
      </c>
      <c r="AA12" s="92" t="s">
        <v>421</v>
      </c>
    </row>
    <row r="13" spans="2:27" ht="15">
      <c r="B13" s="84" t="s">
        <v>350</v>
      </c>
      <c r="E13" t="s">
        <v>668</v>
      </c>
      <c r="F13" t="s">
        <v>701</v>
      </c>
      <c r="K13" s="90" t="s">
        <v>702</v>
      </c>
      <c r="L13" s="91" t="s">
        <v>418</v>
      </c>
      <c r="M13" t="s">
        <v>414</v>
      </c>
      <c r="N13" t="s">
        <v>421</v>
      </c>
      <c r="O13" t="s">
        <v>414</v>
      </c>
      <c r="P13" s="92" t="s">
        <v>414</v>
      </c>
      <c r="Q13" t="s">
        <v>414</v>
      </c>
      <c r="R13" t="s">
        <v>414</v>
      </c>
      <c r="S13" t="s">
        <v>414</v>
      </c>
      <c r="T13" t="s">
        <v>414</v>
      </c>
      <c r="U13" t="s">
        <v>421</v>
      </c>
      <c r="V13" t="s">
        <v>414</v>
      </c>
      <c r="W13" t="s">
        <v>414</v>
      </c>
      <c r="X13" t="s">
        <v>414</v>
      </c>
      <c r="Y13" t="s">
        <v>414</v>
      </c>
      <c r="Z13" t="s">
        <v>418</v>
      </c>
      <c r="AA13" s="92" t="s">
        <v>686</v>
      </c>
    </row>
    <row r="14" spans="2:27">
      <c r="B14" s="76" t="s">
        <v>703</v>
      </c>
      <c r="E14" t="s">
        <v>668</v>
      </c>
      <c r="F14" t="s">
        <v>704</v>
      </c>
      <c r="K14" s="90" t="s">
        <v>705</v>
      </c>
      <c r="L14" s="91" t="s">
        <v>686</v>
      </c>
      <c r="M14" t="s">
        <v>686</v>
      </c>
      <c r="N14" t="s">
        <v>686</v>
      </c>
      <c r="O14" t="s">
        <v>686</v>
      </c>
      <c r="P14" s="92" t="s">
        <v>421</v>
      </c>
      <c r="Q14" t="s">
        <v>421</v>
      </c>
      <c r="R14" t="s">
        <v>421</v>
      </c>
      <c r="S14" t="s">
        <v>418</v>
      </c>
      <c r="T14" t="s">
        <v>421</v>
      </c>
      <c r="U14" t="s">
        <v>414</v>
      </c>
      <c r="V14" t="s">
        <v>686</v>
      </c>
      <c r="W14" t="s">
        <v>418</v>
      </c>
      <c r="X14" t="s">
        <v>418</v>
      </c>
      <c r="Y14" t="s">
        <v>686</v>
      </c>
      <c r="Z14" t="s">
        <v>421</v>
      </c>
      <c r="AA14" s="92" t="s">
        <v>418</v>
      </c>
    </row>
    <row r="15" spans="2:27">
      <c r="B15" s="76" t="s">
        <v>706</v>
      </c>
      <c r="E15" t="s">
        <v>687</v>
      </c>
      <c r="F15" t="s">
        <v>707</v>
      </c>
      <c r="K15" s="90" t="s">
        <v>708</v>
      </c>
      <c r="L15" s="91" t="s">
        <v>414</v>
      </c>
      <c r="M15" t="s">
        <v>414</v>
      </c>
      <c r="N15" t="s">
        <v>418</v>
      </c>
      <c r="O15" t="s">
        <v>414</v>
      </c>
      <c r="P15" s="92" t="s">
        <v>414</v>
      </c>
      <c r="Q15" t="s">
        <v>418</v>
      </c>
      <c r="R15" t="s">
        <v>414</v>
      </c>
      <c r="S15" t="s">
        <v>414</v>
      </c>
      <c r="T15" t="s">
        <v>414</v>
      </c>
      <c r="U15" t="s">
        <v>421</v>
      </c>
      <c r="V15" t="s">
        <v>414</v>
      </c>
      <c r="W15" t="s">
        <v>418</v>
      </c>
      <c r="X15" t="s">
        <v>414</v>
      </c>
      <c r="Y15" t="s">
        <v>418</v>
      </c>
      <c r="Z15" t="s">
        <v>414</v>
      </c>
      <c r="AA15" s="92" t="s">
        <v>414</v>
      </c>
    </row>
    <row r="16" spans="2:27">
      <c r="B16" s="79" t="s">
        <v>709</v>
      </c>
      <c r="E16" t="s">
        <v>687</v>
      </c>
      <c r="F16" t="s">
        <v>710</v>
      </c>
      <c r="K16" s="93" t="s">
        <v>711</v>
      </c>
      <c r="L16" s="94" t="s">
        <v>686</v>
      </c>
      <c r="M16" s="95" t="s">
        <v>421</v>
      </c>
      <c r="N16" s="95" t="s">
        <v>421</v>
      </c>
      <c r="O16" s="95" t="s">
        <v>418</v>
      </c>
      <c r="P16" s="96" t="s">
        <v>421</v>
      </c>
      <c r="Q16" s="95" t="s">
        <v>414</v>
      </c>
      <c r="R16" s="95" t="s">
        <v>418</v>
      </c>
      <c r="S16" s="95" t="s">
        <v>418</v>
      </c>
      <c r="T16" s="95" t="s">
        <v>414</v>
      </c>
      <c r="U16" s="95" t="s">
        <v>418</v>
      </c>
      <c r="V16" s="95" t="s">
        <v>418</v>
      </c>
      <c r="W16" s="95" t="s">
        <v>418</v>
      </c>
      <c r="X16" s="95" t="s">
        <v>418</v>
      </c>
      <c r="Y16" s="95" t="s">
        <v>414</v>
      </c>
      <c r="Z16" s="95" t="s">
        <v>418</v>
      </c>
      <c r="AA16" s="96" t="s">
        <v>414</v>
      </c>
    </row>
    <row r="17" spans="2:22">
      <c r="B17" s="79" t="s">
        <v>712</v>
      </c>
      <c r="E17" t="s">
        <v>687</v>
      </c>
      <c r="F17" t="s">
        <v>713</v>
      </c>
    </row>
    <row r="18" spans="2:22" hidden="1">
      <c r="B18" s="76" t="s">
        <v>714</v>
      </c>
      <c r="E18" t="s">
        <v>687</v>
      </c>
      <c r="F18" t="s">
        <v>715</v>
      </c>
    </row>
    <row r="19" spans="2:22" hidden="1">
      <c r="B19" s="76" t="s">
        <v>716</v>
      </c>
      <c r="E19" t="s">
        <v>687</v>
      </c>
      <c r="F19" t="s">
        <v>717</v>
      </c>
      <c r="L19" s="97" t="s">
        <v>668</v>
      </c>
      <c r="M19" s="98" t="s">
        <v>687</v>
      </c>
      <c r="N19" s="98" t="s">
        <v>690</v>
      </c>
      <c r="O19" s="98" t="s">
        <v>672</v>
      </c>
      <c r="P19" s="98" t="s">
        <v>695</v>
      </c>
      <c r="Q19" s="98" t="s">
        <v>698</v>
      </c>
      <c r="R19" s="98" t="s">
        <v>315</v>
      </c>
      <c r="S19" s="98" t="s">
        <v>702</v>
      </c>
      <c r="T19" s="98" t="s">
        <v>705</v>
      </c>
      <c r="U19" s="98" t="s">
        <v>708</v>
      </c>
      <c r="V19" s="99" t="s">
        <v>711</v>
      </c>
    </row>
    <row r="20" spans="2:22" hidden="1">
      <c r="B20" s="76" t="s">
        <v>378</v>
      </c>
      <c r="E20" t="s">
        <v>687</v>
      </c>
      <c r="F20" t="s">
        <v>718</v>
      </c>
      <c r="L20" s="91" t="s">
        <v>669</v>
      </c>
      <c r="M20" t="s">
        <v>707</v>
      </c>
      <c r="N20" t="s">
        <v>719</v>
      </c>
      <c r="O20" t="s">
        <v>720</v>
      </c>
      <c r="P20" t="s">
        <v>721</v>
      </c>
      <c r="Q20" t="s">
        <v>722</v>
      </c>
      <c r="R20" t="s">
        <v>723</v>
      </c>
      <c r="S20" t="s">
        <v>724</v>
      </c>
      <c r="T20" t="s">
        <v>725</v>
      </c>
      <c r="U20" t="s">
        <v>726</v>
      </c>
      <c r="V20" s="92" t="s">
        <v>727</v>
      </c>
    </row>
    <row r="21" spans="2:22" hidden="1">
      <c r="B21" s="76" t="s">
        <v>388</v>
      </c>
      <c r="E21" t="s">
        <v>687</v>
      </c>
      <c r="F21" t="s">
        <v>728</v>
      </c>
      <c r="L21" s="91" t="s">
        <v>684</v>
      </c>
      <c r="M21" t="s">
        <v>710</v>
      </c>
      <c r="N21" t="s">
        <v>729</v>
      </c>
      <c r="O21" t="s">
        <v>730</v>
      </c>
      <c r="P21" t="s">
        <v>731</v>
      </c>
      <c r="Q21" t="s">
        <v>732</v>
      </c>
      <c r="R21" t="s">
        <v>733</v>
      </c>
      <c r="S21" t="s">
        <v>734</v>
      </c>
      <c r="T21" t="s">
        <v>735</v>
      </c>
      <c r="U21" t="s">
        <v>736</v>
      </c>
      <c r="V21" s="92" t="s">
        <v>737</v>
      </c>
    </row>
    <row r="22" spans="2:22" hidden="1">
      <c r="B22" s="76" t="s">
        <v>394</v>
      </c>
      <c r="E22" t="s">
        <v>687</v>
      </c>
      <c r="F22" t="s">
        <v>204</v>
      </c>
      <c r="L22" s="91" t="s">
        <v>685</v>
      </c>
      <c r="M22" t="s">
        <v>713</v>
      </c>
      <c r="N22" t="s">
        <v>738</v>
      </c>
      <c r="O22" t="s">
        <v>739</v>
      </c>
      <c r="P22" t="s">
        <v>740</v>
      </c>
      <c r="Q22" t="s">
        <v>741</v>
      </c>
      <c r="R22" t="s">
        <v>742</v>
      </c>
      <c r="S22" t="s">
        <v>743</v>
      </c>
      <c r="T22" t="s">
        <v>744</v>
      </c>
      <c r="U22" t="s">
        <v>745</v>
      </c>
      <c r="V22" s="92" t="s">
        <v>746</v>
      </c>
    </row>
    <row r="23" spans="2:22" hidden="1">
      <c r="B23" s="76" t="s">
        <v>401</v>
      </c>
      <c r="E23" t="s">
        <v>687</v>
      </c>
      <c r="F23" t="s">
        <v>747</v>
      </c>
      <c r="L23" s="91" t="s">
        <v>689</v>
      </c>
      <c r="M23" t="s">
        <v>715</v>
      </c>
      <c r="N23" t="s">
        <v>748</v>
      </c>
      <c r="O23" t="s">
        <v>749</v>
      </c>
      <c r="P23" t="s">
        <v>750</v>
      </c>
      <c r="Q23" t="s">
        <v>751</v>
      </c>
      <c r="R23" t="s">
        <v>752</v>
      </c>
      <c r="S23" t="s">
        <v>753</v>
      </c>
      <c r="T23" t="s">
        <v>754</v>
      </c>
      <c r="U23" t="s">
        <v>755</v>
      </c>
      <c r="V23" s="92" t="s">
        <v>756</v>
      </c>
    </row>
    <row r="24" spans="2:22" hidden="1">
      <c r="B24" s="78" t="s">
        <v>403</v>
      </c>
      <c r="E24" t="s">
        <v>687</v>
      </c>
      <c r="F24" t="s">
        <v>757</v>
      </c>
      <c r="L24" s="91" t="s">
        <v>692</v>
      </c>
      <c r="M24" t="s">
        <v>717</v>
      </c>
      <c r="N24" t="s">
        <v>758</v>
      </c>
      <c r="O24" t="s">
        <v>759</v>
      </c>
      <c r="P24" t="s">
        <v>760</v>
      </c>
      <c r="Q24" t="s">
        <v>761</v>
      </c>
      <c r="R24" t="s">
        <v>762</v>
      </c>
      <c r="S24" t="s">
        <v>763</v>
      </c>
      <c r="T24" t="s">
        <v>764</v>
      </c>
      <c r="U24" t="s">
        <v>765</v>
      </c>
      <c r="V24" s="92" t="s">
        <v>766</v>
      </c>
    </row>
    <row r="25" spans="2:22" hidden="1">
      <c r="E25" t="s">
        <v>687</v>
      </c>
      <c r="F25" t="s">
        <v>767</v>
      </c>
      <c r="L25" s="91" t="s">
        <v>694</v>
      </c>
      <c r="M25" t="s">
        <v>718</v>
      </c>
      <c r="N25" t="s">
        <v>768</v>
      </c>
      <c r="P25" t="s">
        <v>769</v>
      </c>
      <c r="Q25" t="s">
        <v>770</v>
      </c>
      <c r="R25" t="s">
        <v>771</v>
      </c>
      <c r="S25" t="s">
        <v>772</v>
      </c>
      <c r="T25" t="s">
        <v>773</v>
      </c>
      <c r="U25" t="s">
        <v>774</v>
      </c>
      <c r="V25" s="92"/>
    </row>
    <row r="26" spans="2:22" hidden="1">
      <c r="E26" t="s">
        <v>687</v>
      </c>
      <c r="F26" t="s">
        <v>775</v>
      </c>
      <c r="L26" s="91" t="s">
        <v>697</v>
      </c>
      <c r="M26" t="s">
        <v>728</v>
      </c>
      <c r="N26" t="s">
        <v>776</v>
      </c>
      <c r="P26" t="s">
        <v>777</v>
      </c>
      <c r="Q26" t="s">
        <v>778</v>
      </c>
      <c r="R26" t="s">
        <v>779</v>
      </c>
      <c r="S26" t="s">
        <v>780</v>
      </c>
      <c r="T26" t="s">
        <v>781</v>
      </c>
      <c r="U26" t="s">
        <v>782</v>
      </c>
      <c r="V26" s="92"/>
    </row>
    <row r="27" spans="2:22" hidden="1">
      <c r="E27" t="s">
        <v>687</v>
      </c>
      <c r="F27" t="s">
        <v>783</v>
      </c>
      <c r="L27" s="91" t="s">
        <v>700</v>
      </c>
      <c r="M27" t="s">
        <v>204</v>
      </c>
      <c r="N27" t="s">
        <v>784</v>
      </c>
      <c r="P27" t="s">
        <v>785</v>
      </c>
      <c r="Q27" t="s">
        <v>786</v>
      </c>
      <c r="R27" t="s">
        <v>787</v>
      </c>
      <c r="S27" t="s">
        <v>788</v>
      </c>
      <c r="T27" t="s">
        <v>789</v>
      </c>
      <c r="U27" t="s">
        <v>790</v>
      </c>
      <c r="V27" s="92"/>
    </row>
    <row r="28" spans="2:22" hidden="1">
      <c r="E28" t="s">
        <v>687</v>
      </c>
      <c r="F28" t="s">
        <v>791</v>
      </c>
      <c r="L28" s="91" t="s">
        <v>701</v>
      </c>
      <c r="M28" t="s">
        <v>747</v>
      </c>
      <c r="N28" t="s">
        <v>792</v>
      </c>
      <c r="P28" t="s">
        <v>793</v>
      </c>
      <c r="Q28" t="s">
        <v>794</v>
      </c>
      <c r="R28" t="s">
        <v>795</v>
      </c>
      <c r="S28" t="s">
        <v>796</v>
      </c>
      <c r="T28" t="s">
        <v>797</v>
      </c>
      <c r="V28" s="92"/>
    </row>
    <row r="29" spans="2:22" hidden="1">
      <c r="E29" t="s">
        <v>687</v>
      </c>
      <c r="F29" t="s">
        <v>798</v>
      </c>
      <c r="L29" s="94" t="s">
        <v>704</v>
      </c>
      <c r="M29" s="95" t="s">
        <v>757</v>
      </c>
      <c r="N29" s="95" t="s">
        <v>799</v>
      </c>
      <c r="O29" s="95"/>
      <c r="P29" s="95" t="s">
        <v>800</v>
      </c>
      <c r="Q29" s="95" t="s">
        <v>801</v>
      </c>
      <c r="R29" s="95" t="s">
        <v>802</v>
      </c>
      <c r="S29" s="95" t="s">
        <v>803</v>
      </c>
      <c r="T29" s="95" t="s">
        <v>804</v>
      </c>
      <c r="U29" s="95"/>
      <c r="V29" s="96"/>
    </row>
    <row r="30" spans="2:22" hidden="1">
      <c r="E30" t="s">
        <v>687</v>
      </c>
      <c r="F30" t="s">
        <v>805</v>
      </c>
      <c r="M30" t="s">
        <v>767</v>
      </c>
      <c r="N30" t="s">
        <v>806</v>
      </c>
      <c r="P30" t="s">
        <v>807</v>
      </c>
      <c r="R30" t="s">
        <v>808</v>
      </c>
      <c r="S30" t="s">
        <v>809</v>
      </c>
      <c r="T30" t="s">
        <v>810</v>
      </c>
    </row>
    <row r="31" spans="2:22" hidden="1">
      <c r="E31" t="s">
        <v>687</v>
      </c>
      <c r="F31" t="s">
        <v>811</v>
      </c>
      <c r="M31" t="s">
        <v>775</v>
      </c>
      <c r="N31" t="s">
        <v>812</v>
      </c>
      <c r="P31" t="s">
        <v>813</v>
      </c>
      <c r="R31" t="s">
        <v>814</v>
      </c>
      <c r="S31" t="s">
        <v>815</v>
      </c>
    </row>
    <row r="32" spans="2:22" hidden="1">
      <c r="E32" t="s">
        <v>687</v>
      </c>
      <c r="F32" t="s">
        <v>816</v>
      </c>
      <c r="M32" t="s">
        <v>783</v>
      </c>
      <c r="P32" t="s">
        <v>817</v>
      </c>
      <c r="R32" t="s">
        <v>818</v>
      </c>
      <c r="S32" t="s">
        <v>819</v>
      </c>
    </row>
    <row r="33" spans="5:18" hidden="1">
      <c r="E33" t="s">
        <v>687</v>
      </c>
      <c r="F33" t="s">
        <v>820</v>
      </c>
      <c r="M33" t="s">
        <v>791</v>
      </c>
      <c r="R33" t="s">
        <v>821</v>
      </c>
    </row>
    <row r="34" spans="5:18" hidden="1">
      <c r="E34" t="s">
        <v>687</v>
      </c>
      <c r="F34" t="s">
        <v>822</v>
      </c>
      <c r="M34" t="s">
        <v>798</v>
      </c>
      <c r="R34" t="s">
        <v>823</v>
      </c>
    </row>
    <row r="35" spans="5:18" hidden="1">
      <c r="E35" t="s">
        <v>690</v>
      </c>
      <c r="F35" t="s">
        <v>719</v>
      </c>
      <c r="M35" t="s">
        <v>805</v>
      </c>
      <c r="R35" t="s">
        <v>824</v>
      </c>
    </row>
    <row r="36" spans="5:18" hidden="1">
      <c r="E36" t="s">
        <v>690</v>
      </c>
      <c r="F36" t="s">
        <v>729</v>
      </c>
      <c r="M36" t="s">
        <v>811</v>
      </c>
      <c r="R36" t="s">
        <v>825</v>
      </c>
    </row>
    <row r="37" spans="5:18" hidden="1">
      <c r="E37" t="s">
        <v>690</v>
      </c>
      <c r="F37" t="s">
        <v>738</v>
      </c>
      <c r="M37" t="s">
        <v>816</v>
      </c>
    </row>
    <row r="38" spans="5:18" hidden="1">
      <c r="E38" t="s">
        <v>690</v>
      </c>
      <c r="F38" t="s">
        <v>748</v>
      </c>
      <c r="M38" t="s">
        <v>820</v>
      </c>
    </row>
    <row r="39" spans="5:18" hidden="1">
      <c r="E39" t="s">
        <v>690</v>
      </c>
      <c r="F39" t="s">
        <v>758</v>
      </c>
      <c r="M39" t="s">
        <v>822</v>
      </c>
    </row>
    <row r="40" spans="5:18" hidden="1">
      <c r="E40" t="s">
        <v>690</v>
      </c>
      <c r="F40" t="s">
        <v>768</v>
      </c>
    </row>
    <row r="41" spans="5:18" hidden="1">
      <c r="E41" t="s">
        <v>690</v>
      </c>
      <c r="F41" t="s">
        <v>776</v>
      </c>
    </row>
    <row r="42" spans="5:18">
      <c r="E42" t="s">
        <v>690</v>
      </c>
      <c r="F42" t="s">
        <v>784</v>
      </c>
    </row>
    <row r="43" spans="5:18">
      <c r="E43" t="s">
        <v>690</v>
      </c>
      <c r="F43" t="s">
        <v>792</v>
      </c>
    </row>
    <row r="44" spans="5:18">
      <c r="E44" t="s">
        <v>690</v>
      </c>
      <c r="F44" t="s">
        <v>799</v>
      </c>
    </row>
    <row r="45" spans="5:18">
      <c r="E45" t="s">
        <v>690</v>
      </c>
      <c r="F45" t="s">
        <v>806</v>
      </c>
    </row>
    <row r="46" spans="5:18">
      <c r="E46" t="s">
        <v>690</v>
      </c>
      <c r="F46" t="s">
        <v>812</v>
      </c>
    </row>
    <row r="47" spans="5:18">
      <c r="E47" t="s">
        <v>672</v>
      </c>
      <c r="F47" t="s">
        <v>720</v>
      </c>
    </row>
    <row r="48" spans="5:18">
      <c r="E48" t="s">
        <v>672</v>
      </c>
      <c r="F48" t="s">
        <v>730</v>
      </c>
    </row>
    <row r="49" spans="5:6">
      <c r="E49" t="s">
        <v>672</v>
      </c>
      <c r="F49" t="s">
        <v>739</v>
      </c>
    </row>
    <row r="50" spans="5:6">
      <c r="E50" t="s">
        <v>672</v>
      </c>
      <c r="F50" t="s">
        <v>749</v>
      </c>
    </row>
    <row r="51" spans="5:6">
      <c r="E51" t="s">
        <v>672</v>
      </c>
      <c r="F51" t="s">
        <v>759</v>
      </c>
    </row>
    <row r="52" spans="5:6">
      <c r="E52" t="s">
        <v>695</v>
      </c>
      <c r="F52" t="s">
        <v>721</v>
      </c>
    </row>
    <row r="53" spans="5:6">
      <c r="E53" t="s">
        <v>695</v>
      </c>
      <c r="F53" t="s">
        <v>731</v>
      </c>
    </row>
    <row r="54" spans="5:6">
      <c r="E54" t="s">
        <v>695</v>
      </c>
      <c r="F54" t="s">
        <v>740</v>
      </c>
    </row>
    <row r="55" spans="5:6">
      <c r="E55" t="s">
        <v>695</v>
      </c>
      <c r="F55" t="s">
        <v>750</v>
      </c>
    </row>
    <row r="56" spans="5:6">
      <c r="E56" t="s">
        <v>695</v>
      </c>
      <c r="F56" t="s">
        <v>760</v>
      </c>
    </row>
    <row r="57" spans="5:6">
      <c r="E57" t="s">
        <v>695</v>
      </c>
      <c r="F57" t="s">
        <v>769</v>
      </c>
    </row>
    <row r="58" spans="5:6">
      <c r="E58" t="s">
        <v>695</v>
      </c>
      <c r="F58" t="s">
        <v>777</v>
      </c>
    </row>
    <row r="59" spans="5:6">
      <c r="E59" t="s">
        <v>695</v>
      </c>
      <c r="F59" t="s">
        <v>785</v>
      </c>
    </row>
    <row r="60" spans="5:6">
      <c r="E60" t="s">
        <v>695</v>
      </c>
      <c r="F60" t="s">
        <v>793</v>
      </c>
    </row>
    <row r="61" spans="5:6">
      <c r="E61" t="s">
        <v>695</v>
      </c>
      <c r="F61" t="s">
        <v>800</v>
      </c>
    </row>
    <row r="62" spans="5:6">
      <c r="E62" t="s">
        <v>695</v>
      </c>
      <c r="F62" t="s">
        <v>807</v>
      </c>
    </row>
    <row r="63" spans="5:6">
      <c r="E63" t="s">
        <v>695</v>
      </c>
      <c r="F63" t="s">
        <v>813</v>
      </c>
    </row>
    <row r="64" spans="5:6">
      <c r="E64" t="s">
        <v>695</v>
      </c>
      <c r="F64" t="s">
        <v>817</v>
      </c>
    </row>
    <row r="65" spans="5:6">
      <c r="E65" t="s">
        <v>698</v>
      </c>
      <c r="F65" t="s">
        <v>722</v>
      </c>
    </row>
    <row r="66" spans="5:6">
      <c r="E66" t="s">
        <v>698</v>
      </c>
      <c r="F66" t="s">
        <v>732</v>
      </c>
    </row>
    <row r="67" spans="5:6">
      <c r="E67" t="s">
        <v>698</v>
      </c>
      <c r="F67" t="s">
        <v>741</v>
      </c>
    </row>
    <row r="68" spans="5:6">
      <c r="E68" t="s">
        <v>698</v>
      </c>
      <c r="F68" t="s">
        <v>751</v>
      </c>
    </row>
    <row r="69" spans="5:6">
      <c r="E69" t="s">
        <v>698</v>
      </c>
      <c r="F69" t="s">
        <v>761</v>
      </c>
    </row>
    <row r="70" spans="5:6">
      <c r="E70" t="s">
        <v>698</v>
      </c>
      <c r="F70" t="s">
        <v>770</v>
      </c>
    </row>
    <row r="71" spans="5:6">
      <c r="E71" t="s">
        <v>698</v>
      </c>
      <c r="F71" t="s">
        <v>778</v>
      </c>
    </row>
    <row r="72" spans="5:6">
      <c r="E72" t="s">
        <v>698</v>
      </c>
      <c r="F72" t="s">
        <v>786</v>
      </c>
    </row>
    <row r="73" spans="5:6">
      <c r="E73" t="s">
        <v>698</v>
      </c>
      <c r="F73" t="s">
        <v>794</v>
      </c>
    </row>
    <row r="74" spans="5:6">
      <c r="E74" t="s">
        <v>698</v>
      </c>
      <c r="F74" t="s">
        <v>801</v>
      </c>
    </row>
    <row r="75" spans="5:6">
      <c r="E75" t="s">
        <v>315</v>
      </c>
      <c r="F75" t="s">
        <v>723</v>
      </c>
    </row>
    <row r="76" spans="5:6">
      <c r="E76" t="s">
        <v>315</v>
      </c>
      <c r="F76" t="s">
        <v>733</v>
      </c>
    </row>
    <row r="77" spans="5:6">
      <c r="E77" t="s">
        <v>315</v>
      </c>
      <c r="F77" t="s">
        <v>742</v>
      </c>
    </row>
    <row r="78" spans="5:6">
      <c r="E78" t="s">
        <v>315</v>
      </c>
      <c r="F78" t="s">
        <v>752</v>
      </c>
    </row>
    <row r="79" spans="5:6">
      <c r="E79" t="s">
        <v>315</v>
      </c>
      <c r="F79" t="s">
        <v>762</v>
      </c>
    </row>
    <row r="80" spans="5:6">
      <c r="E80" t="s">
        <v>315</v>
      </c>
      <c r="F80" t="s">
        <v>771</v>
      </c>
    </row>
    <row r="81" spans="5:6">
      <c r="E81" t="s">
        <v>315</v>
      </c>
      <c r="F81" t="s">
        <v>779</v>
      </c>
    </row>
    <row r="82" spans="5:6">
      <c r="E82" t="s">
        <v>315</v>
      </c>
      <c r="F82" t="s">
        <v>787</v>
      </c>
    </row>
    <row r="83" spans="5:6">
      <c r="E83" t="s">
        <v>315</v>
      </c>
      <c r="F83" t="s">
        <v>795</v>
      </c>
    </row>
    <row r="84" spans="5:6">
      <c r="E84" t="s">
        <v>315</v>
      </c>
      <c r="F84" t="s">
        <v>802</v>
      </c>
    </row>
    <row r="85" spans="5:6">
      <c r="E85" t="s">
        <v>315</v>
      </c>
      <c r="F85" t="s">
        <v>808</v>
      </c>
    </row>
    <row r="86" spans="5:6">
      <c r="E86" t="s">
        <v>315</v>
      </c>
      <c r="F86" t="s">
        <v>814</v>
      </c>
    </row>
    <row r="87" spans="5:6">
      <c r="E87" t="s">
        <v>315</v>
      </c>
      <c r="F87" t="s">
        <v>818</v>
      </c>
    </row>
    <row r="88" spans="5:6">
      <c r="E88" t="s">
        <v>315</v>
      </c>
      <c r="F88" t="s">
        <v>821</v>
      </c>
    </row>
    <row r="89" spans="5:6">
      <c r="E89" t="s">
        <v>315</v>
      </c>
      <c r="F89" t="s">
        <v>823</v>
      </c>
    </row>
    <row r="90" spans="5:6">
      <c r="E90" t="s">
        <v>315</v>
      </c>
      <c r="F90" t="s">
        <v>824</v>
      </c>
    </row>
    <row r="91" spans="5:6">
      <c r="E91" t="s">
        <v>315</v>
      </c>
      <c r="F91" t="s">
        <v>825</v>
      </c>
    </row>
    <row r="92" spans="5:6">
      <c r="E92" t="s">
        <v>702</v>
      </c>
      <c r="F92" t="s">
        <v>724</v>
      </c>
    </row>
    <row r="93" spans="5:6">
      <c r="E93" t="s">
        <v>702</v>
      </c>
      <c r="F93" t="s">
        <v>734</v>
      </c>
    </row>
    <row r="94" spans="5:6">
      <c r="E94" t="s">
        <v>702</v>
      </c>
      <c r="F94" t="s">
        <v>743</v>
      </c>
    </row>
    <row r="95" spans="5:6">
      <c r="E95" t="s">
        <v>702</v>
      </c>
      <c r="F95" t="s">
        <v>753</v>
      </c>
    </row>
    <row r="96" spans="5:6">
      <c r="E96" t="s">
        <v>702</v>
      </c>
      <c r="F96" t="s">
        <v>763</v>
      </c>
    </row>
    <row r="97" spans="5:6">
      <c r="E97" t="s">
        <v>702</v>
      </c>
      <c r="F97" t="s">
        <v>772</v>
      </c>
    </row>
    <row r="98" spans="5:6">
      <c r="E98" t="s">
        <v>702</v>
      </c>
      <c r="F98" t="s">
        <v>780</v>
      </c>
    </row>
    <row r="99" spans="5:6">
      <c r="E99" t="s">
        <v>702</v>
      </c>
      <c r="F99" t="s">
        <v>788</v>
      </c>
    </row>
    <row r="100" spans="5:6">
      <c r="E100" t="s">
        <v>702</v>
      </c>
      <c r="F100" t="s">
        <v>796</v>
      </c>
    </row>
    <row r="101" spans="5:6">
      <c r="E101" t="s">
        <v>702</v>
      </c>
      <c r="F101" t="s">
        <v>803</v>
      </c>
    </row>
    <row r="102" spans="5:6">
      <c r="E102" t="s">
        <v>702</v>
      </c>
      <c r="F102" t="s">
        <v>809</v>
      </c>
    </row>
    <row r="103" spans="5:6">
      <c r="E103" t="s">
        <v>702</v>
      </c>
      <c r="F103" t="s">
        <v>815</v>
      </c>
    </row>
    <row r="104" spans="5:6">
      <c r="E104" t="s">
        <v>702</v>
      </c>
      <c r="F104" t="s">
        <v>819</v>
      </c>
    </row>
    <row r="105" spans="5:6">
      <c r="E105" t="s">
        <v>705</v>
      </c>
      <c r="F105" t="s">
        <v>725</v>
      </c>
    </row>
    <row r="106" spans="5:6">
      <c r="E106" t="s">
        <v>705</v>
      </c>
      <c r="F106" t="s">
        <v>735</v>
      </c>
    </row>
    <row r="107" spans="5:6">
      <c r="E107" t="s">
        <v>705</v>
      </c>
      <c r="F107" t="s">
        <v>744</v>
      </c>
    </row>
    <row r="108" spans="5:6">
      <c r="E108" t="s">
        <v>705</v>
      </c>
      <c r="F108" t="s">
        <v>754</v>
      </c>
    </row>
    <row r="109" spans="5:6">
      <c r="E109" t="s">
        <v>705</v>
      </c>
      <c r="F109" t="s">
        <v>764</v>
      </c>
    </row>
    <row r="110" spans="5:6">
      <c r="E110" t="s">
        <v>705</v>
      </c>
      <c r="F110" t="s">
        <v>773</v>
      </c>
    </row>
    <row r="111" spans="5:6">
      <c r="E111" t="s">
        <v>705</v>
      </c>
      <c r="F111" t="s">
        <v>781</v>
      </c>
    </row>
    <row r="112" spans="5:6">
      <c r="E112" t="s">
        <v>705</v>
      </c>
      <c r="F112" t="s">
        <v>789</v>
      </c>
    </row>
    <row r="113" spans="5:6">
      <c r="E113" t="s">
        <v>705</v>
      </c>
      <c r="F113" t="s">
        <v>797</v>
      </c>
    </row>
    <row r="114" spans="5:6">
      <c r="E114" t="s">
        <v>705</v>
      </c>
      <c r="F114" t="s">
        <v>804</v>
      </c>
    </row>
    <row r="115" spans="5:6">
      <c r="E115" t="s">
        <v>705</v>
      </c>
      <c r="F115" t="s">
        <v>810</v>
      </c>
    </row>
    <row r="116" spans="5:6">
      <c r="E116" t="s">
        <v>708</v>
      </c>
      <c r="F116" t="s">
        <v>726</v>
      </c>
    </row>
    <row r="117" spans="5:6">
      <c r="E117" t="s">
        <v>708</v>
      </c>
      <c r="F117" t="s">
        <v>736</v>
      </c>
    </row>
    <row r="118" spans="5:6">
      <c r="E118" t="s">
        <v>708</v>
      </c>
      <c r="F118" t="s">
        <v>745</v>
      </c>
    </row>
    <row r="119" spans="5:6">
      <c r="E119" t="s">
        <v>708</v>
      </c>
      <c r="F119" t="s">
        <v>755</v>
      </c>
    </row>
    <row r="120" spans="5:6">
      <c r="E120" t="s">
        <v>708</v>
      </c>
      <c r="F120" t="s">
        <v>765</v>
      </c>
    </row>
    <row r="121" spans="5:6">
      <c r="E121" t="s">
        <v>708</v>
      </c>
      <c r="F121" t="s">
        <v>774</v>
      </c>
    </row>
    <row r="122" spans="5:6">
      <c r="E122" t="s">
        <v>708</v>
      </c>
      <c r="F122" t="s">
        <v>782</v>
      </c>
    </row>
    <row r="123" spans="5:6">
      <c r="E123" t="s">
        <v>708</v>
      </c>
      <c r="F123" t="s">
        <v>790</v>
      </c>
    </row>
    <row r="124" spans="5:6">
      <c r="E124" t="s">
        <v>711</v>
      </c>
      <c r="F124" t="s">
        <v>727</v>
      </c>
    </row>
    <row r="125" spans="5:6">
      <c r="E125" t="s">
        <v>711</v>
      </c>
      <c r="F125" t="s">
        <v>737</v>
      </c>
    </row>
    <row r="126" spans="5:6">
      <c r="E126" t="s">
        <v>711</v>
      </c>
      <c r="F126" t="s">
        <v>746</v>
      </c>
    </row>
    <row r="127" spans="5:6">
      <c r="E127" t="s">
        <v>711</v>
      </c>
      <c r="F127" t="s">
        <v>756</v>
      </c>
    </row>
    <row r="128" spans="5:6">
      <c r="E128" t="s">
        <v>711</v>
      </c>
      <c r="F128" t="s">
        <v>766</v>
      </c>
    </row>
  </sheetData>
  <mergeCells count="3">
    <mergeCell ref="K2:K3"/>
    <mergeCell ref="L2:P2"/>
    <mergeCell ref="Q2:AA2"/>
  </mergeCells>
  <phoneticPr fontId="8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99"/>
  <sheetViews>
    <sheetView showGridLines="0" topLeftCell="A35" zoomScaleNormal="100" workbookViewId="0">
      <selection activeCell="B71" sqref="B71"/>
    </sheetView>
  </sheetViews>
  <sheetFormatPr defaultColWidth="10.42578125" defaultRowHeight="14.25" customHeight="1"/>
  <cols>
    <col min="1" max="1" width="40.140625" style="22" bestFit="1" customWidth="1"/>
    <col min="2" max="5" width="13.42578125" style="22" customWidth="1"/>
    <col min="6" max="6" width="13.140625" style="22" customWidth="1"/>
    <col min="7" max="9" width="13.85546875" style="22" customWidth="1"/>
    <col min="10" max="10" width="14.140625" style="22" customWidth="1"/>
    <col min="11" max="11" width="15.140625" style="24" customWidth="1"/>
    <col min="12" max="12" width="17" style="24" customWidth="1"/>
    <col min="13" max="13" width="14.140625" style="22" customWidth="1"/>
    <col min="14" max="14" width="21.42578125" style="22" bestFit="1" customWidth="1"/>
    <col min="15" max="15" width="32.140625" style="22" customWidth="1"/>
    <col min="16" max="16" width="11.42578125" style="22" customWidth="1"/>
    <col min="17" max="23" width="0" style="22" hidden="1" customWidth="1"/>
    <col min="24" max="24" width="15.42578125" style="22" bestFit="1" customWidth="1"/>
    <col min="25" max="25" width="17.42578125" style="22" bestFit="1" customWidth="1"/>
    <col min="26" max="33" width="0" style="22" hidden="1" customWidth="1"/>
    <col min="34" max="16384" width="10.42578125" style="22"/>
  </cols>
  <sheetData>
    <row r="1" spans="1:33" ht="15">
      <c r="B1" s="50"/>
      <c r="C1" s="50"/>
      <c r="D1" s="50"/>
      <c r="E1" s="50"/>
      <c r="F1" s="50"/>
      <c r="G1" s="50"/>
      <c r="H1" s="50"/>
      <c r="I1" s="50"/>
      <c r="J1" s="50"/>
      <c r="K1" s="50"/>
      <c r="L1" s="50"/>
      <c r="M1" s="50"/>
      <c r="N1"/>
      <c r="O1"/>
    </row>
    <row r="2" spans="1:33">
      <c r="G2" s="1237" t="s">
        <v>826</v>
      </c>
      <c r="H2" s="1237"/>
      <c r="I2" s="1237"/>
      <c r="J2" s="1237"/>
      <c r="K2" s="25"/>
      <c r="L2" s="25"/>
      <c r="M2" s="25"/>
      <c r="N2" s="25"/>
      <c r="O2" s="25"/>
    </row>
    <row r="3" spans="1:33">
      <c r="G3" s="22" t="s">
        <v>827</v>
      </c>
      <c r="H3" s="22" t="e" vm="1">
        <v>#VALUE!</v>
      </c>
      <c r="M3"/>
      <c r="N3"/>
      <c r="O3"/>
    </row>
    <row r="4" spans="1:33" ht="14.1" customHeight="1">
      <c r="D4" s="708" t="s">
        <v>828</v>
      </c>
      <c r="E4" s="708"/>
      <c r="F4" s="708"/>
      <c r="G4" s="708"/>
      <c r="I4" s="708"/>
      <c r="J4" s="708"/>
      <c r="K4" s="708"/>
      <c r="L4" s="708"/>
      <c r="M4" s="708"/>
      <c r="N4"/>
      <c r="O4"/>
    </row>
    <row r="5" spans="1:33" ht="15">
      <c r="A5" s="50" t="s">
        <v>829</v>
      </c>
      <c r="B5" s="360">
        <v>2023</v>
      </c>
      <c r="C5" s="360">
        <f>B5-1</f>
        <v>2022</v>
      </c>
      <c r="D5" s="360">
        <f t="shared" ref="D5:M5" si="0">C5-1</f>
        <v>2021</v>
      </c>
      <c r="E5" s="360">
        <f t="shared" si="0"/>
        <v>2020</v>
      </c>
      <c r="F5" s="360">
        <f t="shared" si="0"/>
        <v>2019</v>
      </c>
      <c r="G5" s="360">
        <f t="shared" si="0"/>
        <v>2018</v>
      </c>
      <c r="H5" s="360">
        <f t="shared" si="0"/>
        <v>2017</v>
      </c>
      <c r="I5" s="360">
        <f t="shared" si="0"/>
        <v>2016</v>
      </c>
      <c r="J5" s="360">
        <f t="shared" si="0"/>
        <v>2015</v>
      </c>
      <c r="K5" s="360">
        <f t="shared" si="0"/>
        <v>2014</v>
      </c>
      <c r="L5" s="360">
        <f t="shared" si="0"/>
        <v>2013</v>
      </c>
      <c r="M5" s="360">
        <f t="shared" si="0"/>
        <v>2012</v>
      </c>
      <c r="N5"/>
      <c r="O5"/>
      <c r="Q5" s="9" t="s">
        <v>830</v>
      </c>
      <c r="R5" s="1238" t="s">
        <v>831</v>
      </c>
      <c r="S5" s="1238"/>
      <c r="T5" s="22" t="s">
        <v>832</v>
      </c>
      <c r="Z5" s="50">
        <v>2016</v>
      </c>
      <c r="AA5" s="50">
        <v>2015</v>
      </c>
      <c r="AB5" s="50">
        <v>2014</v>
      </c>
      <c r="AC5" s="50">
        <v>2013</v>
      </c>
      <c r="AD5" s="50">
        <v>2012</v>
      </c>
      <c r="AE5" s="50">
        <v>2011</v>
      </c>
      <c r="AF5" s="50">
        <v>2010</v>
      </c>
      <c r="AG5" s="50">
        <v>2009</v>
      </c>
    </row>
    <row r="6" spans="1:33">
      <c r="A6" s="26" t="s">
        <v>124</v>
      </c>
      <c r="B6" s="278">
        <v>34233.366000000002</v>
      </c>
      <c r="C6" s="278">
        <v>33671.01</v>
      </c>
      <c r="D6" s="278">
        <v>27130.675999999999</v>
      </c>
      <c r="E6" s="278">
        <v>22489</v>
      </c>
      <c r="F6" s="278">
        <v>22260</v>
      </c>
      <c r="G6" s="278">
        <v>20572</v>
      </c>
      <c r="H6" s="361">
        <v>12646</v>
      </c>
      <c r="I6" s="278">
        <v>10950</v>
      </c>
      <c r="J6" s="278">
        <v>9474</v>
      </c>
      <c r="K6" s="278">
        <v>7779.8</v>
      </c>
      <c r="L6" s="278">
        <v>5935</v>
      </c>
      <c r="M6" s="278">
        <v>4105.1000000000004</v>
      </c>
      <c r="N6" s="28" t="s">
        <v>570</v>
      </c>
      <c r="O6" t="s">
        <v>833</v>
      </c>
      <c r="P6"/>
      <c r="Q6" s="22" t="s">
        <v>834</v>
      </c>
      <c r="R6" s="22" t="s">
        <v>834</v>
      </c>
      <c r="X6" s="29"/>
      <c r="Y6" s="29"/>
      <c r="Z6" s="27">
        <v>38537</v>
      </c>
      <c r="AA6" s="27">
        <v>47011</v>
      </c>
      <c r="AB6" s="27">
        <v>55184</v>
      </c>
      <c r="AC6" s="27">
        <v>55656</v>
      </c>
      <c r="AD6" s="27">
        <v>65875</v>
      </c>
      <c r="AE6" s="27">
        <v>60138</v>
      </c>
      <c r="AF6" s="27">
        <v>42588</v>
      </c>
      <c r="AG6" s="27">
        <v>32396</v>
      </c>
    </row>
    <row r="7" spans="1:33">
      <c r="A7" s="26" t="s">
        <v>299</v>
      </c>
      <c r="B7" s="278">
        <v>5639.54</v>
      </c>
      <c r="C7" s="278">
        <v>7038.49</v>
      </c>
      <c r="D7" s="278">
        <v>5447.07</v>
      </c>
      <c r="E7" s="278">
        <v>3475.41</v>
      </c>
      <c r="F7" s="278">
        <v>2864.79</v>
      </c>
      <c r="G7" s="278">
        <v>2450.1999999999998</v>
      </c>
      <c r="H7" s="362">
        <v>1557.94</v>
      </c>
      <c r="I7" s="363">
        <v>1520.33</v>
      </c>
      <c r="J7" s="363">
        <v>1324.58</v>
      </c>
      <c r="K7" s="363">
        <v>1097.95</v>
      </c>
      <c r="L7" s="363">
        <v>850.3</v>
      </c>
      <c r="M7" s="363">
        <v>388.7</v>
      </c>
      <c r="N7" s="28" t="s">
        <v>570</v>
      </c>
      <c r="O7" t="s">
        <v>299</v>
      </c>
      <c r="P7"/>
      <c r="Q7" s="22" t="s">
        <v>834</v>
      </c>
      <c r="R7" s="33" t="s">
        <v>835</v>
      </c>
      <c r="Z7" s="31" t="e">
        <f>#REF!-4383</f>
        <v>#REF!</v>
      </c>
      <c r="AA7" s="31" t="e">
        <f>#REF!-4951</f>
        <v>#REF!</v>
      </c>
      <c r="AB7" s="31" t="e">
        <f>#REF!-6529</f>
        <v>#REF!</v>
      </c>
      <c r="AC7" s="31" t="e">
        <f>#REF!-5547</f>
        <v>#REF!</v>
      </c>
      <c r="AD7" s="32" t="e">
        <f>#REF!-5919-2466-797-580-485</f>
        <v>#REF!</v>
      </c>
      <c r="AE7" s="32" t="e">
        <f>+#REF!-5203-2297-826-1081</f>
        <v>#REF!</v>
      </c>
      <c r="AF7" s="32" t="e">
        <f>+#REF!-4248-1905-914-1191</f>
        <v>#REF!</v>
      </c>
      <c r="AG7" s="32" t="e">
        <f>+#REF!-3645-1421-1045-1822</f>
        <v>#REF!</v>
      </c>
    </row>
    <row r="8" spans="1:33">
      <c r="A8" s="26" t="s">
        <v>627</v>
      </c>
      <c r="B8" s="278">
        <v>-194.77</v>
      </c>
      <c r="C8" s="278">
        <v>-711.19</v>
      </c>
      <c r="D8" s="278">
        <v>725.65</v>
      </c>
      <c r="E8" s="278">
        <v>22.48</v>
      </c>
      <c r="F8" s="278">
        <v>-35.51</v>
      </c>
      <c r="G8" s="278">
        <v>-236.36</v>
      </c>
      <c r="H8" s="278">
        <v>-90.52</v>
      </c>
      <c r="I8" s="278">
        <v>55.21</v>
      </c>
      <c r="J8" s="278">
        <v>105.18</v>
      </c>
      <c r="K8" s="278">
        <v>73.38</v>
      </c>
      <c r="L8" s="278">
        <v>45.89</v>
      </c>
      <c r="M8" s="278">
        <v>14.81</v>
      </c>
      <c r="N8" s="28" t="s">
        <v>570</v>
      </c>
      <c r="O8" t="s">
        <v>836</v>
      </c>
      <c r="P8"/>
      <c r="Q8" s="22" t="s">
        <v>834</v>
      </c>
      <c r="R8" s="22" t="s">
        <v>837</v>
      </c>
      <c r="S8" s="22" t="s">
        <v>838</v>
      </c>
      <c r="T8" s="22" t="s">
        <v>839</v>
      </c>
      <c r="U8" s="22" t="s">
        <v>840</v>
      </c>
      <c r="V8" s="22" t="s">
        <v>841</v>
      </c>
      <c r="Z8" s="31">
        <f>1853+596+595+1904+6+8</f>
        <v>4962</v>
      </c>
      <c r="AA8" s="31">
        <f>2119+587+2023+11</f>
        <v>4740</v>
      </c>
      <c r="AB8" s="31">
        <f>2380+624+1619-8+16</f>
        <v>4631</v>
      </c>
      <c r="AC8" s="31">
        <f>2046+727+981+6+14</f>
        <v>3774</v>
      </c>
      <c r="AD8" s="32">
        <f>-14+41</f>
        <v>27</v>
      </c>
      <c r="AE8" s="31">
        <v>53</v>
      </c>
      <c r="AF8" s="31">
        <f>58+24</f>
        <v>82</v>
      </c>
      <c r="AG8" s="31">
        <f>12-68</f>
        <v>-56</v>
      </c>
    </row>
    <row r="9" spans="1:33">
      <c r="A9" s="26" t="s">
        <v>300</v>
      </c>
      <c r="B9" s="278">
        <v>-242.46</v>
      </c>
      <c r="C9" s="278">
        <v>-312.73</v>
      </c>
      <c r="D9" s="278">
        <v>-353.7</v>
      </c>
      <c r="E9" s="278">
        <v>-374.1</v>
      </c>
      <c r="F9" s="278">
        <v>-394.99</v>
      </c>
      <c r="G9" s="278">
        <v>-19.760000000000002</v>
      </c>
      <c r="H9" s="362">
        <v>-277.81</v>
      </c>
      <c r="I9" s="363">
        <v>-245.06</v>
      </c>
      <c r="J9" s="278">
        <v>-220.15</v>
      </c>
      <c r="K9" s="278">
        <v>-201.5</v>
      </c>
      <c r="L9" s="278">
        <v>-214.3</v>
      </c>
      <c r="M9" s="278">
        <v>-181.4</v>
      </c>
      <c r="N9" s="28" t="s">
        <v>570</v>
      </c>
      <c r="O9" t="s">
        <v>842</v>
      </c>
      <c r="P9"/>
      <c r="Q9" s="22" t="s">
        <v>834</v>
      </c>
      <c r="R9" s="22" t="s">
        <v>843</v>
      </c>
      <c r="Z9" s="31">
        <f>505+518</f>
        <v>1023</v>
      </c>
      <c r="AA9" s="31">
        <f>507-161</f>
        <v>346</v>
      </c>
      <c r="AB9" s="31">
        <f>484-322</f>
        <v>162</v>
      </c>
      <c r="AC9" s="31">
        <f>465+35</f>
        <v>500</v>
      </c>
      <c r="AD9" s="32">
        <f>467-130</f>
        <v>337</v>
      </c>
      <c r="AE9" s="31">
        <f>396+32</f>
        <v>428</v>
      </c>
      <c r="AF9" s="31">
        <f>343-130</f>
        <v>213</v>
      </c>
      <c r="AG9" s="31">
        <f>389-381</f>
        <v>8</v>
      </c>
    </row>
    <row r="10" spans="1:33">
      <c r="A10" s="26" t="s">
        <v>301</v>
      </c>
      <c r="B10" s="278">
        <v>-1241.01</v>
      </c>
      <c r="C10" s="278">
        <v>-1366.07</v>
      </c>
      <c r="D10" s="278">
        <v>-1362.51</v>
      </c>
      <c r="E10" s="278">
        <v>-656.24</v>
      </c>
      <c r="F10" s="278">
        <v>-592.16999999999996</v>
      </c>
      <c r="G10" s="278">
        <v>-476.57</v>
      </c>
      <c r="H10" s="362">
        <v>-417.86</v>
      </c>
      <c r="I10" s="363">
        <v>-417.38</v>
      </c>
      <c r="J10" s="278">
        <v>-390.42</v>
      </c>
      <c r="K10" s="278">
        <v>-341.09</v>
      </c>
      <c r="L10" s="278">
        <v>-177</v>
      </c>
      <c r="M10" s="278">
        <v>435.2</v>
      </c>
      <c r="N10" s="28" t="s">
        <v>570</v>
      </c>
      <c r="O10" t="s">
        <v>301</v>
      </c>
      <c r="P10"/>
      <c r="Q10" s="22" t="s">
        <v>834</v>
      </c>
      <c r="R10" s="22" t="s">
        <v>844</v>
      </c>
      <c r="Z10" s="27">
        <v>192</v>
      </c>
      <c r="AA10" s="27">
        <v>916</v>
      </c>
      <c r="AB10" s="27">
        <v>692</v>
      </c>
      <c r="AC10" s="27">
        <v>1319</v>
      </c>
      <c r="AD10" s="30">
        <f>2528</f>
        <v>2528</v>
      </c>
      <c r="AE10" s="27">
        <f>1720</f>
        <v>1720</v>
      </c>
      <c r="AF10" s="27">
        <f>968</f>
        <v>968</v>
      </c>
      <c r="AG10" s="27">
        <f>-270</f>
        <v>-270</v>
      </c>
    </row>
    <row r="11" spans="1:33">
      <c r="A11" s="26" t="s">
        <v>65</v>
      </c>
      <c r="B11" s="278">
        <v>3961.29</v>
      </c>
      <c r="C11" s="278">
        <v>4648.5</v>
      </c>
      <c r="D11" s="278">
        <v>4456.55</v>
      </c>
      <c r="E11" s="278">
        <v>2467.5500000000002</v>
      </c>
      <c r="F11" s="278">
        <v>1842.12</v>
      </c>
      <c r="G11" s="278">
        <v>1717.51</v>
      </c>
      <c r="H11" s="361">
        <v>771.75</v>
      </c>
      <c r="I11" s="278">
        <v>913.09</v>
      </c>
      <c r="J11" s="278">
        <v>819.2</v>
      </c>
      <c r="K11" s="278">
        <v>628.69000000000005</v>
      </c>
      <c r="L11" s="278">
        <v>504.9</v>
      </c>
      <c r="M11" s="278">
        <v>657.3</v>
      </c>
      <c r="N11" s="28" t="s">
        <v>570</v>
      </c>
      <c r="O11" t="s">
        <v>65</v>
      </c>
      <c r="P11"/>
      <c r="Q11" s="22" t="s">
        <v>845</v>
      </c>
      <c r="R11" s="22" t="s">
        <v>846</v>
      </c>
      <c r="Z11" s="27">
        <v>-67</v>
      </c>
      <c r="AA11" s="27">
        <v>2512</v>
      </c>
      <c r="AB11" s="27">
        <v>2452</v>
      </c>
      <c r="AC11" s="27">
        <v>3789</v>
      </c>
      <c r="AD11" s="27">
        <v>5681</v>
      </c>
      <c r="AE11" s="27">
        <f>4928+24</f>
        <v>4952</v>
      </c>
      <c r="AF11" s="27">
        <v>2700</v>
      </c>
      <c r="AG11" s="27">
        <v>895</v>
      </c>
    </row>
    <row r="12" spans="1:33">
      <c r="B12" s="364">
        <f>SUM(B7:B10)</f>
        <v>3961.2999999999993</v>
      </c>
      <c r="C12" s="364">
        <f t="shared" ref="C12:M12" si="1">SUM(C7:C10)</f>
        <v>4648.5</v>
      </c>
      <c r="D12" s="364">
        <f t="shared" si="1"/>
        <v>4456.5099999999993</v>
      </c>
      <c r="E12" s="364">
        <f t="shared" si="1"/>
        <v>2467.5500000000002</v>
      </c>
      <c r="F12" s="364">
        <f t="shared" si="1"/>
        <v>1842.12</v>
      </c>
      <c r="G12" s="364">
        <f t="shared" si="1"/>
        <v>1717.5099999999995</v>
      </c>
      <c r="H12" s="364">
        <f t="shared" si="1"/>
        <v>771.75000000000011</v>
      </c>
      <c r="I12" s="364">
        <f t="shared" si="1"/>
        <v>913.1</v>
      </c>
      <c r="J12" s="364">
        <f t="shared" si="1"/>
        <v>819.18999999999983</v>
      </c>
      <c r="K12" s="364">
        <f>SUM(K7:K10)</f>
        <v>628.74</v>
      </c>
      <c r="L12" s="364">
        <f>SUM(L7:L10)</f>
        <v>504.88999999999987</v>
      </c>
      <c r="M12" s="364">
        <f t="shared" si="1"/>
        <v>657.31</v>
      </c>
      <c r="N12"/>
      <c r="O12"/>
      <c r="P12"/>
      <c r="Z12" s="24" t="e">
        <f t="shared" ref="Z12:AG12" si="2">Z7-Z9-Z8-Z10</f>
        <v>#REF!</v>
      </c>
      <c r="AA12" s="24" t="e">
        <f t="shared" si="2"/>
        <v>#REF!</v>
      </c>
      <c r="AB12" s="24" t="e">
        <f t="shared" si="2"/>
        <v>#REF!</v>
      </c>
      <c r="AC12" s="24" t="e">
        <f t="shared" si="2"/>
        <v>#REF!</v>
      </c>
      <c r="AD12" s="24" t="e">
        <f t="shared" si="2"/>
        <v>#REF!</v>
      </c>
      <c r="AE12" s="24" t="e">
        <f t="shared" si="2"/>
        <v>#REF!</v>
      </c>
      <c r="AF12" s="24" t="e">
        <f t="shared" si="2"/>
        <v>#REF!</v>
      </c>
      <c r="AG12" s="24" t="e">
        <f t="shared" si="2"/>
        <v>#REF!</v>
      </c>
    </row>
    <row r="13" spans="1:33" ht="15">
      <c r="A13" s="50" t="s">
        <v>847</v>
      </c>
      <c r="B13" s="365">
        <f>B11-B12</f>
        <v>-9.999999999308784E-3</v>
      </c>
      <c r="C13" s="365">
        <f t="shared" ref="C13:M13" si="3">C11-C12</f>
        <v>0</v>
      </c>
      <c r="D13" s="365">
        <f t="shared" si="3"/>
        <v>4.0000000000873115E-2</v>
      </c>
      <c r="E13" s="365">
        <f t="shared" si="3"/>
        <v>0</v>
      </c>
      <c r="F13" s="365">
        <f t="shared" si="3"/>
        <v>0</v>
      </c>
      <c r="G13" s="365">
        <f t="shared" si="3"/>
        <v>0</v>
      </c>
      <c r="H13" s="365">
        <f t="shared" si="3"/>
        <v>0</v>
      </c>
      <c r="I13" s="365">
        <f t="shared" si="3"/>
        <v>-9.9999999999909051E-3</v>
      </c>
      <c r="J13" s="365">
        <f t="shared" si="3"/>
        <v>1.0000000000218279E-2</v>
      </c>
      <c r="K13" s="365">
        <f>K11-K12</f>
        <v>-4.9999999999954525E-2</v>
      </c>
      <c r="L13" s="365">
        <f>L11-L12</f>
        <v>1.0000000000104592E-2</v>
      </c>
      <c r="M13" s="365">
        <f t="shared" si="3"/>
        <v>-9.9999999999909051E-3</v>
      </c>
      <c r="N13"/>
      <c r="O13"/>
      <c r="P13"/>
      <c r="Z13" s="35" t="e">
        <f t="shared" ref="Z13:AG13" si="4">Z11-Z12</f>
        <v>#REF!</v>
      </c>
      <c r="AA13" s="35" t="e">
        <f t="shared" si="4"/>
        <v>#REF!</v>
      </c>
      <c r="AB13" s="35" t="e">
        <f t="shared" si="4"/>
        <v>#REF!</v>
      </c>
      <c r="AC13" s="35" t="e">
        <f t="shared" si="4"/>
        <v>#REF!</v>
      </c>
      <c r="AD13" s="35" t="e">
        <f t="shared" si="4"/>
        <v>#REF!</v>
      </c>
      <c r="AE13" s="35" t="e">
        <f t="shared" si="4"/>
        <v>#REF!</v>
      </c>
      <c r="AF13" s="35" t="e">
        <f t="shared" si="4"/>
        <v>#REF!</v>
      </c>
      <c r="AG13" s="35" t="e">
        <f t="shared" si="4"/>
        <v>#REF!</v>
      </c>
    </row>
    <row r="14" spans="1:33">
      <c r="A14"/>
      <c r="B14" s="368"/>
      <c r="C14" s="368"/>
      <c r="D14" s="368"/>
      <c r="E14" s="368"/>
      <c r="F14" s="368"/>
      <c r="G14" s="368"/>
      <c r="H14" s="368"/>
      <c r="I14" s="368"/>
      <c r="J14" s="368"/>
      <c r="K14" s="368"/>
      <c r="L14" s="368"/>
      <c r="M14" s="368"/>
      <c r="N14"/>
      <c r="O14"/>
      <c r="P14"/>
      <c r="Z14" s="27"/>
      <c r="AA14" s="27"/>
      <c r="AB14" s="27"/>
      <c r="AC14" s="27"/>
      <c r="AD14" s="27"/>
      <c r="AE14" s="27"/>
      <c r="AF14" s="27"/>
      <c r="AG14" s="27"/>
    </row>
    <row r="15" spans="1:33">
      <c r="A15" s="26" t="s">
        <v>848</v>
      </c>
      <c r="B15" s="278">
        <v>283319</v>
      </c>
      <c r="C15" s="278">
        <v>289824</v>
      </c>
      <c r="D15" s="366" t="s">
        <v>849</v>
      </c>
      <c r="E15" s="278">
        <v>309406</v>
      </c>
      <c r="F15" s="278">
        <v>311000</v>
      </c>
      <c r="G15" s="278">
        <v>321000</v>
      </c>
      <c r="H15" s="361">
        <v>254000</v>
      </c>
      <c r="I15" s="278">
        <v>237000</v>
      </c>
      <c r="J15" s="278">
        <v>210000</v>
      </c>
      <c r="K15" s="278">
        <v>203000</v>
      </c>
      <c r="L15" s="278">
        <v>202000</v>
      </c>
      <c r="M15" s="278">
        <v>190000</v>
      </c>
      <c r="N15" s="28"/>
      <c r="O15"/>
      <c r="P15"/>
      <c r="Z15" s="27"/>
      <c r="AA15" s="27"/>
      <c r="AB15" s="27"/>
      <c r="AC15" s="27"/>
      <c r="AD15" s="27"/>
      <c r="AE15" s="27"/>
      <c r="AF15" s="27"/>
      <c r="AG15" s="27"/>
    </row>
    <row r="16" spans="1:33">
      <c r="A16" s="26" t="s">
        <v>850</v>
      </c>
      <c r="B16" s="278">
        <v>283319</v>
      </c>
      <c r="C16" s="278">
        <v>289824</v>
      </c>
      <c r="D16" s="366" t="s">
        <v>849</v>
      </c>
      <c r="E16" s="278">
        <v>309407</v>
      </c>
      <c r="F16" s="278">
        <v>311000</v>
      </c>
      <c r="G16" s="278">
        <v>321000</v>
      </c>
      <c r="H16" s="361">
        <v>254000</v>
      </c>
      <c r="I16" s="278">
        <v>237000</v>
      </c>
      <c r="J16" s="278">
        <v>229000</v>
      </c>
      <c r="K16" s="278">
        <v>230000</v>
      </c>
      <c r="L16" s="278">
        <v>228000</v>
      </c>
      <c r="M16" s="278">
        <v>226000</v>
      </c>
      <c r="N16" s="28"/>
      <c r="O16"/>
      <c r="P16"/>
      <c r="Z16" s="27"/>
      <c r="AA16" s="27"/>
      <c r="AB16" s="27"/>
      <c r="AC16" s="27"/>
      <c r="AD16" s="27"/>
      <c r="AE16" s="27"/>
      <c r="AF16" s="27"/>
      <c r="AG16" s="27"/>
    </row>
    <row r="17" spans="1:152" customFormat="1" ht="12.75">
      <c r="B17" s="368"/>
      <c r="C17" s="368"/>
      <c r="D17" s="368"/>
      <c r="E17" s="368"/>
      <c r="F17" s="368"/>
      <c r="G17" s="368"/>
      <c r="H17" s="368"/>
      <c r="I17" s="368"/>
      <c r="J17" s="368"/>
      <c r="K17" s="368"/>
      <c r="L17" s="368"/>
      <c r="M17" s="368"/>
    </row>
    <row r="18" spans="1:152">
      <c r="A18" s="26" t="s">
        <v>851</v>
      </c>
      <c r="B18" s="278">
        <v>0</v>
      </c>
      <c r="C18" s="278">
        <v>0</v>
      </c>
      <c r="D18" s="278">
        <v>0</v>
      </c>
      <c r="E18" s="278">
        <v>0</v>
      </c>
      <c r="F18" s="278">
        <v>0</v>
      </c>
      <c r="G18" s="278">
        <v>0</v>
      </c>
      <c r="H18" s="278">
        <v>0</v>
      </c>
      <c r="I18" s="278">
        <v>0</v>
      </c>
      <c r="J18" s="278">
        <v>0</v>
      </c>
      <c r="K18" s="278">
        <v>0</v>
      </c>
      <c r="L18" s="278">
        <v>0</v>
      </c>
      <c r="M18" s="278">
        <v>0</v>
      </c>
      <c r="N18" s="28"/>
      <c r="O18"/>
      <c r="P18"/>
      <c r="Z18" s="27"/>
      <c r="AA18" s="27"/>
      <c r="AB18" s="27"/>
      <c r="AC18" s="27"/>
      <c r="AD18" s="27"/>
      <c r="AE18" s="27"/>
      <c r="AF18" s="27"/>
      <c r="AG18" s="27"/>
    </row>
    <row r="19" spans="1:152" ht="15">
      <c r="A19" s="9" t="s">
        <v>852</v>
      </c>
      <c r="B19" s="278">
        <v>3940.98</v>
      </c>
      <c r="C19" s="278">
        <v>4617.87</v>
      </c>
      <c r="D19" s="278">
        <v>4429.58</v>
      </c>
      <c r="E19" s="278">
        <v>2463.73</v>
      </c>
      <c r="F19" s="278">
        <v>1849.92</v>
      </c>
      <c r="G19" s="278">
        <v>1694.43</v>
      </c>
      <c r="H19" s="361">
        <v>811.82</v>
      </c>
      <c r="I19" s="278">
        <v>910.25</v>
      </c>
      <c r="J19" s="278">
        <v>819</v>
      </c>
      <c r="K19" s="278">
        <v>629</v>
      </c>
      <c r="L19" s="278">
        <f>L12</f>
        <v>504.88999999999987</v>
      </c>
      <c r="M19" s="278">
        <f>M12</f>
        <v>657.31</v>
      </c>
      <c r="N19" s="28"/>
      <c r="O19"/>
      <c r="P19"/>
      <c r="Z19" s="27"/>
      <c r="AA19" s="27"/>
      <c r="AB19" s="27"/>
      <c r="AC19" s="27"/>
      <c r="AD19" s="27"/>
      <c r="AE19" s="27"/>
      <c r="AF19" s="27"/>
      <c r="AG19" s="27"/>
    </row>
    <row r="20" spans="1:152" customFormat="1" ht="12.75">
      <c r="B20" s="368"/>
      <c r="C20" s="368"/>
      <c r="D20" s="368"/>
      <c r="E20" s="368"/>
      <c r="F20" s="368"/>
      <c r="G20" s="368"/>
      <c r="H20" s="368"/>
      <c r="I20" s="368"/>
      <c r="J20" s="368"/>
      <c r="K20" s="368"/>
      <c r="L20" s="368"/>
      <c r="M20" s="368"/>
    </row>
    <row r="21" spans="1:152">
      <c r="A21" s="22" t="s">
        <v>628</v>
      </c>
      <c r="B21" s="364">
        <f>B22-C22</f>
        <v>-1449.8399999999983</v>
      </c>
      <c r="C21" s="364">
        <f t="shared" ref="C21:J21" si="5">C22-D22</f>
        <v>280.94999999999709</v>
      </c>
      <c r="D21" s="364">
        <f>D22-E22</f>
        <v>1520.6599999999999</v>
      </c>
      <c r="E21" s="364">
        <f t="shared" si="5"/>
        <v>-2281.9999999999964</v>
      </c>
      <c r="F21" s="364">
        <f t="shared" si="5"/>
        <v>2843.4799999999959</v>
      </c>
      <c r="G21" s="364">
        <f t="shared" si="5"/>
        <v>6435.3200000000015</v>
      </c>
      <c r="H21" s="364">
        <f t="shared" si="5"/>
        <v>-7.9699999999993452</v>
      </c>
      <c r="I21" s="364">
        <f>I22-J22</f>
        <v>227.18000000000029</v>
      </c>
      <c r="J21" s="364">
        <f t="shared" si="5"/>
        <v>820.63000000000011</v>
      </c>
      <c r="K21" s="364">
        <f>K22-L22</f>
        <v>1767.9299999999985</v>
      </c>
      <c r="L21" s="364">
        <f>L22-M22</f>
        <v>930.30000000000018</v>
      </c>
      <c r="M21" s="364">
        <f>M22-N22</f>
        <v>5240.6000000000004</v>
      </c>
      <c r="N21" s="34" t="s">
        <v>853</v>
      </c>
      <c r="O21" t="s">
        <v>854</v>
      </c>
      <c r="P21"/>
      <c r="Q21" s="22" t="s">
        <v>845</v>
      </c>
      <c r="Z21" s="27"/>
      <c r="AA21" s="27"/>
      <c r="AB21" s="27"/>
      <c r="AC21" s="27"/>
      <c r="AD21" s="30"/>
      <c r="AE21" s="27"/>
      <c r="AF21" s="27"/>
      <c r="AG21" s="27"/>
    </row>
    <row r="22" spans="1:152">
      <c r="A22" s="26" t="s">
        <v>602</v>
      </c>
      <c r="B22" s="278">
        <f>B26-B41-B27</f>
        <v>16327.24</v>
      </c>
      <c r="C22" s="278">
        <f t="shared" ref="C22:M22" si="6">C26-C41-C27</f>
        <v>17777.079999999998</v>
      </c>
      <c r="D22" s="278">
        <f t="shared" si="6"/>
        <v>17496.13</v>
      </c>
      <c r="E22" s="278">
        <f t="shared" si="6"/>
        <v>15975.470000000001</v>
      </c>
      <c r="F22" s="278">
        <f t="shared" si="6"/>
        <v>18257.469999999998</v>
      </c>
      <c r="G22" s="278">
        <f t="shared" si="6"/>
        <v>15413.990000000002</v>
      </c>
      <c r="H22" s="278">
        <f t="shared" si="6"/>
        <v>8978.67</v>
      </c>
      <c r="I22" s="278">
        <f t="shared" si="6"/>
        <v>8986.64</v>
      </c>
      <c r="J22" s="278">
        <f t="shared" si="6"/>
        <v>8759.4599999999991</v>
      </c>
      <c r="K22" s="278">
        <f t="shared" si="6"/>
        <v>7938.829999999999</v>
      </c>
      <c r="L22" s="278">
        <f t="shared" si="6"/>
        <v>6170.9000000000005</v>
      </c>
      <c r="M22" s="278">
        <f t="shared" si="6"/>
        <v>5240.6000000000004</v>
      </c>
      <c r="N22" s="34"/>
      <c r="O22"/>
      <c r="P22"/>
      <c r="Z22" s="27"/>
      <c r="AA22" s="27"/>
      <c r="AB22" s="27"/>
      <c r="AC22" s="27"/>
      <c r="AD22" s="30"/>
      <c r="AE22" s="27"/>
      <c r="AF22" s="27"/>
      <c r="AG22" s="27"/>
    </row>
    <row r="23" spans="1:152">
      <c r="A23" s="7">
        <v>2625</v>
      </c>
      <c r="B23" s="369">
        <v>2625</v>
      </c>
      <c r="C23" s="369">
        <v>2625</v>
      </c>
      <c r="D23" s="369">
        <v>2625</v>
      </c>
      <c r="E23" s="369">
        <v>2625</v>
      </c>
      <c r="F23" s="369">
        <v>2625</v>
      </c>
      <c r="G23" s="369">
        <v>2625</v>
      </c>
      <c r="H23" s="369">
        <v>2625</v>
      </c>
      <c r="I23" s="369">
        <v>2625</v>
      </c>
      <c r="J23" s="369">
        <v>2625</v>
      </c>
      <c r="K23" s="369">
        <v>2625</v>
      </c>
      <c r="L23" s="369">
        <v>2625</v>
      </c>
      <c r="M23" s="369">
        <v>2625</v>
      </c>
      <c r="N23" s="7">
        <v>2625</v>
      </c>
      <c r="O23"/>
      <c r="P23"/>
      <c r="Q23" s="22" t="s">
        <v>845</v>
      </c>
      <c r="R23" s="22" t="s">
        <v>855</v>
      </c>
      <c r="T23" s="22" t="s">
        <v>856</v>
      </c>
      <c r="Z23" s="27">
        <v>1799</v>
      </c>
      <c r="AA23" s="27">
        <v>1757</v>
      </c>
      <c r="AB23" s="27">
        <v>1620</v>
      </c>
      <c r="AC23" s="27">
        <v>1111</v>
      </c>
      <c r="AD23" s="27">
        <v>1617</v>
      </c>
      <c r="AE23" s="27">
        <v>1159</v>
      </c>
      <c r="AF23" s="27">
        <v>1084</v>
      </c>
      <c r="AG23" s="27">
        <v>1029</v>
      </c>
    </row>
    <row r="24" spans="1:152" ht="15">
      <c r="A24" s="50" t="s">
        <v>481</v>
      </c>
      <c r="B24" s="875"/>
      <c r="C24" s="875"/>
      <c r="D24" s="875"/>
      <c r="E24" s="875"/>
      <c r="F24" s="875"/>
      <c r="G24" s="875"/>
      <c r="H24" s="875"/>
      <c r="I24" s="875"/>
      <c r="J24" s="875"/>
      <c r="K24" s="875"/>
      <c r="L24" s="875"/>
      <c r="M24" s="875"/>
      <c r="N24" s="876"/>
      <c r="O24"/>
      <c r="P24"/>
      <c r="Q24" s="22" t="s">
        <v>845</v>
      </c>
      <c r="R24" s="22" t="s">
        <v>857</v>
      </c>
      <c r="S24" s="22" t="s">
        <v>858</v>
      </c>
      <c r="T24" s="22" t="s">
        <v>859</v>
      </c>
      <c r="Z24" s="27">
        <v>23</v>
      </c>
      <c r="AA24" s="27">
        <f>-33+2025</f>
        <v>1992</v>
      </c>
      <c r="AB24" s="27">
        <v>3817</v>
      </c>
      <c r="AC24" s="27">
        <v>1776</v>
      </c>
      <c r="AD24" s="27">
        <v>-244</v>
      </c>
      <c r="AE24" s="27">
        <v>-312</v>
      </c>
      <c r="AF24" s="27">
        <v>-449</v>
      </c>
      <c r="AG24" s="27">
        <v>-110</v>
      </c>
    </row>
    <row r="25" spans="1:152" ht="15">
      <c r="A25" s="104" t="s">
        <v>860</v>
      </c>
      <c r="B25" s="431"/>
      <c r="C25" s="431"/>
      <c r="D25" s="431"/>
      <c r="E25" s="431"/>
      <c r="F25" s="431"/>
      <c r="G25" s="431"/>
      <c r="H25" s="431"/>
      <c r="I25" s="431"/>
      <c r="J25" s="431"/>
      <c r="K25" s="431"/>
      <c r="L25" s="431"/>
      <c r="M25" s="431"/>
      <c r="N25" s="7">
        <v>1922</v>
      </c>
      <c r="O25" s="7">
        <v>2625</v>
      </c>
      <c r="P25"/>
      <c r="Z25" s="27"/>
      <c r="AA25" s="27"/>
      <c r="AB25" s="27"/>
      <c r="AC25" s="27"/>
      <c r="AD25" s="27"/>
      <c r="AE25" s="27"/>
      <c r="AF25" s="27"/>
      <c r="AG25" s="27"/>
    </row>
    <row r="26" spans="1:152" ht="15">
      <c r="A26" s="9" t="s">
        <v>861</v>
      </c>
      <c r="B26" s="277">
        <v>29106.89</v>
      </c>
      <c r="C26" s="277">
        <v>28178.37</v>
      </c>
      <c r="D26" s="277">
        <v>23323.52</v>
      </c>
      <c r="E26" s="277">
        <v>20959.330000000002</v>
      </c>
      <c r="F26" s="277">
        <v>21869.91</v>
      </c>
      <c r="G26" s="277">
        <v>19625.52</v>
      </c>
      <c r="H26" s="277">
        <v>14243.84</v>
      </c>
      <c r="I26" s="277">
        <v>11501</v>
      </c>
      <c r="J26" s="277">
        <v>10886.92</v>
      </c>
      <c r="K26" s="277">
        <v>9730.4599999999991</v>
      </c>
      <c r="L26" s="277">
        <v>8233.7000000000007</v>
      </c>
      <c r="M26" s="277">
        <v>7040.2</v>
      </c>
      <c r="N26" s="7"/>
      <c r="O26" s="7"/>
      <c r="P26"/>
      <c r="Z26" s="27"/>
      <c r="AA26" s="27"/>
      <c r="AB26" s="27"/>
      <c r="AC26" s="27"/>
      <c r="AD26" s="27"/>
      <c r="AE26" s="27"/>
      <c r="AF26" s="27"/>
      <c r="AG26" s="27"/>
    </row>
    <row r="27" spans="1:152" ht="15">
      <c r="A27" s="101" t="s">
        <v>304</v>
      </c>
      <c r="B27" s="278">
        <v>6570.9</v>
      </c>
      <c r="C27" s="278">
        <v>4815.8</v>
      </c>
      <c r="D27" s="278">
        <v>2955.7</v>
      </c>
      <c r="E27" s="278">
        <v>2932.7</v>
      </c>
      <c r="F27" s="278">
        <v>1468.7</v>
      </c>
      <c r="G27" s="278">
        <v>1596</v>
      </c>
      <c r="H27" s="278">
        <v>2650.9</v>
      </c>
      <c r="I27" s="278">
        <v>1329.5</v>
      </c>
      <c r="J27" s="278">
        <v>1158.5</v>
      </c>
      <c r="K27" s="278">
        <v>1281.8</v>
      </c>
      <c r="L27" s="278">
        <v>970.5</v>
      </c>
      <c r="M27" s="278">
        <v>1310.7</v>
      </c>
      <c r="N27" s="37" t="s">
        <v>575</v>
      </c>
      <c r="O27" t="s">
        <v>304</v>
      </c>
      <c r="P27"/>
      <c r="Z27" s="36"/>
      <c r="AA27" s="36"/>
      <c r="AB27" s="36"/>
      <c r="AC27" s="36"/>
      <c r="AD27" s="36"/>
      <c r="AE27" s="35"/>
      <c r="AF27" s="35"/>
      <c r="AG27" s="35"/>
    </row>
    <row r="28" spans="1:152" ht="15">
      <c r="A28" s="102" t="s">
        <v>638</v>
      </c>
      <c r="B28" s="278">
        <v>1696.21</v>
      </c>
      <c r="C28" s="278">
        <v>1614.28</v>
      </c>
      <c r="D28" s="278">
        <v>1296.8499999999999</v>
      </c>
      <c r="E28" s="278">
        <v>938.08</v>
      </c>
      <c r="F28" s="278">
        <v>2625.68</v>
      </c>
      <c r="G28" s="278">
        <v>1041.8399999999999</v>
      </c>
      <c r="H28" s="278">
        <v>758.55</v>
      </c>
      <c r="I28" s="278">
        <v>1018.51</v>
      </c>
      <c r="J28" s="278">
        <v>953.4</v>
      </c>
      <c r="K28" s="278">
        <v>648.79</v>
      </c>
      <c r="L28" s="278">
        <v>613.6</v>
      </c>
      <c r="M28" s="278">
        <v>662.5</v>
      </c>
      <c r="N28" s="37" t="s">
        <v>575</v>
      </c>
      <c r="O28" t="s">
        <v>638</v>
      </c>
      <c r="P28"/>
      <c r="Z28" s="36"/>
      <c r="AA28" s="36"/>
      <c r="AB28" s="36"/>
      <c r="AC28" s="36"/>
      <c r="AD28" s="36"/>
      <c r="AE28" s="35"/>
      <c r="AF28" s="35"/>
      <c r="AG28" s="35"/>
    </row>
    <row r="29" spans="1:152">
      <c r="A29" s="101" t="s">
        <v>306</v>
      </c>
      <c r="B29" s="278">
        <v>18897.669999999998</v>
      </c>
      <c r="C29" s="278">
        <v>21862.45</v>
      </c>
      <c r="D29" s="278">
        <v>19169.400000000001</v>
      </c>
      <c r="E29" s="278">
        <v>17175.150000000001</v>
      </c>
      <c r="F29" s="278">
        <v>17776.509999999998</v>
      </c>
      <c r="G29" s="278">
        <v>17068.7</v>
      </c>
      <c r="H29" s="278">
        <v>10860.89</v>
      </c>
      <c r="I29" s="278">
        <v>9178.93</v>
      </c>
      <c r="J29" s="278">
        <v>8740.6</v>
      </c>
      <c r="K29" s="278">
        <v>7736.6</v>
      </c>
      <c r="L29" s="278">
        <v>6601.1</v>
      </c>
      <c r="M29" s="278">
        <v>5046.3999999999996</v>
      </c>
      <c r="N29" s="37" t="s">
        <v>575</v>
      </c>
      <c r="O29" t="s">
        <v>306</v>
      </c>
      <c r="P29"/>
      <c r="Q29" s="22" t="s">
        <v>862</v>
      </c>
      <c r="R29" s="22" t="s">
        <v>863</v>
      </c>
      <c r="Z29" s="27">
        <v>7168</v>
      </c>
      <c r="AA29" s="27">
        <v>6460</v>
      </c>
      <c r="AB29" s="27">
        <v>7341</v>
      </c>
      <c r="AC29" s="27">
        <v>6081</v>
      </c>
      <c r="AD29" s="27">
        <v>5490</v>
      </c>
      <c r="AE29" s="27">
        <v>3057</v>
      </c>
      <c r="AF29" s="27">
        <v>3592</v>
      </c>
      <c r="AG29" s="27">
        <v>4867</v>
      </c>
    </row>
    <row r="30" spans="1:152" s="23" customFormat="1">
      <c r="A30" s="101" t="s">
        <v>864</v>
      </c>
      <c r="B30" s="278">
        <f t="shared" ref="B30" si="7">B26-SUM(B27:B29)</f>
        <v>1942.1100000000006</v>
      </c>
      <c r="C30" s="278">
        <f t="shared" ref="C30:M30" si="8">C26-SUM(C27:C29)</f>
        <v>-114.15999999999985</v>
      </c>
      <c r="D30" s="278">
        <f t="shared" si="8"/>
        <v>-98.430000000000291</v>
      </c>
      <c r="E30" s="278">
        <f t="shared" si="8"/>
        <v>-86.599999999998545</v>
      </c>
      <c r="F30" s="278">
        <f t="shared" si="8"/>
        <v>-0.97999999999956344</v>
      </c>
      <c r="G30" s="278">
        <f t="shared" si="8"/>
        <v>-81.020000000000437</v>
      </c>
      <c r="H30" s="278">
        <f t="shared" si="8"/>
        <v>-26.5</v>
      </c>
      <c r="I30" s="278">
        <f t="shared" si="8"/>
        <v>-25.940000000000509</v>
      </c>
      <c r="J30" s="278">
        <f t="shared" si="8"/>
        <v>34.420000000000073</v>
      </c>
      <c r="K30" s="278">
        <f t="shared" si="8"/>
        <v>63.269999999998618</v>
      </c>
      <c r="L30" s="278">
        <f t="shared" si="8"/>
        <v>48.5</v>
      </c>
      <c r="M30" s="278">
        <f t="shared" si="8"/>
        <v>20.600000000000364</v>
      </c>
      <c r="N30" s="37" t="s">
        <v>575</v>
      </c>
      <c r="O30" t="s">
        <v>306</v>
      </c>
      <c r="P30"/>
      <c r="Q30" s="22" t="s">
        <v>862</v>
      </c>
      <c r="R30" s="22" t="s">
        <v>865</v>
      </c>
      <c r="S30" s="22" t="s">
        <v>866</v>
      </c>
      <c r="T30" s="22" t="s">
        <v>867</v>
      </c>
      <c r="U30" s="22"/>
      <c r="V30" s="22"/>
      <c r="W30" s="22"/>
      <c r="X30" s="22"/>
      <c r="Y30" s="22"/>
      <c r="Z30" s="31">
        <f>5981+8522+1029+13556</f>
        <v>29088</v>
      </c>
      <c r="AA30" s="31">
        <f>6695+8991+1170+13651</f>
        <v>30507</v>
      </c>
      <c r="AB30" s="31">
        <f>7737+9027+1364+14644</f>
        <v>32772</v>
      </c>
      <c r="AC30" s="31">
        <v>33499</v>
      </c>
      <c r="AD30" s="31">
        <v>33911</v>
      </c>
      <c r="AE30" s="31">
        <v>31031</v>
      </c>
      <c r="AF30" s="31">
        <v>28849</v>
      </c>
      <c r="AG30" s="31">
        <v>27162</v>
      </c>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c r="DM30" s="22"/>
      <c r="DN30" s="22"/>
      <c r="DO30" s="22"/>
      <c r="DP30" s="22"/>
      <c r="DQ30" s="22"/>
      <c r="DR30" s="22"/>
      <c r="DS30" s="22"/>
      <c r="DT30" s="22"/>
      <c r="DU30" s="22"/>
      <c r="DV30" s="22"/>
      <c r="DW30" s="22"/>
      <c r="DX30" s="22"/>
      <c r="DY30" s="22"/>
      <c r="DZ30" s="22"/>
      <c r="EA30" s="22"/>
      <c r="EB30" s="22"/>
      <c r="EC30" s="22"/>
      <c r="ED30" s="22"/>
      <c r="EE30" s="22"/>
      <c r="EF30" s="22"/>
      <c r="EG30" s="22"/>
      <c r="EH30" s="22"/>
      <c r="EI30" s="22"/>
      <c r="EJ30" s="22"/>
      <c r="EK30" s="22"/>
      <c r="EL30" s="22"/>
      <c r="EM30" s="22"/>
      <c r="EN30" s="22"/>
      <c r="EO30" s="22"/>
      <c r="EP30" s="22"/>
      <c r="EQ30" s="22"/>
      <c r="ER30" s="22"/>
      <c r="ES30" s="22"/>
      <c r="ET30" s="22"/>
      <c r="EU30" s="22"/>
      <c r="EV30" s="22"/>
    </row>
    <row r="31" spans="1:152" s="23" customFormat="1" ht="15">
      <c r="A31" s="9" t="s">
        <v>868</v>
      </c>
      <c r="B31" s="277">
        <f t="shared" ref="B31:M31" si="9">B37-B26</f>
        <v>10127.410000000003</v>
      </c>
      <c r="C31" s="277">
        <f t="shared" si="9"/>
        <v>9805.9300000000039</v>
      </c>
      <c r="D31" s="277">
        <f t="shared" si="9"/>
        <v>9884.2599999999984</v>
      </c>
      <c r="E31" s="277">
        <f t="shared" si="9"/>
        <v>8975.8499999999985</v>
      </c>
      <c r="F31" s="277">
        <f t="shared" si="9"/>
        <v>7489.5999999999985</v>
      </c>
      <c r="G31" s="277">
        <f t="shared" si="9"/>
        <v>8940.66</v>
      </c>
      <c r="H31" s="277">
        <f t="shared" si="9"/>
        <v>4501.1899999999987</v>
      </c>
      <c r="I31" s="277">
        <f t="shared" si="9"/>
        <v>3860.7800000000007</v>
      </c>
      <c r="J31" s="277">
        <f t="shared" si="9"/>
        <v>3532.59</v>
      </c>
      <c r="K31" s="277">
        <f t="shared" si="9"/>
        <v>3192.6900000000005</v>
      </c>
      <c r="L31" s="277">
        <f t="shared" si="9"/>
        <v>3039.2999999999993</v>
      </c>
      <c r="M31" s="277">
        <f t="shared" si="9"/>
        <v>3321.8</v>
      </c>
      <c r="N31" s="37"/>
      <c r="O31"/>
      <c r="P31"/>
      <c r="Q31" s="22"/>
      <c r="R31" s="22"/>
      <c r="S31" s="22"/>
      <c r="T31" s="22"/>
      <c r="U31" s="22"/>
      <c r="V31" s="22"/>
      <c r="W31" s="22"/>
      <c r="X31" s="22"/>
      <c r="Y31" s="22"/>
      <c r="Z31" s="31"/>
      <c r="AA31" s="31"/>
      <c r="AB31" s="31"/>
      <c r="AC31" s="31"/>
      <c r="AD31" s="31"/>
      <c r="AE31" s="31"/>
      <c r="AF31" s="31"/>
      <c r="AG31" s="31"/>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row>
    <row r="32" spans="1:152">
      <c r="A32" s="103" t="s">
        <v>639</v>
      </c>
      <c r="B32" s="278">
        <v>1075.4000000000001</v>
      </c>
      <c r="C32" s="278">
        <v>937</v>
      </c>
      <c r="D32" s="278">
        <v>878.7</v>
      </c>
      <c r="E32" s="278">
        <v>1000.6</v>
      </c>
      <c r="F32" s="278">
        <v>1042.74</v>
      </c>
      <c r="G32" s="278">
        <v>736.55</v>
      </c>
      <c r="H32" s="278">
        <v>527.96</v>
      </c>
      <c r="I32" s="278">
        <v>400.27</v>
      </c>
      <c r="J32" s="278">
        <v>193.91</v>
      </c>
      <c r="K32" s="278">
        <v>231.1</v>
      </c>
      <c r="L32" s="278">
        <v>265.2</v>
      </c>
      <c r="M32" s="278">
        <v>392.6</v>
      </c>
      <c r="N32" s="37"/>
      <c r="O32"/>
      <c r="P32"/>
      <c r="Q32" s="22" t="s">
        <v>862</v>
      </c>
      <c r="R32" s="22" t="s">
        <v>869</v>
      </c>
      <c r="Z32" s="27">
        <v>8614</v>
      </c>
      <c r="AA32" s="27">
        <v>9700</v>
      </c>
      <c r="AB32" s="27">
        <v>12205</v>
      </c>
      <c r="AC32" s="27">
        <v>12625</v>
      </c>
      <c r="AD32" s="27">
        <v>15547</v>
      </c>
      <c r="AE32" s="27">
        <v>14544</v>
      </c>
      <c r="AF32" s="27">
        <v>9587</v>
      </c>
      <c r="AG32" s="27">
        <v>6360</v>
      </c>
    </row>
    <row r="33" spans="1:33">
      <c r="A33" s="103" t="s">
        <v>870</v>
      </c>
      <c r="B33" s="278">
        <v>145.81</v>
      </c>
      <c r="C33" s="278">
        <v>149.97</v>
      </c>
      <c r="D33" s="278">
        <v>155.62</v>
      </c>
      <c r="E33" s="278">
        <v>113.39</v>
      </c>
      <c r="F33" s="278">
        <v>0</v>
      </c>
      <c r="G33" s="278">
        <v>0</v>
      </c>
      <c r="H33" s="278">
        <v>0</v>
      </c>
      <c r="I33" s="278">
        <v>0</v>
      </c>
      <c r="J33" s="278">
        <v>0</v>
      </c>
      <c r="K33" s="278">
        <v>0</v>
      </c>
      <c r="L33" s="278">
        <v>0</v>
      </c>
      <c r="M33" s="278">
        <v>0</v>
      </c>
      <c r="N33" s="37"/>
      <c r="O33"/>
      <c r="P33"/>
      <c r="Z33" s="27"/>
      <c r="AA33" s="27"/>
      <c r="AB33" s="27"/>
      <c r="AC33" s="27"/>
      <c r="AD33" s="27"/>
      <c r="AE33" s="27"/>
      <c r="AF33" s="27"/>
      <c r="AG33" s="27"/>
    </row>
    <row r="34" spans="1:33">
      <c r="A34" s="103" t="s">
        <v>871</v>
      </c>
      <c r="B34" s="278">
        <v>986.50800000000004</v>
      </c>
      <c r="C34" s="278">
        <v>1090.8309999999999</v>
      </c>
      <c r="D34" s="278">
        <v>937.92</v>
      </c>
      <c r="E34" s="278">
        <v>951.57899999999995</v>
      </c>
      <c r="F34" s="278">
        <v>0</v>
      </c>
      <c r="G34" s="278">
        <v>0</v>
      </c>
      <c r="H34" s="278">
        <v>0</v>
      </c>
      <c r="I34" s="278">
        <v>0</v>
      </c>
      <c r="J34" s="278">
        <v>0</v>
      </c>
      <c r="K34" s="278">
        <v>0</v>
      </c>
      <c r="L34" s="278">
        <v>0</v>
      </c>
      <c r="M34" s="278">
        <v>0</v>
      </c>
      <c r="N34" s="37"/>
      <c r="O34"/>
      <c r="P34"/>
      <c r="Z34" s="27"/>
      <c r="AA34" s="27"/>
      <c r="AB34" s="27"/>
      <c r="AC34" s="27"/>
      <c r="AD34" s="27"/>
      <c r="AE34" s="27"/>
      <c r="AF34" s="27"/>
      <c r="AG34" s="27"/>
    </row>
    <row r="35" spans="1:33">
      <c r="A35" s="103" t="s">
        <v>872</v>
      </c>
      <c r="B35" s="278">
        <f t="shared" ref="B35" si="10">B31-SUM(B32:B34)</f>
        <v>7919.6920000000036</v>
      </c>
      <c r="C35" s="278">
        <f t="shared" ref="C35" si="11">C31-SUM(C32:C34)</f>
        <v>7628.1290000000045</v>
      </c>
      <c r="D35" s="278">
        <f t="shared" ref="D35" si="12">D31-SUM(D32:D34)</f>
        <v>7912.0199999999986</v>
      </c>
      <c r="E35" s="278">
        <f>E31-SUM(E32:E34)</f>
        <v>6910.280999999999</v>
      </c>
      <c r="F35" s="278">
        <f t="shared" ref="F35" si="13">F31-SUM(F32:F34)</f>
        <v>6446.8599999999988</v>
      </c>
      <c r="G35" s="278">
        <f t="shared" ref="G35" si="14">G31-SUM(G32:G34)</f>
        <v>8204.11</v>
      </c>
      <c r="H35" s="278">
        <f t="shared" ref="H35" si="15">H31-SUM(H32:H34)</f>
        <v>3973.2299999999987</v>
      </c>
      <c r="I35" s="278">
        <f t="shared" ref="I35" si="16">I31-SUM(I32:I34)</f>
        <v>3460.5100000000007</v>
      </c>
      <c r="J35" s="278">
        <f t="shared" ref="J35" si="17">J31-SUM(J32:J34)</f>
        <v>3338.6800000000003</v>
      </c>
      <c r="K35" s="278">
        <f t="shared" ref="K35" si="18">K31-SUM(K32:K34)</f>
        <v>2961.5900000000006</v>
      </c>
      <c r="L35" s="278">
        <f t="shared" ref="L35" si="19">L31-SUM(L32:L34)</f>
        <v>2774.0999999999995</v>
      </c>
      <c r="M35" s="278">
        <f t="shared" ref="M35" si="20">M31-SUM(M32:M34)</f>
        <v>2929.2000000000003</v>
      </c>
      <c r="N35" s="37" t="s">
        <v>575</v>
      </c>
      <c r="O35" t="s">
        <v>639</v>
      </c>
      <c r="P35"/>
      <c r="Z35" s="27"/>
      <c r="AA35" s="27"/>
      <c r="AB35" s="27"/>
      <c r="AC35" s="27"/>
      <c r="AD35" s="27"/>
      <c r="AE35" s="27"/>
      <c r="AF35" s="27"/>
      <c r="AG35" s="27"/>
    </row>
    <row r="36" spans="1:33">
      <c r="A36" s="22" t="s">
        <v>640</v>
      </c>
      <c r="B36" s="364">
        <f>B30+B35</f>
        <v>9861.8020000000033</v>
      </c>
      <c r="C36" s="364">
        <f>C30+C35</f>
        <v>7513.9690000000046</v>
      </c>
      <c r="D36" s="364">
        <f t="shared" ref="D36:M36" si="21">D30+D35</f>
        <v>7813.5899999999983</v>
      </c>
      <c r="E36" s="364">
        <f t="shared" si="21"/>
        <v>6823.6810000000005</v>
      </c>
      <c r="F36" s="364">
        <f t="shared" si="21"/>
        <v>6445.8799999999992</v>
      </c>
      <c r="G36" s="364">
        <f t="shared" si="21"/>
        <v>8123.09</v>
      </c>
      <c r="H36" s="364">
        <f t="shared" si="21"/>
        <v>3946.7299999999987</v>
      </c>
      <c r="I36" s="364">
        <f t="shared" si="21"/>
        <v>3434.57</v>
      </c>
      <c r="J36" s="364">
        <f t="shared" si="21"/>
        <v>3373.1000000000004</v>
      </c>
      <c r="K36" s="364">
        <f t="shared" si="21"/>
        <v>3024.8599999999992</v>
      </c>
      <c r="L36" s="364">
        <f t="shared" si="21"/>
        <v>2822.5999999999995</v>
      </c>
      <c r="M36" s="364">
        <f t="shared" si="21"/>
        <v>2949.8000000000006</v>
      </c>
      <c r="N36" s="37" t="s">
        <v>575</v>
      </c>
      <c r="O36"/>
      <c r="P36"/>
      <c r="Z36" s="27"/>
      <c r="AA36" s="27"/>
      <c r="AB36" s="27"/>
      <c r="AC36" s="27"/>
      <c r="AD36" s="27"/>
      <c r="AE36" s="27"/>
      <c r="AF36" s="27"/>
      <c r="AG36" s="27"/>
    </row>
    <row r="37" spans="1:33" ht="15">
      <c r="A37" s="9" t="s">
        <v>42</v>
      </c>
      <c r="B37" s="277">
        <v>39234.300000000003</v>
      </c>
      <c r="C37" s="277">
        <v>37984.300000000003</v>
      </c>
      <c r="D37" s="277">
        <v>33207.78</v>
      </c>
      <c r="E37" s="277">
        <v>29935.18</v>
      </c>
      <c r="F37" s="277">
        <v>29359.51</v>
      </c>
      <c r="G37" s="277">
        <v>28566.18</v>
      </c>
      <c r="H37" s="277">
        <v>18745.03</v>
      </c>
      <c r="I37" s="277">
        <v>15361.78</v>
      </c>
      <c r="J37" s="277">
        <v>14419.51</v>
      </c>
      <c r="K37" s="277">
        <v>12923.15</v>
      </c>
      <c r="L37" s="277">
        <v>11273</v>
      </c>
      <c r="M37" s="277">
        <v>10362</v>
      </c>
      <c r="N37" s="37" t="s">
        <v>575</v>
      </c>
      <c r="O37" t="s">
        <v>42</v>
      </c>
      <c r="P37"/>
      <c r="Q37" s="22" t="s">
        <v>862</v>
      </c>
      <c r="R37" s="22" t="s">
        <v>873</v>
      </c>
      <c r="Z37" s="27">
        <v>15322</v>
      </c>
      <c r="AA37" s="27">
        <v>16090</v>
      </c>
      <c r="AB37" s="27">
        <f>16577</f>
        <v>16577</v>
      </c>
      <c r="AC37" s="27">
        <v>17075</v>
      </c>
      <c r="AD37" s="27">
        <v>16461</v>
      </c>
      <c r="AE37" s="27">
        <v>14395</v>
      </c>
      <c r="AF37" s="27">
        <v>12539</v>
      </c>
      <c r="AG37" s="27">
        <v>12386</v>
      </c>
    </row>
    <row r="38" spans="1:33">
      <c r="B38" s="364"/>
      <c r="C38" s="364"/>
      <c r="D38" s="364"/>
      <c r="E38" s="364"/>
      <c r="F38" s="364"/>
      <c r="G38" s="364"/>
      <c r="H38" s="364"/>
      <c r="I38" s="364"/>
      <c r="J38" s="364"/>
      <c r="K38" s="364"/>
      <c r="L38" s="364"/>
      <c r="M38" s="364"/>
      <c r="N38" s="37" t="s">
        <v>575</v>
      </c>
      <c r="O38"/>
      <c r="P38"/>
      <c r="Z38" s="24">
        <f t="shared" ref="Z38:AG38" si="22">Z39-SUM(Z29:Z37)</f>
        <v>14512</v>
      </c>
      <c r="AA38" s="24">
        <f t="shared" si="22"/>
        <v>15585</v>
      </c>
      <c r="AB38" s="24">
        <f t="shared" si="22"/>
        <v>15786</v>
      </c>
      <c r="AC38" s="24">
        <f t="shared" si="22"/>
        <v>15616</v>
      </c>
      <c r="AD38" s="24">
        <f t="shared" si="22"/>
        <v>17947</v>
      </c>
      <c r="AE38" s="24">
        <f t="shared" si="22"/>
        <v>18419</v>
      </c>
      <c r="AF38" s="24">
        <f t="shared" si="22"/>
        <v>9453</v>
      </c>
      <c r="AG38" s="24">
        <f t="shared" si="22"/>
        <v>9263</v>
      </c>
    </row>
    <row r="39" spans="1:33" ht="15">
      <c r="B39" s="364"/>
      <c r="C39" s="364"/>
      <c r="D39" s="364"/>
      <c r="E39" s="364"/>
      <c r="F39" s="364"/>
      <c r="G39" s="364"/>
      <c r="H39" s="364"/>
      <c r="I39" s="364"/>
      <c r="J39" s="364"/>
      <c r="K39" s="364"/>
      <c r="L39" s="364"/>
      <c r="M39" s="364"/>
      <c r="N39" s="37" t="s">
        <v>575</v>
      </c>
      <c r="O39"/>
      <c r="P39"/>
      <c r="Q39" s="22" t="s">
        <v>862</v>
      </c>
      <c r="R39" s="22" t="s">
        <v>874</v>
      </c>
      <c r="Z39" s="38">
        <v>74704</v>
      </c>
      <c r="AA39" s="38">
        <v>78342</v>
      </c>
      <c r="AB39" s="38">
        <v>84681</v>
      </c>
      <c r="AC39" s="38">
        <v>84896</v>
      </c>
      <c r="AD39" s="38">
        <v>89356</v>
      </c>
      <c r="AE39" s="38">
        <v>81446</v>
      </c>
      <c r="AF39" s="38">
        <v>64020</v>
      </c>
      <c r="AG39" s="38">
        <v>60038</v>
      </c>
    </row>
    <row r="40" spans="1:33" ht="15">
      <c r="A40" s="104" t="s">
        <v>875</v>
      </c>
      <c r="B40" s="277"/>
      <c r="C40" s="277"/>
      <c r="D40" s="277"/>
      <c r="E40" s="277"/>
      <c r="F40" s="277"/>
      <c r="G40" s="277"/>
      <c r="H40" s="277"/>
      <c r="I40" s="277"/>
      <c r="J40" s="277"/>
      <c r="K40" s="277"/>
      <c r="L40" s="277"/>
      <c r="M40" s="277"/>
      <c r="N40" s="37" t="s">
        <v>575</v>
      </c>
      <c r="O40"/>
      <c r="P40"/>
      <c r="Z40" s="29"/>
      <c r="AA40" s="29"/>
      <c r="AB40" s="29"/>
      <c r="AC40" s="29"/>
      <c r="AD40" s="29"/>
      <c r="AE40" s="29"/>
      <c r="AF40" s="29"/>
      <c r="AG40" s="29"/>
    </row>
    <row r="41" spans="1:33" ht="15">
      <c r="A41" s="9" t="s">
        <v>310</v>
      </c>
      <c r="B41" s="277">
        <v>6208.75</v>
      </c>
      <c r="C41" s="277">
        <v>5585.49</v>
      </c>
      <c r="D41" s="277">
        <v>2871.69</v>
      </c>
      <c r="E41" s="277">
        <v>2051.16</v>
      </c>
      <c r="F41" s="277">
        <v>2143.7399999999998</v>
      </c>
      <c r="G41" s="277">
        <v>2615.5300000000002</v>
      </c>
      <c r="H41" s="277">
        <v>2614.27</v>
      </c>
      <c r="I41" s="277">
        <v>1184.8599999999999</v>
      </c>
      <c r="J41" s="277">
        <v>968.96</v>
      </c>
      <c r="K41" s="277">
        <v>509.83</v>
      </c>
      <c r="L41" s="277">
        <v>1092.3</v>
      </c>
      <c r="M41" s="277">
        <v>488.9</v>
      </c>
      <c r="N41" s="37" t="s">
        <v>575</v>
      </c>
      <c r="O41" t="s">
        <v>310</v>
      </c>
      <c r="P41"/>
      <c r="Z41" s="29"/>
      <c r="AA41" s="29"/>
      <c r="AB41" s="29"/>
      <c r="AC41" s="29"/>
      <c r="AD41" s="29"/>
      <c r="AE41" s="29"/>
      <c r="AF41" s="29"/>
      <c r="AG41" s="29"/>
    </row>
    <row r="42" spans="1:33" ht="15">
      <c r="A42" s="101" t="s">
        <v>876</v>
      </c>
      <c r="B42" s="278">
        <v>1631.4</v>
      </c>
      <c r="C42" s="278">
        <v>1616.13</v>
      </c>
      <c r="D42" s="278">
        <v>1321.25</v>
      </c>
      <c r="E42" s="278">
        <v>1037.3399999999999</v>
      </c>
      <c r="F42" s="278">
        <v>1265.21</v>
      </c>
      <c r="G42" s="278">
        <v>1325.4</v>
      </c>
      <c r="H42" s="278">
        <v>754.67</v>
      </c>
      <c r="I42" s="278">
        <v>596.52</v>
      </c>
      <c r="J42" s="278">
        <v>542.86</v>
      </c>
      <c r="K42" s="278">
        <v>464.8</v>
      </c>
      <c r="L42" s="278">
        <v>312.89999999999998</v>
      </c>
      <c r="M42" s="278">
        <v>220.7</v>
      </c>
      <c r="N42" s="37"/>
      <c r="O42"/>
      <c r="P42"/>
      <c r="Z42" s="36"/>
      <c r="AA42" s="36"/>
      <c r="AB42" s="36"/>
      <c r="AC42" s="36"/>
      <c r="AD42" s="36"/>
      <c r="AE42" s="35"/>
      <c r="AF42" s="35"/>
      <c r="AG42" s="35"/>
    </row>
    <row r="43" spans="1:33" s="9" customFormat="1" ht="15">
      <c r="A43" s="26" t="s">
        <v>642</v>
      </c>
      <c r="B43" s="278">
        <v>2036.45</v>
      </c>
      <c r="C43" s="278">
        <v>2001.81</v>
      </c>
      <c r="D43" s="278">
        <v>573.84</v>
      </c>
      <c r="E43" s="278">
        <v>307.13</v>
      </c>
      <c r="F43" s="278">
        <v>618.27</v>
      </c>
      <c r="G43" s="278">
        <v>1114.54</v>
      </c>
      <c r="H43" s="278">
        <v>1478.89</v>
      </c>
      <c r="I43" s="278">
        <v>478.33</v>
      </c>
      <c r="J43" s="278">
        <v>374.67</v>
      </c>
      <c r="K43" s="278">
        <v>0</v>
      </c>
      <c r="L43" s="278">
        <v>0</v>
      </c>
      <c r="M43" s="278">
        <v>0</v>
      </c>
      <c r="N43" s="37" t="s">
        <v>575</v>
      </c>
      <c r="O43" t="s">
        <v>877</v>
      </c>
      <c r="P43"/>
      <c r="Q43" s="22" t="s">
        <v>862</v>
      </c>
      <c r="R43" s="9" t="s">
        <v>878</v>
      </c>
      <c r="Z43" s="38">
        <v>26132</v>
      </c>
      <c r="AA43" s="38">
        <v>26242</v>
      </c>
      <c r="AB43" s="38">
        <v>27877</v>
      </c>
      <c r="AC43" s="38">
        <v>27297</v>
      </c>
      <c r="AD43" s="38">
        <v>29415</v>
      </c>
      <c r="AE43" s="38">
        <f>93+3895+8161+3386+2410+2691+298+1967+558+5102</f>
        <v>28561</v>
      </c>
      <c r="AF43" s="38">
        <f>204+3852+5856+2880+1670+1831+281+1521+495+3430</f>
        <v>22020</v>
      </c>
      <c r="AG43" s="38">
        <f>433+3650+2993+3351+797+1217+262+888+302+5399</f>
        <v>19292</v>
      </c>
    </row>
    <row r="44" spans="1:33" s="9" customFormat="1" ht="15">
      <c r="A44" s="26" t="s">
        <v>643</v>
      </c>
      <c r="B44" s="278">
        <v>0</v>
      </c>
      <c r="C44" s="278">
        <v>0</v>
      </c>
      <c r="D44" s="278">
        <v>0</v>
      </c>
      <c r="E44" s="278">
        <v>0</v>
      </c>
      <c r="F44" s="278">
        <v>0</v>
      </c>
      <c r="G44" s="278">
        <v>0</v>
      </c>
      <c r="H44" s="278">
        <v>0</v>
      </c>
      <c r="I44" s="278">
        <v>0</v>
      </c>
      <c r="J44" s="278">
        <v>0</v>
      </c>
      <c r="K44" s="278">
        <v>0</v>
      </c>
      <c r="L44" s="278">
        <v>0</v>
      </c>
      <c r="M44" s="278">
        <v>0</v>
      </c>
      <c r="N44" s="37"/>
      <c r="O44"/>
      <c r="P44"/>
      <c r="Q44" s="22"/>
      <c r="Z44" s="38"/>
      <c r="AA44" s="38"/>
      <c r="AB44" s="38"/>
      <c r="AC44" s="38"/>
      <c r="AD44" s="38"/>
      <c r="AE44" s="38"/>
      <c r="AF44" s="38"/>
      <c r="AG44" s="38"/>
    </row>
    <row r="45" spans="1:33">
      <c r="A45" s="101" t="s">
        <v>644</v>
      </c>
      <c r="B45" s="278">
        <f t="shared" ref="B45" si="23">B41-SUM(B42:B44)</f>
        <v>2540.8999999999996</v>
      </c>
      <c r="C45" s="278">
        <f t="shared" ref="C45:M45" si="24">C41-SUM(C42:C44)</f>
        <v>1967.5499999999997</v>
      </c>
      <c r="D45" s="278">
        <f t="shared" si="24"/>
        <v>976.59999999999991</v>
      </c>
      <c r="E45" s="278">
        <f t="shared" si="24"/>
        <v>706.69</v>
      </c>
      <c r="F45" s="278">
        <f>F41-SUM(F42:F44)</f>
        <v>260.25999999999976</v>
      </c>
      <c r="G45" s="278">
        <f t="shared" si="24"/>
        <v>175.59000000000015</v>
      </c>
      <c r="H45" s="278">
        <f t="shared" si="24"/>
        <v>380.71000000000004</v>
      </c>
      <c r="I45" s="278">
        <f t="shared" si="24"/>
        <v>110.00999999999999</v>
      </c>
      <c r="J45" s="278">
        <f t="shared" si="24"/>
        <v>51.430000000000064</v>
      </c>
      <c r="K45" s="278">
        <f t="shared" si="24"/>
        <v>45.029999999999973</v>
      </c>
      <c r="L45" s="278">
        <f t="shared" si="24"/>
        <v>779.4</v>
      </c>
      <c r="M45" s="278">
        <f t="shared" si="24"/>
        <v>268.2</v>
      </c>
      <c r="N45" s="37" t="s">
        <v>575</v>
      </c>
      <c r="O45"/>
      <c r="P45"/>
      <c r="R45" s="22" t="s">
        <v>879</v>
      </c>
      <c r="Z45" s="31">
        <v>7303</v>
      </c>
      <c r="AA45" s="31">
        <v>6967</v>
      </c>
      <c r="AB45" s="31">
        <v>4708</v>
      </c>
      <c r="AC45" s="31">
        <v>3679</v>
      </c>
      <c r="AD45" s="31">
        <v>5287</v>
      </c>
      <c r="AE45" s="31">
        <v>5660</v>
      </c>
      <c r="AF45" s="31">
        <v>3925</v>
      </c>
      <c r="AG45" s="31">
        <v>5701</v>
      </c>
    </row>
    <row r="46" spans="1:33" ht="15">
      <c r="A46" s="9" t="s">
        <v>645</v>
      </c>
      <c r="B46" s="277">
        <f t="shared" ref="B46:M46" si="25">B50-B41</f>
        <v>6323.59</v>
      </c>
      <c r="C46" s="277">
        <f t="shared" si="25"/>
        <v>8158.4400000000005</v>
      </c>
      <c r="D46" s="277">
        <f t="shared" si="25"/>
        <v>9339.81</v>
      </c>
      <c r="E46" s="277">
        <f t="shared" si="25"/>
        <v>9784.6200000000008</v>
      </c>
      <c r="F46" s="277">
        <f t="shared" si="25"/>
        <v>11181.94</v>
      </c>
      <c r="G46" s="277">
        <f t="shared" si="25"/>
        <v>11267.689999999999</v>
      </c>
      <c r="H46" s="277">
        <f t="shared" si="25"/>
        <v>8144.6299999999992</v>
      </c>
      <c r="I46" s="277">
        <f t="shared" si="25"/>
        <v>6965.35</v>
      </c>
      <c r="J46" s="277">
        <f t="shared" si="25"/>
        <v>7500.4800000000005</v>
      </c>
      <c r="K46" s="277">
        <f t="shared" si="25"/>
        <v>7162.02</v>
      </c>
      <c r="L46" s="277">
        <f t="shared" si="25"/>
        <v>5553.5</v>
      </c>
      <c r="M46" s="277">
        <f t="shared" si="25"/>
        <v>5872.1</v>
      </c>
      <c r="N46" s="37" t="s">
        <v>575</v>
      </c>
      <c r="O46" t="s">
        <v>880</v>
      </c>
      <c r="P46"/>
      <c r="Z46" s="31"/>
      <c r="AA46" s="31"/>
      <c r="AB46" s="31"/>
      <c r="AC46" s="31"/>
      <c r="AD46" s="31"/>
      <c r="AE46" s="31"/>
      <c r="AF46" s="31"/>
      <c r="AG46" s="31"/>
    </row>
    <row r="47" spans="1:33">
      <c r="A47" s="26" t="s">
        <v>646</v>
      </c>
      <c r="B47" s="278">
        <v>2947.58</v>
      </c>
      <c r="C47" s="278">
        <v>4197.33</v>
      </c>
      <c r="D47" s="278">
        <v>5804.52</v>
      </c>
      <c r="E47" s="278">
        <v>7114.46</v>
      </c>
      <c r="F47" s="278">
        <v>8955.43</v>
      </c>
      <c r="G47" s="278">
        <v>9002.52</v>
      </c>
      <c r="H47" s="278">
        <v>6493.63</v>
      </c>
      <c r="I47" s="278">
        <v>5797.21</v>
      </c>
      <c r="J47" s="278">
        <v>6280.49</v>
      </c>
      <c r="K47" s="278">
        <v>5982.49</v>
      </c>
      <c r="L47" s="278">
        <v>4671.1000000000004</v>
      </c>
      <c r="M47" s="278">
        <v>5063.7</v>
      </c>
      <c r="N47" s="37" t="s">
        <v>575</v>
      </c>
      <c r="O47" t="s">
        <v>881</v>
      </c>
      <c r="P47"/>
      <c r="Z47" s="24">
        <f t="shared" ref="Z47:AG47" si="26">Z43-Z45</f>
        <v>18829</v>
      </c>
      <c r="AA47" s="24">
        <f t="shared" si="26"/>
        <v>19275</v>
      </c>
      <c r="AB47" s="24">
        <f t="shared" si="26"/>
        <v>23169</v>
      </c>
      <c r="AC47" s="24">
        <f t="shared" si="26"/>
        <v>23618</v>
      </c>
      <c r="AD47" s="24">
        <f t="shared" si="26"/>
        <v>24128</v>
      </c>
      <c r="AE47" s="24">
        <f t="shared" si="26"/>
        <v>22901</v>
      </c>
      <c r="AF47" s="24">
        <f t="shared" si="26"/>
        <v>18095</v>
      </c>
      <c r="AG47" s="24">
        <f t="shared" si="26"/>
        <v>13591</v>
      </c>
    </row>
    <row r="48" spans="1:33" s="9" customFormat="1" ht="15">
      <c r="A48" s="26" t="s">
        <v>647</v>
      </c>
      <c r="B48" s="278">
        <v>154.27000000000001</v>
      </c>
      <c r="C48" s="278">
        <v>158.83000000000001</v>
      </c>
      <c r="D48" s="278">
        <v>163.51</v>
      </c>
      <c r="E48" s="278">
        <v>122.84</v>
      </c>
      <c r="F48" s="278">
        <v>0</v>
      </c>
      <c r="G48" s="278">
        <v>0</v>
      </c>
      <c r="H48" s="278">
        <v>0</v>
      </c>
      <c r="I48" s="278">
        <v>0</v>
      </c>
      <c r="J48" s="278">
        <v>0</v>
      </c>
      <c r="K48" s="278">
        <v>0</v>
      </c>
      <c r="L48" s="278">
        <v>0</v>
      </c>
      <c r="M48" s="278">
        <v>0</v>
      </c>
      <c r="N48" s="37"/>
      <c r="O48"/>
      <c r="P48"/>
      <c r="Q48" s="22" t="s">
        <v>862</v>
      </c>
      <c r="R48" s="9" t="s">
        <v>882</v>
      </c>
      <c r="Z48" s="38">
        <f>61491-Z43</f>
        <v>35359</v>
      </c>
      <c r="AA48" s="38">
        <f>63457-AA43</f>
        <v>37215</v>
      </c>
      <c r="AB48" s="38">
        <f>67855-AB43</f>
        <v>39978</v>
      </c>
      <c r="AC48" s="38">
        <v>36721</v>
      </c>
      <c r="AD48" s="38">
        <v>41973</v>
      </c>
      <c r="AE48" s="38">
        <f>8415+16529+10956+3583</f>
        <v>39483</v>
      </c>
      <c r="AF48" s="38">
        <f>4505+15932+7584+2654</f>
        <v>30675</v>
      </c>
      <c r="AG48" s="38">
        <f>5652+16195+7420+2179</f>
        <v>31446</v>
      </c>
    </row>
    <row r="49" spans="1:33">
      <c r="A49" s="101" t="s">
        <v>648</v>
      </c>
      <c r="B49" s="278">
        <f t="shared" ref="B49" si="27">B46-SUM(B47:B48)</f>
        <v>3221.7400000000002</v>
      </c>
      <c r="C49" s="278">
        <f t="shared" ref="C49:M49" si="28">C46-SUM(C47:C48)</f>
        <v>3802.2800000000007</v>
      </c>
      <c r="D49" s="278">
        <f t="shared" si="28"/>
        <v>3371.7799999999988</v>
      </c>
      <c r="E49" s="278">
        <f t="shared" si="28"/>
        <v>2547.3200000000006</v>
      </c>
      <c r="F49" s="278">
        <f t="shared" si="28"/>
        <v>2226.5100000000002</v>
      </c>
      <c r="G49" s="278">
        <f t="shared" si="28"/>
        <v>2265.1699999999983</v>
      </c>
      <c r="H49" s="278">
        <f t="shared" si="28"/>
        <v>1650.9999999999991</v>
      </c>
      <c r="I49" s="278">
        <f t="shared" si="28"/>
        <v>1168.1400000000003</v>
      </c>
      <c r="J49" s="278">
        <f t="shared" si="28"/>
        <v>1219.9900000000007</v>
      </c>
      <c r="K49" s="278">
        <f>K46-SUM(K47:K48)</f>
        <v>1179.5300000000007</v>
      </c>
      <c r="L49" s="278">
        <f t="shared" si="28"/>
        <v>882.39999999999964</v>
      </c>
      <c r="M49" s="278">
        <f t="shared" si="28"/>
        <v>808.40000000000055</v>
      </c>
      <c r="N49" s="37" t="s">
        <v>575</v>
      </c>
      <c r="O49" t="s">
        <v>883</v>
      </c>
      <c r="P49"/>
      <c r="R49" s="22" t="s">
        <v>884</v>
      </c>
      <c r="Z49" s="27">
        <v>22818</v>
      </c>
      <c r="AA49" s="27">
        <v>25169</v>
      </c>
      <c r="AB49" s="27">
        <v>27784</v>
      </c>
      <c r="AC49" s="27">
        <v>26719</v>
      </c>
      <c r="AD49" s="27">
        <v>27752</v>
      </c>
      <c r="AE49" s="27">
        <v>24944</v>
      </c>
      <c r="AF49" s="27">
        <v>20437</v>
      </c>
      <c r="AG49" s="27">
        <v>21847</v>
      </c>
    </row>
    <row r="50" spans="1:33" ht="15">
      <c r="A50" s="9" t="s">
        <v>48</v>
      </c>
      <c r="B50" s="277">
        <v>12532.34</v>
      </c>
      <c r="C50" s="277">
        <v>13743.93</v>
      </c>
      <c r="D50" s="277">
        <v>12211.5</v>
      </c>
      <c r="E50" s="277">
        <v>11835.78</v>
      </c>
      <c r="F50" s="277">
        <v>13325.68</v>
      </c>
      <c r="G50" s="277">
        <v>13883.22</v>
      </c>
      <c r="H50" s="277">
        <v>10758.9</v>
      </c>
      <c r="I50" s="277">
        <v>8150.21</v>
      </c>
      <c r="J50" s="277">
        <v>8469.44</v>
      </c>
      <c r="K50" s="277">
        <v>7671.85</v>
      </c>
      <c r="L50" s="277">
        <v>6645.8</v>
      </c>
      <c r="M50" s="277">
        <v>6361</v>
      </c>
      <c r="N50" s="37" t="s">
        <v>575</v>
      </c>
      <c r="O50" t="s">
        <v>48</v>
      </c>
      <c r="P50"/>
      <c r="Z50" s="27"/>
      <c r="AA50" s="27"/>
      <c r="AB50" s="27"/>
      <c r="AC50" s="27"/>
      <c r="AD50" s="27"/>
      <c r="AE50" s="27"/>
      <c r="AF50" s="27"/>
      <c r="AG50" s="27"/>
    </row>
    <row r="51" spans="1:33">
      <c r="B51" s="364"/>
      <c r="C51" s="364"/>
      <c r="D51" s="364"/>
      <c r="E51" s="364"/>
      <c r="F51" s="364"/>
      <c r="G51" s="364"/>
      <c r="H51" s="364"/>
      <c r="I51" s="364"/>
      <c r="J51" s="364"/>
      <c r="K51" s="364"/>
      <c r="L51" s="364"/>
      <c r="M51" s="364"/>
      <c r="N51" s="37" t="s">
        <v>575</v>
      </c>
      <c r="O51"/>
      <c r="P51"/>
      <c r="Z51" s="24">
        <f t="shared" ref="Z51:AG51" si="29">Z48-Z49</f>
        <v>12541</v>
      </c>
      <c r="AA51" s="24">
        <f t="shared" si="29"/>
        <v>12046</v>
      </c>
      <c r="AB51" s="24">
        <f t="shared" si="29"/>
        <v>12194</v>
      </c>
      <c r="AC51" s="24">
        <f t="shared" si="29"/>
        <v>10002</v>
      </c>
      <c r="AD51" s="24">
        <f t="shared" si="29"/>
        <v>14221</v>
      </c>
      <c r="AE51" s="24">
        <f t="shared" si="29"/>
        <v>14539</v>
      </c>
      <c r="AF51" s="24">
        <f t="shared" si="29"/>
        <v>10238</v>
      </c>
      <c r="AG51" s="24">
        <f t="shared" si="29"/>
        <v>9599</v>
      </c>
    </row>
    <row r="52" spans="1:33" s="9" customFormat="1" ht="15">
      <c r="A52" s="22"/>
      <c r="B52" s="364"/>
      <c r="C52" s="364"/>
      <c r="D52" s="364"/>
      <c r="E52" s="364"/>
      <c r="F52" s="364"/>
      <c r="G52" s="364"/>
      <c r="H52" s="364"/>
      <c r="I52" s="364"/>
      <c r="J52" s="364"/>
      <c r="K52" s="364"/>
      <c r="L52" s="364"/>
      <c r="M52" s="364"/>
      <c r="N52" s="37" t="s">
        <v>575</v>
      </c>
      <c r="O52"/>
      <c r="P52"/>
      <c r="Z52" s="35">
        <f>+Z48+Z43</f>
        <v>61491</v>
      </c>
      <c r="AA52" s="35">
        <f>+AA48+AA43</f>
        <v>63457</v>
      </c>
      <c r="AB52" s="35">
        <f>+AB48+AB43</f>
        <v>67855</v>
      </c>
      <c r="AC52" s="35">
        <f>AC43+AC48</f>
        <v>64018</v>
      </c>
      <c r="AD52" s="35">
        <f>AD48+AD43</f>
        <v>71388</v>
      </c>
      <c r="AE52" s="35">
        <f>AE48+AE43</f>
        <v>68044</v>
      </c>
      <c r="AF52" s="35">
        <f>AF48+AF43</f>
        <v>52695</v>
      </c>
      <c r="AG52" s="35">
        <f>AG48+AG43</f>
        <v>50738</v>
      </c>
    </row>
    <row r="53" spans="1:33" ht="15">
      <c r="A53" s="39" t="s">
        <v>650</v>
      </c>
      <c r="B53" s="367">
        <v>121.3</v>
      </c>
      <c r="C53" s="367">
        <v>139.87</v>
      </c>
      <c r="D53" s="367">
        <v>179.86</v>
      </c>
      <c r="E53" s="367">
        <v>104.55</v>
      </c>
      <c r="F53" s="367">
        <v>84.31</v>
      </c>
      <c r="G53" s="367">
        <v>101.42</v>
      </c>
      <c r="H53" s="367">
        <v>113.82</v>
      </c>
      <c r="I53" s="367">
        <v>185.53</v>
      </c>
      <c r="J53" s="367">
        <v>301.13</v>
      </c>
      <c r="K53" s="367">
        <v>424.28</v>
      </c>
      <c r="L53" s="367">
        <v>458.6</v>
      </c>
      <c r="M53" s="367">
        <v>586.4</v>
      </c>
      <c r="N53" s="37" t="s">
        <v>575</v>
      </c>
      <c r="O53" t="s">
        <v>650</v>
      </c>
      <c r="P53"/>
    </row>
    <row r="54" spans="1:33">
      <c r="B54" s="364"/>
      <c r="C54" s="364"/>
      <c r="D54" s="364"/>
      <c r="E54" s="364"/>
      <c r="F54" s="364"/>
      <c r="G54" s="364"/>
      <c r="H54" s="364"/>
      <c r="I54" s="364"/>
      <c r="J54" s="364"/>
      <c r="K54" s="364"/>
      <c r="L54" s="364"/>
      <c r="M54" s="364"/>
      <c r="N54" s="37" t="s">
        <v>575</v>
      </c>
      <c r="O54"/>
      <c r="P54"/>
    </row>
    <row r="55" spans="1:33" s="9" customFormat="1" ht="15">
      <c r="A55" s="9" t="s">
        <v>651</v>
      </c>
      <c r="B55" s="277">
        <f>B37-B50-B53</f>
        <v>26580.660000000003</v>
      </c>
      <c r="C55" s="277">
        <f t="shared" ref="C55:M55" si="30">C37-C50-C53</f>
        <v>24100.500000000004</v>
      </c>
      <c r="D55" s="277">
        <f t="shared" si="30"/>
        <v>20816.419999999998</v>
      </c>
      <c r="E55" s="277">
        <f>E37-E50-E53</f>
        <v>17994.850000000002</v>
      </c>
      <c r="F55" s="277">
        <f t="shared" si="30"/>
        <v>15949.519999999999</v>
      </c>
      <c r="G55" s="277">
        <f t="shared" si="30"/>
        <v>14581.54</v>
      </c>
      <c r="H55" s="277">
        <f t="shared" si="30"/>
        <v>7872.3099999999995</v>
      </c>
      <c r="I55" s="277">
        <f t="shared" si="30"/>
        <v>7026.0400000000009</v>
      </c>
      <c r="J55" s="277">
        <f>J37-J50-J53</f>
        <v>5648.94</v>
      </c>
      <c r="K55" s="277">
        <f>K37-K50-K53</f>
        <v>4827.0199999999995</v>
      </c>
      <c r="L55" s="277">
        <f t="shared" si="30"/>
        <v>4168.5999999999995</v>
      </c>
      <c r="M55" s="277">
        <f t="shared" si="30"/>
        <v>3414.6</v>
      </c>
      <c r="N55" s="37" t="s">
        <v>575</v>
      </c>
      <c r="O55"/>
      <c r="P55"/>
      <c r="Q55" s="22" t="s">
        <v>862</v>
      </c>
      <c r="R55" s="9" t="s">
        <v>885</v>
      </c>
    </row>
    <row r="56" spans="1:33" ht="15">
      <c r="A56" s="9"/>
      <c r="B56" s="277"/>
      <c r="C56" s="277"/>
      <c r="D56" s="277"/>
      <c r="E56" s="277"/>
      <c r="F56" s="277"/>
      <c r="G56" s="277"/>
      <c r="H56" s="277"/>
      <c r="I56" s="277"/>
      <c r="J56" s="277"/>
      <c r="K56" s="277"/>
      <c r="L56" s="277"/>
      <c r="M56" s="277"/>
      <c r="N56" s="37"/>
      <c r="O56"/>
      <c r="P56"/>
    </row>
    <row r="57" spans="1:33" ht="15">
      <c r="A57" s="50" t="s">
        <v>886</v>
      </c>
      <c r="B57" s="277"/>
      <c r="C57" s="277"/>
      <c r="D57" s="277"/>
      <c r="E57" s="277"/>
      <c r="F57" s="277"/>
      <c r="G57" s="277"/>
      <c r="H57" s="277"/>
      <c r="I57" s="277"/>
      <c r="J57" s="277"/>
      <c r="K57" s="277"/>
      <c r="L57" s="277"/>
      <c r="M57" s="277"/>
      <c r="N57" s="37"/>
      <c r="O57"/>
      <c r="P57"/>
    </row>
    <row r="58" spans="1:33" ht="15">
      <c r="A58" s="9" t="s">
        <v>130</v>
      </c>
      <c r="B58" s="277">
        <v>5179.74</v>
      </c>
      <c r="C58" s="277">
        <v>3265.67</v>
      </c>
      <c r="D58" s="277">
        <v>2532.77</v>
      </c>
      <c r="E58" s="277">
        <v>4190.82</v>
      </c>
      <c r="F58" s="277">
        <v>1482.34</v>
      </c>
      <c r="G58" s="277">
        <v>1691.75</v>
      </c>
      <c r="H58" s="277">
        <v>996.86</v>
      </c>
      <c r="I58" s="277">
        <v>507.8</v>
      </c>
      <c r="J58" s="277">
        <v>-419.65</v>
      </c>
      <c r="K58" s="277">
        <v>-788.49</v>
      </c>
      <c r="L58" s="277">
        <v>-807.71400000000006</v>
      </c>
      <c r="M58" s="277">
        <v>-424.64800000000002</v>
      </c>
      <c r="N58" s="37"/>
      <c r="O58"/>
      <c r="P58"/>
    </row>
    <row r="59" spans="1:33">
      <c r="A59" s="26" t="s">
        <v>65</v>
      </c>
      <c r="B59" s="278">
        <f t="shared" ref="B59:M59" si="31">B11</f>
        <v>3961.29</v>
      </c>
      <c r="C59" s="278">
        <f t="shared" si="31"/>
        <v>4648.5</v>
      </c>
      <c r="D59" s="278">
        <f t="shared" si="31"/>
        <v>4456.55</v>
      </c>
      <c r="E59" s="278">
        <f t="shared" si="31"/>
        <v>2467.5500000000002</v>
      </c>
      <c r="F59" s="278">
        <f t="shared" si="31"/>
        <v>1842.12</v>
      </c>
      <c r="G59" s="278">
        <f t="shared" si="31"/>
        <v>1717.51</v>
      </c>
      <c r="H59" s="278">
        <f t="shared" si="31"/>
        <v>771.75</v>
      </c>
      <c r="I59" s="278">
        <f t="shared" si="31"/>
        <v>913.09</v>
      </c>
      <c r="J59" s="278">
        <f t="shared" si="31"/>
        <v>819.2</v>
      </c>
      <c r="K59" s="278">
        <f t="shared" si="31"/>
        <v>628.69000000000005</v>
      </c>
      <c r="L59" s="278">
        <f t="shared" si="31"/>
        <v>504.9</v>
      </c>
      <c r="M59" s="278">
        <f t="shared" si="31"/>
        <v>657.3</v>
      </c>
      <c r="N59" s="37"/>
      <c r="O59"/>
      <c r="P59"/>
    </row>
    <row r="60" spans="1:33">
      <c r="A60" s="101" t="s">
        <v>57</v>
      </c>
      <c r="B60" s="278">
        <v>110.16</v>
      </c>
      <c r="C60" s="278">
        <v>87.08</v>
      </c>
      <c r="D60" s="278">
        <v>85.95</v>
      </c>
      <c r="E60" s="278">
        <v>94.55</v>
      </c>
      <c r="F60" s="278">
        <v>92.2</v>
      </c>
      <c r="G60" s="278">
        <v>91.18</v>
      </c>
      <c r="H60" s="278">
        <v>66.319999999999993</v>
      </c>
      <c r="I60" s="278">
        <v>50.22</v>
      </c>
      <c r="J60" s="278">
        <v>43.67</v>
      </c>
      <c r="K60" s="278">
        <v>38.54</v>
      </c>
      <c r="L60" s="278">
        <v>30.35</v>
      </c>
      <c r="M60" s="278">
        <v>28.08</v>
      </c>
      <c r="N60" s="37"/>
      <c r="O60"/>
      <c r="P60"/>
    </row>
    <row r="61" spans="1:33">
      <c r="A61" s="101" t="s">
        <v>887</v>
      </c>
      <c r="B61" s="278">
        <v>571.54</v>
      </c>
      <c r="C61" s="278">
        <v>-2321.36</v>
      </c>
      <c r="D61" s="278">
        <v>-1650.9</v>
      </c>
      <c r="E61" s="278">
        <v>1319.1</v>
      </c>
      <c r="F61" s="278">
        <v>-827.07</v>
      </c>
      <c r="G61" s="278">
        <v>-173.37</v>
      </c>
      <c r="H61" s="278">
        <v>-187.36</v>
      </c>
      <c r="I61" s="278">
        <v>-685.06</v>
      </c>
      <c r="J61" s="278">
        <v>-1313.57</v>
      </c>
      <c r="K61" s="278">
        <v>-1582.61</v>
      </c>
      <c r="L61" s="278">
        <v>-1485.3</v>
      </c>
      <c r="M61" s="278">
        <v>-751.7</v>
      </c>
      <c r="N61" s="37"/>
      <c r="O61"/>
      <c r="P61"/>
    </row>
    <row r="62" spans="1:33">
      <c r="A62" s="101" t="s">
        <v>888</v>
      </c>
      <c r="B62" s="278">
        <f>B58-B59-B60-B61</f>
        <v>536.74999999999977</v>
      </c>
      <c r="C62" s="278">
        <f t="shared" ref="C62" si="32">C58-C59-C60-C61</f>
        <v>851.45000000000027</v>
      </c>
      <c r="D62" s="278">
        <f>D58-D59-D60-D61</f>
        <v>-358.83000000000015</v>
      </c>
      <c r="E62" s="278">
        <f t="shared" ref="E62:M62" si="33">E58-E59-E60-E61</f>
        <v>309.61999999999966</v>
      </c>
      <c r="F62" s="278">
        <f t="shared" si="33"/>
        <v>375.09000000000009</v>
      </c>
      <c r="G62" s="278">
        <f t="shared" si="33"/>
        <v>56.430000000000007</v>
      </c>
      <c r="H62" s="278">
        <f t="shared" si="33"/>
        <v>346.15000000000003</v>
      </c>
      <c r="I62" s="278">
        <f t="shared" si="33"/>
        <v>229.54999999999995</v>
      </c>
      <c r="J62" s="278">
        <f t="shared" si="33"/>
        <v>31.049999999999955</v>
      </c>
      <c r="K62" s="278">
        <f t="shared" si="33"/>
        <v>126.88999999999987</v>
      </c>
      <c r="L62" s="278">
        <f t="shared" si="33"/>
        <v>142.33600000000001</v>
      </c>
      <c r="M62" s="278">
        <f t="shared" si="33"/>
        <v>-358.32799999999975</v>
      </c>
      <c r="N62" s="37"/>
      <c r="O62"/>
      <c r="P62"/>
    </row>
    <row r="63" spans="1:33" ht="15">
      <c r="A63" s="9" t="s">
        <v>131</v>
      </c>
      <c r="B63" s="277">
        <v>-176.98</v>
      </c>
      <c r="C63" s="277">
        <v>-128.30000000000001</v>
      </c>
      <c r="D63" s="277">
        <v>-105.09</v>
      </c>
      <c r="E63" s="277">
        <v>-280.2</v>
      </c>
      <c r="F63" s="277">
        <v>19.600000000000001</v>
      </c>
      <c r="G63" s="277">
        <v>-593.95000000000005</v>
      </c>
      <c r="H63" s="277">
        <v>-869.82</v>
      </c>
      <c r="I63" s="277">
        <v>-85.84</v>
      </c>
      <c r="J63" s="277">
        <v>-98.39</v>
      </c>
      <c r="K63" s="277">
        <v>438.36</v>
      </c>
      <c r="L63" s="277">
        <v>689.24900000000002</v>
      </c>
      <c r="M63" s="277">
        <v>245.291</v>
      </c>
      <c r="N63" s="37"/>
      <c r="O63"/>
      <c r="P63"/>
    </row>
    <row r="64" spans="1:33">
      <c r="A64" s="101" t="s">
        <v>132</v>
      </c>
      <c r="B64" s="278">
        <v>-99.8</v>
      </c>
      <c r="C64" s="278">
        <v>-57.21</v>
      </c>
      <c r="D64" s="278">
        <v>-65.17</v>
      </c>
      <c r="E64" s="278">
        <v>-73</v>
      </c>
      <c r="F64" s="278">
        <v>-89</v>
      </c>
      <c r="G64" s="278">
        <v>-130</v>
      </c>
      <c r="H64" s="278">
        <v>-112</v>
      </c>
      <c r="I64" s="278">
        <v>-76</v>
      </c>
      <c r="J64" s="278">
        <v>-91</v>
      </c>
      <c r="K64" s="278">
        <v>-23</v>
      </c>
      <c r="L64" s="278">
        <v>-8.1300000000000008</v>
      </c>
      <c r="M64" s="278">
        <v>0</v>
      </c>
      <c r="N64" s="37"/>
      <c r="O64"/>
      <c r="P64"/>
    </row>
    <row r="65" spans="1:16">
      <c r="A65" s="101" t="s">
        <v>133</v>
      </c>
      <c r="B65" s="278">
        <v>-204.37</v>
      </c>
      <c r="C65" s="278">
        <v>-515.09</v>
      </c>
      <c r="D65" s="278">
        <v>-473.05</v>
      </c>
      <c r="E65" s="278">
        <v>-460.62</v>
      </c>
      <c r="F65" s="278">
        <v>-368.88</v>
      </c>
      <c r="G65" s="278">
        <v>-879.47</v>
      </c>
      <c r="H65" s="278">
        <v>-1168.8</v>
      </c>
      <c r="I65" s="278">
        <v>-441.36</v>
      </c>
      <c r="J65" s="278">
        <v>-316.69</v>
      </c>
      <c r="K65" s="278">
        <v>337.23</v>
      </c>
      <c r="L65" s="278">
        <v>484.58</v>
      </c>
      <c r="M65" s="278">
        <v>-103.7</v>
      </c>
      <c r="N65" s="37"/>
      <c r="O65"/>
      <c r="P65"/>
    </row>
    <row r="66" spans="1:16">
      <c r="A66" s="101" t="s">
        <v>889</v>
      </c>
      <c r="B66" s="278">
        <f>B63-B64-B65</f>
        <v>127.19000000000001</v>
      </c>
      <c r="C66" s="278">
        <f>C63-C64-C65</f>
        <v>444</v>
      </c>
      <c r="D66" s="278">
        <f>D63-D64-D65</f>
        <v>433.13</v>
      </c>
      <c r="E66" s="278">
        <f t="shared" ref="E66" si="34">E63-E64-E65</f>
        <v>253.42000000000002</v>
      </c>
      <c r="F66" s="278">
        <f t="shared" ref="F66:M66" si="35">F63-F64-F65</f>
        <v>477.48</v>
      </c>
      <c r="G66" s="278">
        <f t="shared" si="35"/>
        <v>415.52</v>
      </c>
      <c r="H66" s="278">
        <f t="shared" si="35"/>
        <v>410.9799999999999</v>
      </c>
      <c r="I66" s="278">
        <f t="shared" si="35"/>
        <v>431.52</v>
      </c>
      <c r="J66" s="278">
        <f t="shared" si="35"/>
        <v>309.3</v>
      </c>
      <c r="K66" s="278">
        <f t="shared" si="35"/>
        <v>124.13</v>
      </c>
      <c r="L66" s="278">
        <f t="shared" si="35"/>
        <v>212.79900000000004</v>
      </c>
      <c r="M66" s="278">
        <f t="shared" si="35"/>
        <v>348.99099999999999</v>
      </c>
      <c r="N66" s="37"/>
      <c r="O66"/>
      <c r="P66"/>
    </row>
    <row r="67" spans="1:16" ht="15">
      <c r="A67" s="9" t="s">
        <v>134</v>
      </c>
      <c r="B67" s="277">
        <v>-3247.59</v>
      </c>
      <c r="C67" s="277">
        <v>-1277.28</v>
      </c>
      <c r="D67" s="277">
        <v>-2404.73</v>
      </c>
      <c r="E67" s="277">
        <v>-2446.5700000000002</v>
      </c>
      <c r="F67" s="277">
        <v>-1629.22</v>
      </c>
      <c r="G67" s="277">
        <v>-2195.9</v>
      </c>
      <c r="H67" s="277">
        <v>1194.3</v>
      </c>
      <c r="I67" s="277">
        <v>-250.88</v>
      </c>
      <c r="J67" s="277">
        <v>394.67</v>
      </c>
      <c r="K67" s="277">
        <v>661.44</v>
      </c>
      <c r="L67" s="277">
        <v>-221.773</v>
      </c>
      <c r="M67" s="277">
        <v>326.49599999999998</v>
      </c>
      <c r="N67" s="37"/>
      <c r="O67"/>
      <c r="P67"/>
    </row>
    <row r="68" spans="1:16">
      <c r="A68" s="101" t="s">
        <v>890</v>
      </c>
      <c r="B68" s="278">
        <v>28.71</v>
      </c>
      <c r="C68" s="278">
        <v>409.07</v>
      </c>
      <c r="D68" s="278">
        <v>276.08</v>
      </c>
      <c r="E68" s="278">
        <v>92.69</v>
      </c>
      <c r="F68" s="278">
        <v>255.3</v>
      </c>
      <c r="G68" s="278">
        <v>351.02</v>
      </c>
      <c r="H68" s="278">
        <v>2580.86</v>
      </c>
      <c r="I68" s="278">
        <v>643.65</v>
      </c>
      <c r="J68" s="278">
        <v>1614.56</v>
      </c>
      <c r="K68" s="278">
        <v>1408.17</v>
      </c>
      <c r="L68" s="278">
        <v>842.6</v>
      </c>
      <c r="M68" s="278">
        <v>889.4</v>
      </c>
      <c r="N68" s="37"/>
      <c r="O68"/>
      <c r="P68"/>
    </row>
    <row r="69" spans="1:16">
      <c r="A69" s="101" t="s">
        <v>891</v>
      </c>
      <c r="B69" s="278">
        <v>-1226.25</v>
      </c>
      <c r="C69" s="278">
        <v>-623.08000000000004</v>
      </c>
      <c r="D69" s="278">
        <v>-1355.06</v>
      </c>
      <c r="E69" s="278">
        <v>-2386.83</v>
      </c>
      <c r="F69" s="278">
        <v>-1290.74</v>
      </c>
      <c r="G69" s="278">
        <v>-2111.34</v>
      </c>
      <c r="H69" s="278">
        <v>-1223.29</v>
      </c>
      <c r="I69" s="278">
        <v>-734.02</v>
      </c>
      <c r="J69" s="278">
        <v>-1029.1400000000001</v>
      </c>
      <c r="K69" s="278">
        <v>-625.59</v>
      </c>
      <c r="L69" s="278">
        <v>-906.2</v>
      </c>
      <c r="M69" s="278">
        <v>-500</v>
      </c>
      <c r="N69" s="37"/>
      <c r="O69"/>
      <c r="P69"/>
    </row>
    <row r="70" spans="1:16">
      <c r="A70" s="101" t="s">
        <v>892</v>
      </c>
      <c r="B70" s="278">
        <v>0</v>
      </c>
      <c r="C70" s="278">
        <v>0</v>
      </c>
      <c r="D70" s="278">
        <v>0</v>
      </c>
      <c r="E70" s="278">
        <v>0</v>
      </c>
      <c r="F70" s="278">
        <v>0</v>
      </c>
      <c r="G70" s="278">
        <v>0</v>
      </c>
      <c r="H70" s="278">
        <v>0</v>
      </c>
      <c r="I70" s="278">
        <v>0</v>
      </c>
      <c r="J70" s="278">
        <v>0</v>
      </c>
      <c r="K70" s="278">
        <v>0</v>
      </c>
      <c r="L70" s="278">
        <v>0</v>
      </c>
      <c r="M70" s="278">
        <v>0</v>
      </c>
      <c r="N70" s="37"/>
      <c r="O70"/>
      <c r="P70"/>
    </row>
    <row r="71" spans="1:16">
      <c r="A71" s="101" t="s">
        <v>893</v>
      </c>
      <c r="B71" s="278">
        <v>0</v>
      </c>
      <c r="C71" s="278">
        <v>0</v>
      </c>
      <c r="D71" s="278">
        <v>0</v>
      </c>
      <c r="E71" s="278">
        <v>0</v>
      </c>
      <c r="F71" s="278">
        <v>0</v>
      </c>
      <c r="G71" s="278">
        <v>0</v>
      </c>
      <c r="H71" s="278">
        <v>0</v>
      </c>
      <c r="I71" s="278">
        <v>0</v>
      </c>
      <c r="J71" s="278">
        <v>0</v>
      </c>
      <c r="K71" s="278">
        <v>0</v>
      </c>
      <c r="L71" s="278">
        <v>0</v>
      </c>
      <c r="M71" s="278">
        <v>0</v>
      </c>
      <c r="N71" s="37"/>
      <c r="O71"/>
      <c r="P71"/>
    </row>
    <row r="72" spans="1:16">
      <c r="A72" s="101" t="s">
        <v>135</v>
      </c>
      <c r="B72" s="278">
        <v>-430.56</v>
      </c>
      <c r="C72" s="278">
        <v>-438.04</v>
      </c>
      <c r="D72" s="278">
        <v>-309.77999999999997</v>
      </c>
      <c r="E72" s="278">
        <v>-195.04</v>
      </c>
      <c r="F72" s="278">
        <v>-51.45</v>
      </c>
      <c r="G72" s="278">
        <v>-49.16</v>
      </c>
      <c r="H72" s="361">
        <v>-37.61</v>
      </c>
      <c r="I72" s="278">
        <v>-35.32</v>
      </c>
      <c r="J72" s="361">
        <v>-33.19</v>
      </c>
      <c r="K72" s="278">
        <v>-32.78</v>
      </c>
      <c r="L72" s="278">
        <v>-30.911999999999999</v>
      </c>
      <c r="M72" s="278">
        <v>-30.393999999999998</v>
      </c>
      <c r="N72" s="34" t="s">
        <v>894</v>
      </c>
      <c r="O72" t="s">
        <v>895</v>
      </c>
      <c r="P72"/>
    </row>
    <row r="73" spans="1:16">
      <c r="A73" s="101" t="s">
        <v>633</v>
      </c>
      <c r="B73" s="278">
        <v>-1182.711</v>
      </c>
      <c r="C73" s="278">
        <v>-1039.309</v>
      </c>
      <c r="D73" s="278">
        <v>-1430.212</v>
      </c>
      <c r="E73" s="278">
        <v>-321.524</v>
      </c>
      <c r="F73" s="278">
        <v>-523.07399999999996</v>
      </c>
      <c r="G73" s="278">
        <v>-299.83300000000003</v>
      </c>
      <c r="H73" s="361">
        <v>-28.053999999999998</v>
      </c>
      <c r="I73" s="278">
        <v>-19.902000000000001</v>
      </c>
      <c r="J73" s="361">
        <v>-23.187999999999999</v>
      </c>
      <c r="K73" s="278">
        <v>-20.423999999999999</v>
      </c>
      <c r="L73" s="278">
        <v>-12.32</v>
      </c>
      <c r="M73" s="278">
        <v>-17.149000000000001</v>
      </c>
      <c r="N73" s="34" t="s">
        <v>894</v>
      </c>
      <c r="O73" t="str">
        <f>+A73</f>
        <v>Share buyback</v>
      </c>
      <c r="P73"/>
    </row>
    <row r="74" spans="1:16">
      <c r="A74" s="101" t="s">
        <v>889</v>
      </c>
      <c r="B74" s="278">
        <f t="shared" ref="B74" si="36">B67-B68-B69-B70-B71-B72-B73</f>
        <v>-436.77900000000022</v>
      </c>
      <c r="C74" s="278">
        <f t="shared" ref="C74:M74" si="37">C67-C68-C69-C70-C71-C72-C73</f>
        <v>414.07899999999995</v>
      </c>
      <c r="D74" s="278">
        <f t="shared" si="37"/>
        <v>414.24199999999996</v>
      </c>
      <c r="E74" s="278">
        <f t="shared" si="37"/>
        <v>364.13399999999967</v>
      </c>
      <c r="F74" s="278">
        <f t="shared" si="37"/>
        <v>-19.255999999999972</v>
      </c>
      <c r="G74" s="278">
        <f t="shared" si="37"/>
        <v>-86.586999999999932</v>
      </c>
      <c r="H74" s="278">
        <f t="shared" si="37"/>
        <v>-97.606000000000208</v>
      </c>
      <c r="I74" s="278">
        <f t="shared" si="37"/>
        <v>-105.288</v>
      </c>
      <c r="J74" s="278">
        <f t="shared" si="37"/>
        <v>-134.37199999999979</v>
      </c>
      <c r="K74" s="278">
        <f t="shared" si="37"/>
        <v>-67.935999999999979</v>
      </c>
      <c r="L74" s="278">
        <f t="shared" si="37"/>
        <v>-114.941</v>
      </c>
      <c r="M74" s="278">
        <f t="shared" si="37"/>
        <v>-15.360999999999997</v>
      </c>
      <c r="N74" s="37"/>
      <c r="O74"/>
      <c r="P74"/>
    </row>
    <row r="75" spans="1:16" ht="15">
      <c r="A75" s="9" t="s">
        <v>138</v>
      </c>
      <c r="B75" s="277">
        <v>0</v>
      </c>
      <c r="C75" s="277">
        <v>0</v>
      </c>
      <c r="D75" s="277">
        <v>0</v>
      </c>
      <c r="E75" s="277">
        <v>0</v>
      </c>
      <c r="F75" s="277">
        <v>0</v>
      </c>
      <c r="G75" s="277">
        <v>0</v>
      </c>
      <c r="H75" s="277">
        <v>0</v>
      </c>
      <c r="I75" s="277">
        <v>0</v>
      </c>
      <c r="J75" s="277">
        <v>0</v>
      </c>
      <c r="K75" s="277">
        <v>0</v>
      </c>
      <c r="L75" s="277">
        <v>0</v>
      </c>
      <c r="M75" s="277">
        <v>0</v>
      </c>
      <c r="N75" s="37"/>
      <c r="O75"/>
      <c r="P75"/>
    </row>
    <row r="76" spans="1:16" ht="15">
      <c r="A76" s="9" t="s">
        <v>652</v>
      </c>
      <c r="B76" s="277">
        <f>B58+B63+B67+B75</f>
        <v>1755.17</v>
      </c>
      <c r="C76" s="277">
        <f t="shared" ref="C76:M76" si="38">C58+C63+C67+C75</f>
        <v>1860.09</v>
      </c>
      <c r="D76" s="277">
        <f t="shared" si="38"/>
        <v>22.949999999999818</v>
      </c>
      <c r="E76" s="277">
        <f t="shared" si="38"/>
        <v>1464.0499999999997</v>
      </c>
      <c r="F76" s="277">
        <f t="shared" si="38"/>
        <v>-127.2800000000002</v>
      </c>
      <c r="G76" s="277">
        <f t="shared" si="38"/>
        <v>-1098.1000000000001</v>
      </c>
      <c r="H76" s="277">
        <f t="shared" si="38"/>
        <v>1321.34</v>
      </c>
      <c r="I76" s="277">
        <f t="shared" si="38"/>
        <v>171.08000000000004</v>
      </c>
      <c r="J76" s="277">
        <f t="shared" si="38"/>
        <v>-123.36999999999995</v>
      </c>
      <c r="K76" s="277">
        <f t="shared" si="38"/>
        <v>311.31000000000006</v>
      </c>
      <c r="L76" s="277">
        <f t="shared" si="38"/>
        <v>-340.23800000000006</v>
      </c>
      <c r="M76" s="277">
        <f t="shared" si="38"/>
        <v>147.13899999999995</v>
      </c>
      <c r="N76" s="37"/>
      <c r="O76"/>
      <c r="P76"/>
    </row>
    <row r="77" spans="1:16">
      <c r="M77" s="24"/>
      <c r="N77"/>
      <c r="O77" t="s">
        <v>896</v>
      </c>
      <c r="P77"/>
    </row>
    <row r="78" spans="1:16" ht="15">
      <c r="A78" s="50" t="s">
        <v>897</v>
      </c>
      <c r="B78" s="50"/>
      <c r="C78" s="50"/>
      <c r="D78" s="50"/>
      <c r="E78" s="1238" t="s">
        <v>660</v>
      </c>
      <c r="F78" s="1238"/>
      <c r="G78" s="1238"/>
      <c r="H78" s="1238" t="s">
        <v>898</v>
      </c>
      <c r="I78" s="1238"/>
      <c r="J78" s="50" t="s">
        <v>662</v>
      </c>
      <c r="K78" s="50" t="s">
        <v>663</v>
      </c>
      <c r="L78" s="50" t="s">
        <v>664</v>
      </c>
      <c r="M78" s="35"/>
      <c r="N78"/>
      <c r="O78"/>
      <c r="P78"/>
    </row>
    <row r="79" spans="1:16">
      <c r="A79" s="26" t="s">
        <v>899</v>
      </c>
      <c r="B79" s="710">
        <v>12284</v>
      </c>
      <c r="C79" s="40" t="s">
        <v>900</v>
      </c>
      <c r="D79" s="24"/>
      <c r="E79" s="1239"/>
      <c r="F79" s="1239"/>
      <c r="G79" s="1239"/>
      <c r="H79" s="1240"/>
      <c r="I79" s="1240"/>
      <c r="J79" s="66"/>
      <c r="K79" s="65"/>
      <c r="L79" s="65"/>
      <c r="M79" s="24"/>
      <c r="N79" s="40" t="s">
        <v>901</v>
      </c>
      <c r="O79"/>
      <c r="P79"/>
    </row>
    <row r="80" spans="1:16">
      <c r="A80" s="26" t="s">
        <v>902</v>
      </c>
      <c r="B80" s="710">
        <v>275830000</v>
      </c>
      <c r="C80" s="40" t="s">
        <v>903</v>
      </c>
      <c r="D80" s="24"/>
      <c r="E80" s="1239"/>
      <c r="F80" s="1239"/>
      <c r="G80" s="1239"/>
      <c r="H80" s="1240"/>
      <c r="I80" s="1240"/>
      <c r="J80" s="66"/>
      <c r="K80" s="65"/>
      <c r="L80" s="65"/>
      <c r="M80" s="24"/>
      <c r="N80" s="40" t="s">
        <v>901</v>
      </c>
      <c r="O80"/>
      <c r="P80"/>
    </row>
    <row r="81" spans="1:16">
      <c r="A81" s="26" t="s">
        <v>46</v>
      </c>
      <c r="B81" s="711">
        <v>0.997</v>
      </c>
      <c r="C81" s="40" t="s">
        <v>903</v>
      </c>
      <c r="D81" s="67"/>
      <c r="E81" s="1239"/>
      <c r="F81" s="1239"/>
      <c r="G81" s="1239"/>
      <c r="H81" s="1240"/>
      <c r="I81" s="1240"/>
      <c r="J81" s="66"/>
      <c r="K81" s="65"/>
      <c r="L81" s="65"/>
      <c r="M81" s="69"/>
      <c r="N81" s="40" t="s">
        <v>901</v>
      </c>
      <c r="O81"/>
      <c r="P81"/>
    </row>
    <row r="82" spans="1:16">
      <c r="A82" s="26" t="s">
        <v>50</v>
      </c>
      <c r="B82" s="711">
        <v>2.5999999999999999E-2</v>
      </c>
      <c r="C82" s="40" t="s">
        <v>903</v>
      </c>
      <c r="D82" s="68"/>
      <c r="E82" s="1239"/>
      <c r="F82" s="1239"/>
      <c r="G82" s="1239"/>
      <c r="H82" s="1240"/>
      <c r="I82" s="1240"/>
      <c r="J82" s="66"/>
      <c r="K82" s="65"/>
      <c r="L82" s="65"/>
      <c r="M82" s="69"/>
      <c r="N82" s="40" t="s">
        <v>901</v>
      </c>
      <c r="O82"/>
      <c r="P82"/>
    </row>
    <row r="83" spans="1:16">
      <c r="A83" s="26" t="s">
        <v>656</v>
      </c>
      <c r="B83" s="26"/>
      <c r="C83" s="40" t="s">
        <v>900</v>
      </c>
      <c r="D83" s="24"/>
      <c r="E83" s="1239"/>
      <c r="F83" s="1239"/>
      <c r="G83" s="1239"/>
      <c r="H83" s="1240"/>
      <c r="I83" s="1240"/>
      <c r="J83" s="66"/>
      <c r="K83" s="65"/>
      <c r="L83" s="65"/>
      <c r="M83" s="24"/>
      <c r="N83" s="40" t="s">
        <v>901</v>
      </c>
      <c r="O83"/>
      <c r="P83"/>
    </row>
    <row r="84" spans="1:16">
      <c r="A84" s="26" t="s">
        <v>904</v>
      </c>
      <c r="B84" s="711">
        <v>1.7999999999999999E-2</v>
      </c>
      <c r="C84" s="40" t="s">
        <v>903</v>
      </c>
      <c r="D84" s="24"/>
      <c r="E84" s="1239"/>
      <c r="F84" s="1239"/>
      <c r="G84" s="1239"/>
      <c r="H84" s="1240"/>
      <c r="I84" s="1240"/>
      <c r="J84" s="65"/>
      <c r="K84" s="65"/>
      <c r="L84" s="65"/>
      <c r="M84" s="24"/>
      <c r="N84" s="40" t="s">
        <v>901</v>
      </c>
      <c r="O84"/>
    </row>
    <row r="85" spans="1:16">
      <c r="A85" s="26" t="s">
        <v>658</v>
      </c>
      <c r="B85" s="710">
        <v>1366817</v>
      </c>
      <c r="C85" s="40" t="s">
        <v>905</v>
      </c>
      <c r="D85" s="24"/>
      <c r="E85" s="1239"/>
      <c r="F85" s="1239"/>
      <c r="G85" s="1239"/>
      <c r="H85" s="1240"/>
      <c r="I85" s="1240"/>
      <c r="J85" s="65"/>
      <c r="K85" s="65"/>
      <c r="L85" s="65"/>
      <c r="M85" s="24"/>
      <c r="N85" s="40" t="s">
        <v>901</v>
      </c>
    </row>
    <row r="86" spans="1:16" ht="15">
      <c r="B86" s="50">
        <f>B5</f>
        <v>2023</v>
      </c>
      <c r="C86" s="50">
        <f t="shared" ref="C86:D86" si="39">C5</f>
        <v>2022</v>
      </c>
      <c r="D86" s="50">
        <f t="shared" si="39"/>
        <v>2021</v>
      </c>
      <c r="E86" s="41"/>
      <c r="G86" s="41"/>
      <c r="H86" s="41"/>
      <c r="I86" s="41"/>
      <c r="J86" s="41"/>
      <c r="K86" s="41"/>
      <c r="L86" s="41"/>
      <c r="M86" s="41"/>
      <c r="N86"/>
    </row>
    <row r="87" spans="1:16">
      <c r="A87" s="26" t="s">
        <v>659</v>
      </c>
      <c r="E87" s="40" t="s">
        <v>905</v>
      </c>
      <c r="K87" s="22"/>
      <c r="L87" s="22"/>
      <c r="O87"/>
      <c r="P87"/>
    </row>
    <row r="88" spans="1:16" ht="15">
      <c r="A88" s="26" t="s">
        <v>71</v>
      </c>
      <c r="B88" s="64" t="s">
        <v>906</v>
      </c>
      <c r="C88" s="64" t="s">
        <v>907</v>
      </c>
      <c r="D88" s="64" t="s">
        <v>908</v>
      </c>
      <c r="E88" s="40" t="s">
        <v>905</v>
      </c>
      <c r="K88" s="22"/>
      <c r="L88" s="22"/>
      <c r="O88" s="50"/>
    </row>
    <row r="89" spans="1:16" ht="15">
      <c r="M89"/>
      <c r="N89" s="100"/>
      <c r="O89" s="50"/>
    </row>
    <row r="90" spans="1:16">
      <c r="J90" s="24"/>
      <c r="L90"/>
      <c r="M90"/>
      <c r="N90"/>
    </row>
    <row r="91" spans="1:16">
      <c r="A91" s="22" t="s">
        <v>909</v>
      </c>
      <c r="B91" s="22">
        <v>160.69999999999999</v>
      </c>
      <c r="C91" s="22">
        <v>184.1</v>
      </c>
      <c r="D91" s="22">
        <v>134.6</v>
      </c>
      <c r="E91" s="22">
        <v>107.1</v>
      </c>
      <c r="F91" s="22">
        <v>86.9</v>
      </c>
      <c r="G91" s="22">
        <v>72.7</v>
      </c>
      <c r="H91" s="22">
        <v>61.4</v>
      </c>
      <c r="I91" s="22">
        <v>55.5</v>
      </c>
      <c r="J91" s="41">
        <v>43.9</v>
      </c>
      <c r="K91" s="41">
        <v>40.700000000000003</v>
      </c>
      <c r="L91"/>
      <c r="M91"/>
      <c r="N91"/>
    </row>
    <row r="92" spans="1:16">
      <c r="J92" s="24"/>
      <c r="L92"/>
      <c r="M92"/>
      <c r="N92"/>
    </row>
    <row r="93" spans="1:16">
      <c r="J93" s="24"/>
      <c r="L93"/>
      <c r="M93"/>
      <c r="N93"/>
    </row>
    <row r="94" spans="1:16">
      <c r="J94" s="24"/>
      <c r="L94"/>
      <c r="M94"/>
      <c r="N94"/>
    </row>
    <row r="95" spans="1:16">
      <c r="J95" s="24"/>
      <c r="L95"/>
      <c r="M95"/>
      <c r="N95"/>
      <c r="O95"/>
    </row>
    <row r="96" spans="1:16">
      <c r="J96" s="24"/>
      <c r="L96"/>
      <c r="M96"/>
      <c r="N96"/>
    </row>
    <row r="97" spans="1:14">
      <c r="G97"/>
      <c r="M97"/>
      <c r="N97"/>
    </row>
    <row r="98" spans="1:14">
      <c r="A98"/>
      <c r="B98"/>
      <c r="C98"/>
      <c r="D98"/>
      <c r="E98"/>
      <c r="F98"/>
      <c r="G98"/>
    </row>
    <row r="99" spans="1:14">
      <c r="A99"/>
      <c r="B99"/>
      <c r="C99"/>
      <c r="D99"/>
      <c r="E99"/>
      <c r="F99"/>
      <c r="G99"/>
    </row>
  </sheetData>
  <mergeCells count="18">
    <mergeCell ref="E85:G85"/>
    <mergeCell ref="H79:I79"/>
    <mergeCell ref="H80:I80"/>
    <mergeCell ref="H81:I81"/>
    <mergeCell ref="H82:I82"/>
    <mergeCell ref="H83:I83"/>
    <mergeCell ref="H84:I84"/>
    <mergeCell ref="H85:I85"/>
    <mergeCell ref="E79:G79"/>
    <mergeCell ref="E80:G80"/>
    <mergeCell ref="E81:G81"/>
    <mergeCell ref="E82:G82"/>
    <mergeCell ref="E83:G83"/>
    <mergeCell ref="G2:J2"/>
    <mergeCell ref="R5:S5"/>
    <mergeCell ref="H78:I78"/>
    <mergeCell ref="E78:G78"/>
    <mergeCell ref="E84:G84"/>
  </mergeCells>
  <phoneticPr fontId="82" type="noConversion"/>
  <pageMargins left="0.75" right="0.75" top="1" bottom="1" header="0" footer="0"/>
  <pageSetup orientation="portrait" horizontalDpi="4294967292"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56ABF-E8B0-4B58-BC60-091181F53284}">
  <dimension ref="B1:AE224"/>
  <sheetViews>
    <sheetView showGridLines="0" tabSelected="1" topLeftCell="A7" workbookViewId="0">
      <selection activeCell="X33" sqref="X33"/>
    </sheetView>
  </sheetViews>
  <sheetFormatPr defaultColWidth="8.85546875" defaultRowHeight="12.75"/>
  <cols>
    <col min="2" max="2" width="30.7109375" customWidth="1"/>
    <col min="3" max="31" width="12.7109375" customWidth="1"/>
  </cols>
  <sheetData>
    <row r="1" spans="2:31">
      <c r="B1" s="719"/>
      <c r="C1" s="714"/>
      <c r="D1" s="715"/>
      <c r="E1" s="715"/>
      <c r="F1" s="715"/>
      <c r="I1" s="713"/>
      <c r="J1" s="718"/>
    </row>
    <row r="2" spans="2:31">
      <c r="B2" s="100"/>
      <c r="C2" s="714"/>
      <c r="D2" s="715"/>
      <c r="E2" s="715"/>
      <c r="F2" s="715"/>
      <c r="I2" s="713"/>
    </row>
    <row r="3" spans="2:31">
      <c r="B3" s="722" t="s">
        <v>571</v>
      </c>
      <c r="C3" s="722">
        <v>2021</v>
      </c>
      <c r="D3" s="722">
        <f>+C3+1</f>
        <v>2022</v>
      </c>
      <c r="E3" s="722">
        <v>2023</v>
      </c>
      <c r="F3" s="723">
        <f>+E3+1</f>
        <v>2024</v>
      </c>
      <c r="G3" s="723">
        <f t="shared" ref="G3:AE3" si="0">+F3+1</f>
        <v>2025</v>
      </c>
      <c r="H3" s="723">
        <f t="shared" si="0"/>
        <v>2026</v>
      </c>
      <c r="I3" s="723">
        <f t="shared" si="0"/>
        <v>2027</v>
      </c>
      <c r="J3" s="723">
        <f t="shared" si="0"/>
        <v>2028</v>
      </c>
      <c r="K3" s="723">
        <f t="shared" si="0"/>
        <v>2029</v>
      </c>
      <c r="L3" s="723">
        <f t="shared" si="0"/>
        <v>2030</v>
      </c>
      <c r="M3" s="723">
        <f t="shared" si="0"/>
        <v>2031</v>
      </c>
      <c r="N3" s="723">
        <f t="shared" si="0"/>
        <v>2032</v>
      </c>
      <c r="O3" s="723">
        <f t="shared" si="0"/>
        <v>2033</v>
      </c>
      <c r="P3" s="723">
        <f t="shared" si="0"/>
        <v>2034</v>
      </c>
      <c r="Q3" s="723">
        <f t="shared" si="0"/>
        <v>2035</v>
      </c>
      <c r="R3" s="723">
        <f t="shared" si="0"/>
        <v>2036</v>
      </c>
      <c r="S3" s="723">
        <f t="shared" si="0"/>
        <v>2037</v>
      </c>
      <c r="T3" s="723">
        <f t="shared" si="0"/>
        <v>2038</v>
      </c>
      <c r="U3" s="723">
        <f t="shared" si="0"/>
        <v>2039</v>
      </c>
      <c r="V3" s="723">
        <f t="shared" si="0"/>
        <v>2040</v>
      </c>
      <c r="W3" s="723">
        <f t="shared" si="0"/>
        <v>2041</v>
      </c>
      <c r="X3" s="723">
        <f t="shared" si="0"/>
        <v>2042</v>
      </c>
      <c r="Y3" s="723">
        <f t="shared" si="0"/>
        <v>2043</v>
      </c>
      <c r="Z3" s="723">
        <f t="shared" si="0"/>
        <v>2044</v>
      </c>
      <c r="AA3" s="723">
        <f t="shared" si="0"/>
        <v>2045</v>
      </c>
      <c r="AB3" s="723">
        <f t="shared" si="0"/>
        <v>2046</v>
      </c>
      <c r="AC3" s="723">
        <f t="shared" si="0"/>
        <v>2047</v>
      </c>
      <c r="AD3" s="723">
        <f t="shared" si="0"/>
        <v>2048</v>
      </c>
      <c r="AE3" s="723">
        <f t="shared" si="0"/>
        <v>2049</v>
      </c>
    </row>
    <row r="4" spans="2:31" ht="3.95" customHeight="1">
      <c r="B4" s="100"/>
      <c r="C4" s="100"/>
      <c r="D4" s="100"/>
      <c r="E4" s="100"/>
      <c r="F4" s="100"/>
      <c r="G4" s="100"/>
      <c r="H4" s="100"/>
      <c r="I4" s="100"/>
      <c r="J4" s="100"/>
    </row>
    <row r="5" spans="2:31" ht="11.25" customHeight="1">
      <c r="B5" s="596" t="s">
        <v>559</v>
      </c>
      <c r="C5" s="717">
        <v>27.774000000000001</v>
      </c>
      <c r="D5" s="717">
        <v>33.479999999999997</v>
      </c>
      <c r="E5" s="729">
        <v>35.46</v>
      </c>
      <c r="F5" s="717">
        <v>36.968000000000004</v>
      </c>
      <c r="G5" s="717">
        <v>39.494999999999997</v>
      </c>
      <c r="H5" s="717">
        <v>42.014000000000003</v>
      </c>
      <c r="I5" s="717">
        <f>+I20*I$16</f>
        <v>41.601781426621962</v>
      </c>
      <c r="J5" s="717">
        <f t="shared" ref="J5:AE5" si="1">+J20*J$16</f>
        <v>42.893136311363463</v>
      </c>
      <c r="K5" s="717">
        <f t="shared" si="1"/>
        <v>45.354323561063048</v>
      </c>
      <c r="L5" s="717">
        <f t="shared" si="1"/>
        <v>48.204093210133578</v>
      </c>
      <c r="M5" s="717">
        <f t="shared" si="1"/>
        <v>51.26881858406918</v>
      </c>
      <c r="N5" s="717">
        <f t="shared" si="1"/>
        <v>52.425464054644905</v>
      </c>
      <c r="O5" s="717">
        <f t="shared" si="1"/>
        <v>53.581269529002519</v>
      </c>
      <c r="P5" s="717">
        <f t="shared" si="1"/>
        <v>54.77908289303393</v>
      </c>
      <c r="Q5" s="717">
        <f t="shared" si="1"/>
        <v>56.004316244975264</v>
      </c>
      <c r="R5" s="717">
        <f t="shared" si="1"/>
        <v>57.257405855658241</v>
      </c>
      <c r="S5" s="717">
        <f t="shared" si="1"/>
        <v>58.538383204438887</v>
      </c>
      <c r="T5" s="717">
        <f t="shared" si="1"/>
        <v>59.847535982994465</v>
      </c>
      <c r="U5" s="717">
        <f t="shared" si="1"/>
        <v>61.185871385509145</v>
      </c>
      <c r="V5" s="717">
        <f t="shared" si="1"/>
        <v>62.554282791035249</v>
      </c>
      <c r="W5" s="717">
        <f t="shared" si="1"/>
        <v>63.953304670787283</v>
      </c>
      <c r="X5" s="717">
        <f t="shared" si="1"/>
        <v>65.383614707289311</v>
      </c>
      <c r="Y5" s="717">
        <f t="shared" si="1"/>
        <v>66.845908485659777</v>
      </c>
      <c r="Z5" s="717">
        <f t="shared" si="1"/>
        <v>68.340902359547826</v>
      </c>
      <c r="AA5" s="717">
        <f t="shared" si="1"/>
        <v>69.869331804646649</v>
      </c>
      <c r="AB5" s="717">
        <f t="shared" si="1"/>
        <v>71.431945518255901</v>
      </c>
      <c r="AC5" s="717">
        <f t="shared" si="1"/>
        <v>73.029506775878048</v>
      </c>
      <c r="AD5" s="717">
        <f t="shared" si="1"/>
        <v>74.662797103497354</v>
      </c>
      <c r="AE5" s="717">
        <f t="shared" si="1"/>
        <v>76.332615578034236</v>
      </c>
    </row>
    <row r="6" spans="2:31">
      <c r="B6" s="726" t="s">
        <v>560</v>
      </c>
      <c r="C6" s="738">
        <f>'Fin. Data'!D5/1000</f>
        <v>27.130676000000001</v>
      </c>
      <c r="D6" s="738">
        <f>'Fin. Data'!C5/1000</f>
        <v>33.671010000000003</v>
      </c>
      <c r="E6" s="738">
        <f>'Fin. Data'!B5/1000</f>
        <v>34.233366000000004</v>
      </c>
      <c r="F6" s="738">
        <v>35.100999999999999</v>
      </c>
      <c r="G6" s="738">
        <v>38.335000000000001</v>
      </c>
      <c r="H6" s="738">
        <v>40.679000000000002</v>
      </c>
      <c r="I6" s="738">
        <f t="shared" ref="I6:AE6" si="2">+I21*I$16</f>
        <v>40.274320635544342</v>
      </c>
      <c r="J6" s="738">
        <f t="shared" si="2"/>
        <v>41.521256746953476</v>
      </c>
      <c r="K6" s="738">
        <f t="shared" si="2"/>
        <v>43.888830664554064</v>
      </c>
      <c r="L6" s="738">
        <f t="shared" si="2"/>
        <v>46.647165154602071</v>
      </c>
      <c r="M6" s="738">
        <f t="shared" si="2"/>
        <v>49.619097528665868</v>
      </c>
      <c r="N6" s="738">
        <f t="shared" si="2"/>
        <v>50.737483194097656</v>
      </c>
      <c r="O6" s="738">
        <f t="shared" si="2"/>
        <v>51.855882555566694</v>
      </c>
      <c r="P6" s="738">
        <f t="shared" si="2"/>
        <v>53.014999514938808</v>
      </c>
      <c r="Q6" s="738">
        <f t="shared" si="2"/>
        <v>54.200680018999471</v>
      </c>
      <c r="R6" s="738">
        <f t="shared" si="2"/>
        <v>55.413459454028413</v>
      </c>
      <c r="S6" s="738">
        <f t="shared" si="2"/>
        <v>56.653226361178085</v>
      </c>
      <c r="T6" s="738">
        <f t="shared" si="2"/>
        <v>57.920207994534415</v>
      </c>
      <c r="U6" s="738">
        <f t="shared" si="2"/>
        <v>59.215440638595219</v>
      </c>
      <c r="V6" s="738">
        <f t="shared" si="2"/>
        <v>60.539782369271812</v>
      </c>
      <c r="W6" s="738">
        <f t="shared" si="2"/>
        <v>61.893749866076725</v>
      </c>
      <c r="X6" s="738">
        <f t="shared" si="2"/>
        <v>63.277998774937963</v>
      </c>
      <c r="Y6" s="738">
        <f t="shared" si="2"/>
        <v>64.693201049731712</v>
      </c>
      <c r="Z6" s="738">
        <f t="shared" si="2"/>
        <v>66.140049970174118</v>
      </c>
      <c r="AA6" s="738">
        <f t="shared" si="2"/>
        <v>67.619257794071288</v>
      </c>
      <c r="AB6" s="738">
        <f t="shared" si="2"/>
        <v>69.131549041834816</v>
      </c>
      <c r="AC6" s="738">
        <f t="shared" si="2"/>
        <v>70.677662393705816</v>
      </c>
      <c r="AD6" s="738">
        <f t="shared" si="2"/>
        <v>72.258354197959719</v>
      </c>
      <c r="AE6" s="738">
        <f t="shared" si="2"/>
        <v>73.874397790276447</v>
      </c>
    </row>
    <row r="7" spans="2:31">
      <c r="B7" s="596" t="s">
        <v>561</v>
      </c>
      <c r="C7" s="717">
        <v>13.737</v>
      </c>
      <c r="D7" s="717">
        <v>16.003</v>
      </c>
      <c r="E7" s="729">
        <v>16.846</v>
      </c>
      <c r="F7" s="717">
        <v>17.393999999999998</v>
      </c>
      <c r="G7" s="717">
        <v>18.175999999999998</v>
      </c>
      <c r="H7" s="717">
        <v>19.542999999999999</v>
      </c>
      <c r="I7" s="717">
        <f t="shared" ref="I7:AE7" si="3">+I22*I$16</f>
        <v>19.388682459131761</v>
      </c>
      <c r="J7" s="717">
        <f t="shared" si="3"/>
        <v>19.980630173553976</v>
      </c>
      <c r="K7" s="717">
        <f t="shared" si="3"/>
        <v>21.122208318311845</v>
      </c>
      <c r="L7" s="717">
        <f t="shared" si="3"/>
        <v>22.446036987218502</v>
      </c>
      <c r="M7" s="717">
        <f t="shared" si="3"/>
        <v>23.87142349057395</v>
      </c>
      <c r="N7" s="717">
        <f t="shared" si="3"/>
        <v>24.412080980230471</v>
      </c>
      <c r="O7" s="717">
        <f t="shared" si="3"/>
        <v>24.950520671332015</v>
      </c>
      <c r="P7" s="717">
        <f t="shared" si="3"/>
        <v>25.508126704522383</v>
      </c>
      <c r="Q7" s="717">
        <f t="shared" si="3"/>
        <v>26.078587731828492</v>
      </c>
      <c r="R7" s="717">
        <f t="shared" si="3"/>
        <v>26.662064767042516</v>
      </c>
      <c r="S7" s="717">
        <f t="shared" si="3"/>
        <v>27.258558085655025</v>
      </c>
      <c r="T7" s="717">
        <f t="shared" si="3"/>
        <v>27.868187007119737</v>
      </c>
      <c r="U7" s="717">
        <f t="shared" si="3"/>
        <v>28.491387102482005</v>
      </c>
      <c r="V7" s="717">
        <f t="shared" si="3"/>
        <v>29.128589887116245</v>
      </c>
      <c r="W7" s="717">
        <f t="shared" si="3"/>
        <v>29.78004787437537</v>
      </c>
      <c r="X7" s="717">
        <f t="shared" si="3"/>
        <v>30.446075928376409</v>
      </c>
      <c r="Y7" s="717">
        <f t="shared" si="3"/>
        <v>31.126997561642828</v>
      </c>
      <c r="Z7" s="717">
        <f t="shared" si="3"/>
        <v>31.82314607828549</v>
      </c>
      <c r="AA7" s="717">
        <f t="shared" si="3"/>
        <v>32.534863811291515</v>
      </c>
      <c r="AB7" s="717">
        <f t="shared" si="3"/>
        <v>33.262499547343673</v>
      </c>
      <c r="AC7" s="717">
        <f t="shared" si="3"/>
        <v>34.006408730009277</v>
      </c>
      <c r="AD7" s="717">
        <f t="shared" si="3"/>
        <v>34.766955267917304</v>
      </c>
      <c r="AE7" s="717">
        <f t="shared" si="3"/>
        <v>35.544511247946275</v>
      </c>
    </row>
    <row r="8" spans="2:31">
      <c r="B8" s="596" t="s">
        <v>562</v>
      </c>
      <c r="C8" s="717">
        <v>8.702</v>
      </c>
      <c r="D8" s="717">
        <v>10.327</v>
      </c>
      <c r="E8" s="729">
        <v>9.9475200000000008</v>
      </c>
      <c r="F8" s="717">
        <v>10.33</v>
      </c>
      <c r="G8" s="717">
        <v>10.677</v>
      </c>
      <c r="H8" s="717">
        <v>11.07</v>
      </c>
      <c r="I8" s="717">
        <f t="shared" ref="I8:AE8" si="4">+I23*I$16</f>
        <v>11.243460224294985</v>
      </c>
      <c r="J8" s="717">
        <f t="shared" si="4"/>
        <v>11.579957006925211</v>
      </c>
      <c r="K8" s="717">
        <f t="shared" si="4"/>
        <v>12.229103506884007</v>
      </c>
      <c r="L8" s="717">
        <f t="shared" si="4"/>
        <v>12.99349462893206</v>
      </c>
      <c r="M8" s="717">
        <f t="shared" si="4"/>
        <v>13.816196777689203</v>
      </c>
      <c r="N8" s="717">
        <f t="shared" si="4"/>
        <v>14.127525797644706</v>
      </c>
      <c r="O8" s="717">
        <f t="shared" si="4"/>
        <v>14.44155697555362</v>
      </c>
      <c r="P8" s="717">
        <f t="shared" si="4"/>
        <v>14.764114319640017</v>
      </c>
      <c r="Q8" s="717">
        <f t="shared" si="4"/>
        <v>15.094143359027315</v>
      </c>
      <c r="R8" s="717">
        <f t="shared" si="4"/>
        <v>15.431819377699764</v>
      </c>
      <c r="S8" s="717">
        <f t="shared" si="4"/>
        <v>15.777047659404856</v>
      </c>
      <c r="T8" s="717">
        <f t="shared" si="4"/>
        <v>16.129899710883333</v>
      </c>
      <c r="U8" s="717">
        <f t="shared" si="4"/>
        <v>16.490621330330356</v>
      </c>
      <c r="V8" s="717">
        <f t="shared" si="4"/>
        <v>16.859426881137118</v>
      </c>
      <c r="W8" s="717">
        <f t="shared" si="4"/>
        <v>17.236484564419719</v>
      </c>
      <c r="X8" s="717">
        <f t="shared" si="4"/>
        <v>17.621976609316878</v>
      </c>
      <c r="Y8" s="717">
        <f t="shared" si="4"/>
        <v>18.016089284042902</v>
      </c>
      <c r="Z8" s="717">
        <f t="shared" si="4"/>
        <v>18.41901533612976</v>
      </c>
      <c r="AA8" s="717">
        <f t="shared" si="4"/>
        <v>18.830952720466101</v>
      </c>
      <c r="AB8" s="717">
        <f t="shared" si="4"/>
        <v>19.252103178153479</v>
      </c>
      <c r="AC8" s="717">
        <f t="shared" si="4"/>
        <v>19.682672617391344</v>
      </c>
      <c r="AD8" s="717">
        <f t="shared" si="4"/>
        <v>20.122871656701204</v>
      </c>
      <c r="AE8" s="717">
        <f t="shared" si="4"/>
        <v>20.572915645980178</v>
      </c>
    </row>
    <row r="9" spans="2:31">
      <c r="B9" s="596" t="s">
        <v>563</v>
      </c>
      <c r="C9" s="717">
        <v>7.5010000000000003</v>
      </c>
      <c r="D9" s="717">
        <v>8.2249999999999996</v>
      </c>
      <c r="E9" s="729">
        <v>7.4180000000000001</v>
      </c>
      <c r="F9" s="717">
        <v>7.8879999999999999</v>
      </c>
      <c r="G9" s="717">
        <v>8.4429999999999996</v>
      </c>
      <c r="H9" s="717">
        <v>7.508</v>
      </c>
      <c r="I9" s="717">
        <f t="shared" ref="I9:AE9" si="5">+I24*I$16</f>
        <v>8.1787012006737889</v>
      </c>
      <c r="J9" s="717">
        <f t="shared" si="5"/>
        <v>8.4140335928763879</v>
      </c>
      <c r="K9" s="717">
        <f t="shared" si="5"/>
        <v>8.8771095819726629</v>
      </c>
      <c r="L9" s="717">
        <f t="shared" si="5"/>
        <v>9.4299288697248276</v>
      </c>
      <c r="M9" s="717">
        <f t="shared" si="5"/>
        <v>10.023381721935893</v>
      </c>
      <c r="N9" s="717">
        <f t="shared" si="5"/>
        <v>10.242264430459958</v>
      </c>
      <c r="O9" s="717">
        <f t="shared" si="5"/>
        <v>10.475144217763422</v>
      </c>
      <c r="P9" s="717">
        <f t="shared" si="5"/>
        <v>10.708927443491522</v>
      </c>
      <c r="Q9" s="717">
        <f t="shared" si="5"/>
        <v>10.948159801496699</v>
      </c>
      <c r="R9" s="717">
        <f t="shared" si="5"/>
        <v>11.193014967001639</v>
      </c>
      <c r="S9" s="717">
        <f t="shared" si="5"/>
        <v>11.443364293656378</v>
      </c>
      <c r="T9" s="717">
        <f t="shared" si="5"/>
        <v>11.699273185548995</v>
      </c>
      <c r="U9" s="717">
        <f t="shared" si="5"/>
        <v>11.960951885481292</v>
      </c>
      <c r="V9" s="717">
        <f t="shared" si="5"/>
        <v>12.228450040701782</v>
      </c>
      <c r="W9" s="717">
        <f t="shared" si="5"/>
        <v>12.501934620568377</v>
      </c>
      <c r="X9" s="717">
        <f t="shared" si="5"/>
        <v>12.781538029929056</v>
      </c>
      <c r="Y9" s="717">
        <f t="shared" si="5"/>
        <v>13.067394727058463</v>
      </c>
      <c r="Z9" s="717">
        <f t="shared" si="5"/>
        <v>13.359644379291586</v>
      </c>
      <c r="AA9" s="717">
        <f t="shared" si="5"/>
        <v>13.658430310676575</v>
      </c>
      <c r="AB9" s="717">
        <f t="shared" si="5"/>
        <v>13.963898295712831</v>
      </c>
      <c r="AC9" s="717">
        <f t="shared" si="5"/>
        <v>14.276198061506417</v>
      </c>
      <c r="AD9" s="717">
        <f t="shared" si="5"/>
        <v>14.59548236909975</v>
      </c>
      <c r="AE9" s="717">
        <f t="shared" si="5"/>
        <v>14.921907405105294</v>
      </c>
    </row>
    <row r="10" spans="2:31">
      <c r="B10" s="596" t="s">
        <v>564</v>
      </c>
      <c r="C10" s="717">
        <v>5.7249999999999996</v>
      </c>
      <c r="D10" s="717">
        <v>6.9039999999999999</v>
      </c>
      <c r="E10" s="729">
        <v>6.4109999999999996</v>
      </c>
      <c r="F10" s="717">
        <v>6.8259999999999996</v>
      </c>
      <c r="G10" s="717">
        <v>7.157</v>
      </c>
      <c r="H10" s="717">
        <v>7.5640000000000001</v>
      </c>
      <c r="I10" s="717">
        <f t="shared" ref="I10:AE10" si="6">+I25*I$16</f>
        <v>7.5803048861949787</v>
      </c>
      <c r="J10" s="717">
        <f t="shared" si="6"/>
        <v>7.8079467918673648</v>
      </c>
      <c r="K10" s="717">
        <f t="shared" si="6"/>
        <v>8.2463473829755287</v>
      </c>
      <c r="L10" s="717">
        <f t="shared" si="6"/>
        <v>8.7647540244048461</v>
      </c>
      <c r="M10" s="717">
        <f t="shared" si="6"/>
        <v>9.3210448602633686</v>
      </c>
      <c r="N10" s="717">
        <f t="shared" si="6"/>
        <v>9.5315556069813212</v>
      </c>
      <c r="O10" s="717">
        <f t="shared" si="6"/>
        <v>9.7424583510517113</v>
      </c>
      <c r="P10" s="717">
        <f t="shared" si="6"/>
        <v>9.960097171534672</v>
      </c>
      <c r="Q10" s="717">
        <f t="shared" si="6"/>
        <v>10.182781017020375</v>
      </c>
      <c r="R10" s="717">
        <f t="shared" si="6"/>
        <v>10.410618905190502</v>
      </c>
      <c r="S10" s="717">
        <f t="shared" si="6"/>
        <v>10.643525874070368</v>
      </c>
      <c r="T10" s="717">
        <f t="shared" si="6"/>
        <v>10.881564188429923</v>
      </c>
      <c r="U10" s="717">
        <f t="shared" si="6"/>
        <v>11.12490694066631</v>
      </c>
      <c r="V10" s="717">
        <f t="shared" si="6"/>
        <v>11.373711525725279</v>
      </c>
      <c r="W10" s="717">
        <f t="shared" si="6"/>
        <v>11.628082964012197</v>
      </c>
      <c r="X10" s="717">
        <f t="shared" si="6"/>
        <v>11.888144056895722</v>
      </c>
      <c r="Y10" s="717">
        <f t="shared" si="6"/>
        <v>12.154020495951173</v>
      </c>
      <c r="Z10" s="717">
        <f t="shared" si="6"/>
        <v>12.425842535525918</v>
      </c>
      <c r="AA10" s="717">
        <f t="shared" si="6"/>
        <v>12.703743825777106</v>
      </c>
      <c r="AB10" s="717">
        <f t="shared" si="6"/>
        <v>12.987860507812366</v>
      </c>
      <c r="AC10" s="717">
        <f t="shared" si="6"/>
        <v>13.278331419864772</v>
      </c>
      <c r="AD10" s="717">
        <f t="shared" si="6"/>
        <v>13.575298650355609</v>
      </c>
      <c r="AE10" s="717">
        <f t="shared" si="6"/>
        <v>13.878907481572814</v>
      </c>
    </row>
    <row r="11" spans="2:31">
      <c r="B11" s="596" t="s">
        <v>565</v>
      </c>
      <c r="C11" s="717">
        <v>5.12</v>
      </c>
      <c r="D11" s="717">
        <v>6.2690000000000001</v>
      </c>
      <c r="E11" s="729">
        <v>6.1130000000000004</v>
      </c>
      <c r="F11" s="717">
        <v>6.3170000000000002</v>
      </c>
      <c r="G11" s="717">
        <v>6.7039999999999997</v>
      </c>
      <c r="H11" s="717">
        <v>6.7709999999999999</v>
      </c>
      <c r="I11" s="717">
        <f t="shared" ref="I11:AE11" si="7">+I26*I$16</f>
        <v>6.9160815676246896</v>
      </c>
      <c r="J11" s="717">
        <f t="shared" si="7"/>
        <v>7.1264960657590581</v>
      </c>
      <c r="K11" s="717">
        <f t="shared" si="7"/>
        <v>7.5270453825002752</v>
      </c>
      <c r="L11" s="717">
        <f t="shared" si="7"/>
        <v>7.9976380733476473</v>
      </c>
      <c r="M11" s="717">
        <f t="shared" si="7"/>
        <v>8.5044003943677726</v>
      </c>
      <c r="N11" s="717">
        <f t="shared" si="7"/>
        <v>8.6947253528170183</v>
      </c>
      <c r="O11" s="717">
        <f t="shared" si="7"/>
        <v>8.8884096476135657</v>
      </c>
      <c r="P11" s="717">
        <f t="shared" si="7"/>
        <v>9.0869800139602397</v>
      </c>
      <c r="Q11" s="717">
        <f t="shared" si="7"/>
        <v>9.2901130038647857</v>
      </c>
      <c r="R11" s="717">
        <f t="shared" si="7"/>
        <v>9.4979423170638704</v>
      </c>
      <c r="S11" s="717">
        <f t="shared" si="7"/>
        <v>9.710418618109605</v>
      </c>
      <c r="T11" s="717">
        <f t="shared" si="7"/>
        <v>9.9275835411882429</v>
      </c>
      <c r="U11" s="717">
        <f t="shared" si="7"/>
        <v>10.149603327223438</v>
      </c>
      <c r="V11" s="717">
        <f t="shared" si="7"/>
        <v>10.37659518521192</v>
      </c>
      <c r="W11" s="717">
        <f t="shared" si="7"/>
        <v>10.608665628738583</v>
      </c>
      <c r="X11" s="717">
        <f t="shared" si="7"/>
        <v>10.84592715775157</v>
      </c>
      <c r="Y11" s="717">
        <f t="shared" si="7"/>
        <v>11.088494509193877</v>
      </c>
      <c r="Z11" s="717">
        <f t="shared" si="7"/>
        <v>11.336486327673118</v>
      </c>
      <c r="AA11" s="717">
        <f t="shared" si="7"/>
        <v>11.590024483686259</v>
      </c>
      <c r="AB11" s="717">
        <f t="shared" si="7"/>
        <v>11.849233045056049</v>
      </c>
      <c r="AC11" s="717">
        <f t="shared" si="7"/>
        <v>12.114238772158579</v>
      </c>
      <c r="AD11" s="717">
        <f t="shared" si="7"/>
        <v>12.385171299823213</v>
      </c>
      <c r="AE11" s="717">
        <f t="shared" si="7"/>
        <v>12.662163171724929</v>
      </c>
    </row>
    <row r="12" spans="2:31">
      <c r="B12" s="596" t="s">
        <v>566</v>
      </c>
      <c r="C12" s="717">
        <v>5.75</v>
      </c>
      <c r="D12" s="717">
        <v>6.9039999999999999</v>
      </c>
      <c r="E12" s="729">
        <v>6.4109999999999996</v>
      </c>
      <c r="F12" s="717">
        <v>6.8259999999999996</v>
      </c>
      <c r="G12" s="717">
        <v>7.157</v>
      </c>
      <c r="H12" s="717">
        <v>7.5640000000000001</v>
      </c>
      <c r="I12" s="717">
        <f t="shared" ref="I12:AE12" si="8">+I27*I$16</f>
        <v>7.5809352811331143</v>
      </c>
      <c r="J12" s="717">
        <f t="shared" si="8"/>
        <v>7.8082843658351573</v>
      </c>
      <c r="K12" s="717">
        <f t="shared" si="8"/>
        <v>8.2467041352994475</v>
      </c>
      <c r="L12" s="717">
        <f t="shared" si="8"/>
        <v>8.7651359663495008</v>
      </c>
      <c r="M12" s="717">
        <f t="shared" si="8"/>
        <v>9.3214538074248185</v>
      </c>
      <c r="N12" s="717">
        <f t="shared" si="8"/>
        <v>9.53197694605179</v>
      </c>
      <c r="O12" s="717">
        <f t="shared" si="8"/>
        <v>9.7428924575343583</v>
      </c>
      <c r="P12" s="717">
        <f t="shared" si="8"/>
        <v>9.960538046265107</v>
      </c>
      <c r="Q12" s="717">
        <f t="shared" si="8"/>
        <v>10.183231799489175</v>
      </c>
      <c r="R12" s="717">
        <f t="shared" si="8"/>
        <v>10.411079854852694</v>
      </c>
      <c r="S12" s="717">
        <f t="shared" si="8"/>
        <v>10.643997194155101</v>
      </c>
      <c r="T12" s="717">
        <f t="shared" si="8"/>
        <v>10.882046084190302</v>
      </c>
      <c r="U12" s="717">
        <f t="shared" si="8"/>
        <v>11.125399620259437</v>
      </c>
      <c r="V12" s="717">
        <f t="shared" si="8"/>
        <v>11.374215200212552</v>
      </c>
      <c r="W12" s="717">
        <f t="shared" si="8"/>
        <v>11.628597904653363</v>
      </c>
      <c r="X12" s="717">
        <f t="shared" si="8"/>
        <v>11.888670515539413</v>
      </c>
      <c r="Y12" s="717">
        <f t="shared" si="8"/>
        <v>12.15455872947015</v>
      </c>
      <c r="Z12" s="717">
        <f t="shared" si="8"/>
        <v>12.426392806726565</v>
      </c>
      <c r="AA12" s="717">
        <f t="shared" si="8"/>
        <v>12.704306403568721</v>
      </c>
      <c r="AB12" s="717">
        <f t="shared" si="8"/>
        <v>12.988435667365911</v>
      </c>
      <c r="AC12" s="717">
        <f t="shared" si="8"/>
        <v>13.278919442776306</v>
      </c>
      <c r="AD12" s="717">
        <f t="shared" si="8"/>
        <v>13.57589982430048</v>
      </c>
      <c r="AE12" s="717">
        <f t="shared" si="8"/>
        <v>13.879522100658599</v>
      </c>
    </row>
    <row r="13" spans="2:31">
      <c r="B13" s="596" t="s">
        <v>567</v>
      </c>
      <c r="C13" s="717">
        <v>4.0330000000000004</v>
      </c>
      <c r="D13" s="717">
        <v>4.5060000000000002</v>
      </c>
      <c r="E13" s="729">
        <v>3.6920000000000002</v>
      </c>
      <c r="F13" s="717">
        <v>4.306</v>
      </c>
      <c r="G13" s="717">
        <v>4.6230000000000002</v>
      </c>
      <c r="H13" s="717">
        <v>4.8970000000000002</v>
      </c>
      <c r="I13" s="717">
        <f t="shared" ref="I13:AE13" si="9">+I28*I$16</f>
        <v>4.8693800480744329</v>
      </c>
      <c r="J13" s="717">
        <f t="shared" si="9"/>
        <v>5.0105932542813063</v>
      </c>
      <c r="K13" s="717">
        <f t="shared" si="9"/>
        <v>5.2909858737161208</v>
      </c>
      <c r="L13" s="717">
        <f t="shared" si="9"/>
        <v>5.6277871800349439</v>
      </c>
      <c r="M13" s="717">
        <f t="shared" si="9"/>
        <v>5.9857290412814059</v>
      </c>
      <c r="N13" s="717">
        <f t="shared" si="9"/>
        <v>6.1206525287898712</v>
      </c>
      <c r="O13" s="717">
        <f t="shared" si="9"/>
        <v>6.2556740292016135</v>
      </c>
      <c r="P13" s="717">
        <f t="shared" si="9"/>
        <v>6.3953960766671658</v>
      </c>
      <c r="Q13" s="717">
        <f t="shared" si="9"/>
        <v>6.5384106477755095</v>
      </c>
      <c r="R13" s="717">
        <f t="shared" si="9"/>
        <v>6.6847457756131172</v>
      </c>
      <c r="S13" s="717">
        <f t="shared" si="9"/>
        <v>6.8342989542300145</v>
      </c>
      <c r="T13" s="717">
        <f t="shared" si="9"/>
        <v>6.9871399653677404</v>
      </c>
      <c r="U13" s="717">
        <f t="shared" si="9"/>
        <v>7.1433889843012714</v>
      </c>
      <c r="V13" s="717">
        <f t="shared" si="9"/>
        <v>7.3031486083577501</v>
      </c>
      <c r="W13" s="717">
        <f t="shared" si="9"/>
        <v>7.4664830258598576</v>
      </c>
      <c r="X13" s="717">
        <f t="shared" si="9"/>
        <v>7.6334705866683574</v>
      </c>
      <c r="Y13" s="717">
        <f t="shared" si="9"/>
        <v>7.8041918865911679</v>
      </c>
      <c r="Z13" s="717">
        <f t="shared" si="9"/>
        <v>7.9787308822542355</v>
      </c>
      <c r="AA13" s="717">
        <f t="shared" si="9"/>
        <v>8.1571734573836068</v>
      </c>
      <c r="AB13" s="717">
        <f t="shared" si="9"/>
        <v>8.3396070134573801</v>
      </c>
      <c r="AC13" s="717">
        <f t="shared" si="9"/>
        <v>8.5261206687197113</v>
      </c>
      <c r="AD13" s="717">
        <f t="shared" si="9"/>
        <v>8.7168056564339782</v>
      </c>
      <c r="AE13" s="717">
        <f t="shared" si="9"/>
        <v>8.9117552653811742</v>
      </c>
    </row>
    <row r="14" spans="2:31">
      <c r="B14" s="596" t="s">
        <v>568</v>
      </c>
      <c r="C14" s="717">
        <v>3.05</v>
      </c>
      <c r="D14" s="717">
        <v>2.3039999999999998</v>
      </c>
      <c r="E14" s="729">
        <v>2.359</v>
      </c>
      <c r="F14" s="717">
        <v>2.4540000000000002</v>
      </c>
      <c r="G14" s="717">
        <v>3.1560000000000001</v>
      </c>
      <c r="H14" s="717">
        <v>3.73</v>
      </c>
      <c r="I14" s="717">
        <f t="shared" ref="I14:AE14" si="10">+I29*I$16</f>
        <v>3.4353927712529853</v>
      </c>
      <c r="J14" s="717">
        <f t="shared" si="10"/>
        <v>3.5294511037041532</v>
      </c>
      <c r="K14" s="717">
        <f t="shared" si="10"/>
        <v>3.7371472021695245</v>
      </c>
      <c r="L14" s="717">
        <f t="shared" si="10"/>
        <v>3.9776211933396195</v>
      </c>
      <c r="M14" s="717">
        <f t="shared" si="10"/>
        <v>4.2360538932414373</v>
      </c>
      <c r="N14" s="717">
        <f t="shared" si="10"/>
        <v>4.3327457202776705</v>
      </c>
      <c r="O14" s="717">
        <f t="shared" si="10"/>
        <v>4.425649463462717</v>
      </c>
      <c r="P14" s="717">
        <f t="shared" si="10"/>
        <v>4.5245665143476854</v>
      </c>
      <c r="Q14" s="717">
        <f t="shared" si="10"/>
        <v>4.6259006625176236</v>
      </c>
      <c r="R14" s="717">
        <f t="shared" si="10"/>
        <v>4.7294939281137616</v>
      </c>
      <c r="S14" s="717">
        <f t="shared" si="10"/>
        <v>4.8353421876576039</v>
      </c>
      <c r="T14" s="717">
        <f t="shared" si="10"/>
        <v>4.9434695572534038</v>
      </c>
      <c r="U14" s="717">
        <f t="shared" si="10"/>
        <v>5.0539963045081482</v>
      </c>
      <c r="V14" s="717">
        <f t="shared" si="10"/>
        <v>5.1670296470872428</v>
      </c>
      <c r="W14" s="717">
        <f t="shared" si="10"/>
        <v>5.2825919242512365</v>
      </c>
      <c r="X14" s="717">
        <f t="shared" si="10"/>
        <v>5.400737535050478</v>
      </c>
      <c r="Y14" s="717">
        <f t="shared" si="10"/>
        <v>5.5215242615674001</v>
      </c>
      <c r="Z14" s="717">
        <f t="shared" si="10"/>
        <v>5.6450116913173849</v>
      </c>
      <c r="AA14" s="717">
        <f t="shared" si="10"/>
        <v>5.7712610015661543</v>
      </c>
      <c r="AB14" s="717">
        <f t="shared" si="10"/>
        <v>5.9003341418981101</v>
      </c>
      <c r="AC14" s="717">
        <f t="shared" si="10"/>
        <v>6.0322939659898127</v>
      </c>
      <c r="AD14" s="717">
        <f t="shared" si="10"/>
        <v>6.1672050218079679</v>
      </c>
      <c r="AE14" s="717">
        <f t="shared" si="10"/>
        <v>6.3051333229446005</v>
      </c>
    </row>
    <row r="15" spans="2:31">
      <c r="B15" s="596" t="s">
        <v>569</v>
      </c>
      <c r="C15" s="729">
        <f>-SUM(C5:C14)+C16</f>
        <v>430.33643052920962</v>
      </c>
      <c r="D15" s="729">
        <f>-SUM(D5:D14)+D16</f>
        <v>498.69335884306992</v>
      </c>
      <c r="E15" s="729">
        <f>-SUM(E5:E14)+E16</f>
        <v>658.08448627949599</v>
      </c>
      <c r="F15" s="729">
        <f t="shared" ref="F15:H15" si="11">-SUM(F5:F14)+F16</f>
        <v>768.59572737686142</v>
      </c>
      <c r="G15" s="729">
        <f t="shared" si="11"/>
        <v>706.077</v>
      </c>
      <c r="H15" s="729">
        <f t="shared" si="11"/>
        <v>694.92000000000007</v>
      </c>
      <c r="I15" s="717">
        <f t="shared" ref="I15:AE15" si="12">+I30*I$16</f>
        <v>718.54773549945298</v>
      </c>
      <c r="J15" s="717">
        <f t="shared" si="12"/>
        <v>739.85957051168054</v>
      </c>
      <c r="K15" s="717">
        <f t="shared" si="12"/>
        <v>781.16130624714231</v>
      </c>
      <c r="L15" s="717">
        <f t="shared" si="12"/>
        <v>827.56832327989673</v>
      </c>
      <c r="M15" s="717">
        <f t="shared" si="12"/>
        <v>876.59969718255059</v>
      </c>
      <c r="N15" s="717">
        <f t="shared" si="12"/>
        <v>893.66216861570933</v>
      </c>
      <c r="O15" s="717">
        <f t="shared" si="12"/>
        <v>911.13555819417672</v>
      </c>
      <c r="P15" s="717">
        <f t="shared" si="12"/>
        <v>928.90208771570258</v>
      </c>
      <c r="Q15" s="717">
        <f t="shared" si="12"/>
        <v>947.01069045539145</v>
      </c>
      <c r="R15" s="717">
        <f t="shared" si="12"/>
        <v>965.46850983496927</v>
      </c>
      <c r="S15" s="717">
        <f t="shared" si="12"/>
        <v>984.28519570542267</v>
      </c>
      <c r="T15" s="717">
        <f t="shared" si="12"/>
        <v>1003.4689180832277</v>
      </c>
      <c r="U15" s="717">
        <f t="shared" si="12"/>
        <v>1023.0253742873965</v>
      </c>
      <c r="V15" s="717">
        <f t="shared" si="12"/>
        <v>1042.9610485070311</v>
      </c>
      <c r="W15" s="717">
        <f t="shared" si="12"/>
        <v>1063.2836632120031</v>
      </c>
      <c r="X15" s="717">
        <f t="shared" si="12"/>
        <v>1084.0007244791054</v>
      </c>
      <c r="Y15" s="717">
        <f t="shared" si="12"/>
        <v>1105.1198749575683</v>
      </c>
      <c r="Z15" s="717">
        <f t="shared" si="12"/>
        <v>1126.6488787005217</v>
      </c>
      <c r="AA15" s="717">
        <f t="shared" si="12"/>
        <v>1148.5956374756627</v>
      </c>
      <c r="AB15" s="717">
        <f t="shared" si="12"/>
        <v>1170.9682167936821</v>
      </c>
      <c r="AC15" s="717">
        <f t="shared" si="12"/>
        <v>1193.7748435575841</v>
      </c>
      <c r="AD15" s="717">
        <f t="shared" si="12"/>
        <v>1217.0238992857994</v>
      </c>
      <c r="AE15" s="717">
        <f t="shared" si="12"/>
        <v>1240.7239261307452</v>
      </c>
    </row>
    <row r="16" spans="2:31">
      <c r="B16" s="596" t="s">
        <v>497</v>
      </c>
      <c r="C16" s="732">
        <v>538.85910652920961</v>
      </c>
      <c r="D16" s="732">
        <v>627.28636884306991</v>
      </c>
      <c r="E16" s="733">
        <v>786.97537227949601</v>
      </c>
      <c r="F16" s="733">
        <v>903.00572737686139</v>
      </c>
      <c r="G16" s="734">
        <v>850</v>
      </c>
      <c r="H16" s="733">
        <v>846.26</v>
      </c>
      <c r="I16" s="733">
        <v>869.61677600000007</v>
      </c>
      <c r="J16" s="733">
        <v>895.5313559248001</v>
      </c>
      <c r="K16" s="733">
        <v>945.68111185658893</v>
      </c>
      <c r="L16" s="733">
        <v>1002.4219785679843</v>
      </c>
      <c r="M16" s="733">
        <v>1062.5672972820635</v>
      </c>
      <c r="N16" s="735">
        <f>+M16*1.02</f>
        <v>1083.8186432277048</v>
      </c>
      <c r="O16" s="735">
        <f t="shared" ref="O16:AE16" si="13">+N16*1.02</f>
        <v>1105.495016092259</v>
      </c>
      <c r="P16" s="735">
        <f t="shared" si="13"/>
        <v>1127.6049164141041</v>
      </c>
      <c r="Q16" s="735">
        <f t="shared" si="13"/>
        <v>1150.1570147423861</v>
      </c>
      <c r="R16" s="735">
        <f t="shared" si="13"/>
        <v>1173.1601550372338</v>
      </c>
      <c r="S16" s="735">
        <f t="shared" si="13"/>
        <v>1196.6233581379786</v>
      </c>
      <c r="T16" s="735">
        <f t="shared" si="13"/>
        <v>1220.5558253007382</v>
      </c>
      <c r="U16" s="735">
        <f t="shared" si="13"/>
        <v>1244.9669418067531</v>
      </c>
      <c r="V16" s="735">
        <f t="shared" si="13"/>
        <v>1269.8662806428881</v>
      </c>
      <c r="W16" s="735">
        <f t="shared" si="13"/>
        <v>1295.2636062557458</v>
      </c>
      <c r="X16" s="735">
        <f t="shared" si="13"/>
        <v>1321.1688783808606</v>
      </c>
      <c r="Y16" s="735">
        <f t="shared" si="13"/>
        <v>1347.5922559484779</v>
      </c>
      <c r="Z16" s="735">
        <f t="shared" si="13"/>
        <v>1374.5441010674476</v>
      </c>
      <c r="AA16" s="735">
        <f t="shared" si="13"/>
        <v>1402.0349830887967</v>
      </c>
      <c r="AB16" s="735">
        <f t="shared" si="13"/>
        <v>1430.0756827505727</v>
      </c>
      <c r="AC16" s="735">
        <f t="shared" si="13"/>
        <v>1458.6771964055843</v>
      </c>
      <c r="AD16" s="735">
        <f t="shared" si="13"/>
        <v>1487.850740333696</v>
      </c>
      <c r="AE16" s="735">
        <f t="shared" si="13"/>
        <v>1517.6077551403698</v>
      </c>
    </row>
    <row r="17" spans="2:31">
      <c r="B17" s="747"/>
      <c r="C17" s="715"/>
      <c r="D17" s="715"/>
      <c r="G17" s="713"/>
    </row>
    <row r="18" spans="2:31">
      <c r="B18" s="722" t="s">
        <v>910</v>
      </c>
      <c r="C18" s="722"/>
      <c r="D18" s="722"/>
      <c r="E18" s="722"/>
      <c r="F18" s="723"/>
      <c r="G18" s="723"/>
      <c r="H18" s="723"/>
      <c r="I18" s="723"/>
      <c r="J18" s="723"/>
      <c r="K18" s="723"/>
      <c r="L18" s="723"/>
      <c r="M18" s="723"/>
      <c r="N18" s="723"/>
      <c r="O18" s="723"/>
      <c r="P18" s="723"/>
      <c r="Q18" s="723"/>
      <c r="R18" s="723"/>
      <c r="S18" s="723"/>
      <c r="T18" s="723"/>
      <c r="U18" s="723"/>
      <c r="V18" s="723"/>
      <c r="W18" s="723"/>
      <c r="X18" s="723"/>
      <c r="Y18" s="723"/>
      <c r="Z18" s="723"/>
      <c r="AA18" s="723"/>
      <c r="AB18" s="723"/>
      <c r="AC18" s="723"/>
      <c r="AD18" s="723"/>
      <c r="AE18" s="723"/>
    </row>
    <row r="19" spans="2:31" ht="3.95" customHeight="1">
      <c r="B19" s="100"/>
      <c r="C19" s="100"/>
      <c r="D19" s="100"/>
      <c r="E19" s="100"/>
      <c r="F19" s="100"/>
      <c r="G19" s="100"/>
      <c r="H19" s="100"/>
      <c r="I19" s="100"/>
      <c r="J19" s="100"/>
      <c r="K19" s="100"/>
    </row>
    <row r="20" spans="2:31">
      <c r="B20" s="596" t="s">
        <v>559</v>
      </c>
      <c r="C20" s="728">
        <f t="shared" ref="C20:H30" si="14">+C5/C$16</f>
        <v>5.1542229988265909E-2</v>
      </c>
      <c r="D20" s="728">
        <f t="shared" si="14"/>
        <v>5.337275232323084E-2</v>
      </c>
      <c r="E20" s="728">
        <f t="shared" si="14"/>
        <v>4.5058589187218306E-2</v>
      </c>
      <c r="F20" s="728">
        <f t="shared" si="14"/>
        <v>4.0938832256787822E-2</v>
      </c>
      <c r="G20" s="728">
        <f t="shared" si="14"/>
        <v>4.6464705882352936E-2</v>
      </c>
      <c r="H20" s="728">
        <f t="shared" si="14"/>
        <v>4.9646680689149909E-2</v>
      </c>
      <c r="I20" s="728">
        <f t="shared" ref="I20:I29" si="15">SUMPRODUCT(C20:H20,$F$34:$K$34)</f>
        <v>4.7839212138913428E-2</v>
      </c>
      <c r="J20" s="728">
        <f t="shared" ref="J20:J29" si="16">SUMPRODUCT(D20:I20,$F$34:$K$34)</f>
        <v>4.7896855903016872E-2</v>
      </c>
      <c r="K20" s="728">
        <f t="shared" ref="K20:K29" si="17">SUMPRODUCT(E20:J20,$F$34:$K$34)</f>
        <v>4.7959426272162833E-2</v>
      </c>
      <c r="L20" s="728">
        <f t="shared" ref="L20:L29" si="18">SUMPRODUCT(F20:K20,$F$34:$K$34)</f>
        <v>4.8087626010550777E-2</v>
      </c>
      <c r="M20" s="728">
        <f t="shared" ref="M20:M29" si="19">SUMPRODUCT(G20:L20,$F$34:$K$34)</f>
        <v>4.8249949641034011E-2</v>
      </c>
      <c r="N20" s="728">
        <f t="shared" ref="N20:N29" si="20">SUMPRODUCT(H20:M20,$F$34:$K$34)</f>
        <v>4.8371066859043299E-2</v>
      </c>
      <c r="O20" s="728">
        <f t="shared" ref="O20:O29" si="21">SUMPRODUCT(I20:N20,$F$34:$K$34)</f>
        <v>4.8468124006929847E-2</v>
      </c>
      <c r="P20" s="728">
        <f t="shared" ref="P20:P29" si="22">SUMPRODUCT(J20:O20,$F$34:$K$34)</f>
        <v>4.8580031973642746E-2</v>
      </c>
      <c r="Q20" s="728">
        <f t="shared" ref="Q20:Q29" si="23">SUMPRODUCT(K20:P20,$F$34:$K$34)</f>
        <v>4.8692757186303989E-2</v>
      </c>
      <c r="R20" s="728">
        <f t="shared" ref="R20:R29" si="24">SUMPRODUCT(L20:Q20,$F$34:$K$34)</f>
        <v>4.8806128992542372E-2</v>
      </c>
      <c r="S20" s="728">
        <f t="shared" ref="S20:S29" si="25">SUMPRODUCT(M20:R20,$F$34:$K$34)</f>
        <v>4.8919639422322747E-2</v>
      </c>
      <c r="T20" s="728">
        <f t="shared" ref="T20:T29" si="26">SUMPRODUCT(N20:S20,$F$34:$K$34)</f>
        <v>4.9033018189273206E-2</v>
      </c>
      <c r="U20" s="728">
        <f t="shared" ref="U20:U29" si="27">SUMPRODUCT(O20:T20,$F$34:$K$34)</f>
        <v>4.9146583198999165E-2</v>
      </c>
      <c r="V20" s="728">
        <f t="shared" ref="V20:V29" si="28">SUMPRODUCT(P20:U20,$F$34:$K$34)</f>
        <v>4.926052746228228E-2</v>
      </c>
      <c r="W20" s="728">
        <f t="shared" ref="W20:W29" si="29">SUMPRODUCT(Q20:V20,$F$34:$K$34)</f>
        <v>4.9374740679743845E-2</v>
      </c>
      <c r="X20" s="728">
        <f t="shared" ref="X20:X29" si="30">SUMPRODUCT(R20:W20,$F$34:$K$34)</f>
        <v>4.9489218053197906E-2</v>
      </c>
      <c r="Y20" s="728">
        <f t="shared" ref="Y20:Y29" si="31">SUMPRODUCT(S20:X20,$F$34:$K$34)</f>
        <v>4.9603957124710191E-2</v>
      </c>
      <c r="Z20" s="728">
        <f t="shared" ref="Z20:Z29" si="32">SUMPRODUCT(T20:Y20,$F$34:$K$34)</f>
        <v>4.9718959403685516E-2</v>
      </c>
      <c r="AA20" s="728">
        <f t="shared" ref="AA20:AA29" si="33">SUMPRODUCT(U20:Z20,$F$34:$K$34)</f>
        <v>4.9834228565908426E-2</v>
      </c>
      <c r="AB20" s="728">
        <f t="shared" ref="AB20:AB29" si="34">SUMPRODUCT(V20:AA20,$F$34:$K$34)</f>
        <v>4.9949765861947562E-2</v>
      </c>
      <c r="AC20" s="728">
        <f t="shared" ref="AC20:AC29" si="35">SUMPRODUCT(W20:AB20,$F$34:$K$34)</f>
        <v>5.006557102272835E-2</v>
      </c>
      <c r="AD20" s="728">
        <f t="shared" ref="AD20:AD29" si="36">SUMPRODUCT(X20:AC20,$F$34:$K$34)</f>
        <v>5.0181644623002938E-2</v>
      </c>
      <c r="AE20" s="728">
        <f t="shared" ref="AE20:AE29" si="37">SUMPRODUCT(Y20:AD20,$F$34:$K$34)</f>
        <v>5.0297987289195101E-2</v>
      </c>
    </row>
    <row r="21" spans="2:31">
      <c r="B21" s="726" t="s">
        <v>560</v>
      </c>
      <c r="C21" s="739">
        <f>+C6/C$16</f>
        <v>5.03483668945462E-2</v>
      </c>
      <c r="D21" s="739">
        <f t="shared" si="14"/>
        <v>5.3677254396745193E-2</v>
      </c>
      <c r="E21" s="739">
        <f t="shared" si="14"/>
        <v>4.3499920335298557E-2</v>
      </c>
      <c r="F21" s="739">
        <f t="shared" si="14"/>
        <v>3.8871292767948207E-2</v>
      </c>
      <c r="G21" s="739">
        <f t="shared" si="14"/>
        <v>4.5100000000000001E-2</v>
      </c>
      <c r="H21" s="739">
        <f t="shared" si="14"/>
        <v>4.8069151324652004E-2</v>
      </c>
      <c r="I21" s="739">
        <f t="shared" si="15"/>
        <v>4.6312722738394298E-2</v>
      </c>
      <c r="J21" s="739">
        <f t="shared" si="16"/>
        <v>4.6364939063552026E-2</v>
      </c>
      <c r="K21" s="739">
        <f t="shared" si="17"/>
        <v>4.6409757067464551E-2</v>
      </c>
      <c r="L21" s="739">
        <f t="shared" si="18"/>
        <v>4.6534459690558805E-2</v>
      </c>
      <c r="M21" s="739">
        <f t="shared" si="19"/>
        <v>4.6697369338945735E-2</v>
      </c>
      <c r="N21" s="739">
        <f t="shared" si="20"/>
        <v>4.6813628378819062E-2</v>
      </c>
      <c r="O21" s="739">
        <f t="shared" si="21"/>
        <v>4.6907387008282148E-2</v>
      </c>
      <c r="P21" s="739">
        <f t="shared" si="22"/>
        <v>4.7015580318265894E-2</v>
      </c>
      <c r="Q21" s="739">
        <f t="shared" si="23"/>
        <v>4.7124591968114388E-2</v>
      </c>
      <c r="R21" s="739">
        <f t="shared" si="24"/>
        <v>4.7234351777204447E-2</v>
      </c>
      <c r="S21" s="739">
        <f t="shared" si="25"/>
        <v>4.7344242426734906E-2</v>
      </c>
      <c r="T21" s="739">
        <f t="shared" si="26"/>
        <v>4.7453960559537045E-2</v>
      </c>
      <c r="U21" s="739">
        <f t="shared" si="27"/>
        <v>4.7563865874750907E-2</v>
      </c>
      <c r="V21" s="739">
        <f t="shared" si="28"/>
        <v>4.7674139625648357E-2</v>
      </c>
      <c r="W21" s="739">
        <f t="shared" si="29"/>
        <v>4.7784674538177363E-2</v>
      </c>
      <c r="X21" s="739">
        <f t="shared" si="30"/>
        <v>4.7895465757933534E-2</v>
      </c>
      <c r="Y21" s="739">
        <f t="shared" si="31"/>
        <v>4.8006509954451021E-2</v>
      </c>
      <c r="Z21" s="739">
        <f t="shared" si="32"/>
        <v>4.8117808602001835E-2</v>
      </c>
      <c r="AA21" s="739">
        <f t="shared" si="33"/>
        <v>4.8229365607625981E-2</v>
      </c>
      <c r="AB21" s="739">
        <f t="shared" si="34"/>
        <v>4.8341182131611996E-2</v>
      </c>
      <c r="AC21" s="739">
        <f t="shared" si="35"/>
        <v>4.8453257902342596E-2</v>
      </c>
      <c r="AD21" s="739">
        <f t="shared" si="36"/>
        <v>4.8565593469243815E-2</v>
      </c>
      <c r="AE21" s="739">
        <f t="shared" si="37"/>
        <v>4.8678189433371405E-2</v>
      </c>
    </row>
    <row r="22" spans="2:31">
      <c r="B22" s="596" t="s">
        <v>561</v>
      </c>
      <c r="C22" s="728">
        <f t="shared" si="14"/>
        <v>2.5492749094433959E-2</v>
      </c>
      <c r="D22" s="728">
        <f t="shared" si="14"/>
        <v>2.5511474176483369E-2</v>
      </c>
      <c r="E22" s="728">
        <f t="shared" si="14"/>
        <v>2.1406006583414541E-2</v>
      </c>
      <c r="F22" s="728">
        <f t="shared" si="14"/>
        <v>1.9262336298273296E-2</v>
      </c>
      <c r="G22" s="728">
        <f t="shared" si="14"/>
        <v>2.1383529411764704E-2</v>
      </c>
      <c r="H22" s="728">
        <f t="shared" si="14"/>
        <v>2.3093375558339044E-2</v>
      </c>
      <c r="I22" s="728">
        <f t="shared" si="15"/>
        <v>2.2295662864640686E-2</v>
      </c>
      <c r="J22" s="728">
        <f t="shared" si="16"/>
        <v>2.2311480264049846E-2</v>
      </c>
      <c r="K22" s="728">
        <f t="shared" si="17"/>
        <v>2.2335444848680656E-2</v>
      </c>
      <c r="L22" s="728">
        <f t="shared" si="18"/>
        <v>2.2391804516580849E-2</v>
      </c>
      <c r="M22" s="728">
        <f t="shared" si="19"/>
        <v>2.2465799156095399E-2</v>
      </c>
      <c r="N22" s="728">
        <f t="shared" si="20"/>
        <v>2.2524138270522086E-2</v>
      </c>
      <c r="O22" s="728">
        <f t="shared" si="21"/>
        <v>2.2569546047822048E-2</v>
      </c>
      <c r="P22" s="728">
        <f t="shared" si="22"/>
        <v>2.2621510719943262E-2</v>
      </c>
      <c r="Q22" s="728">
        <f t="shared" si="23"/>
        <v>2.2673937034301019E-2</v>
      </c>
      <c r="R22" s="728">
        <f t="shared" si="24"/>
        <v>2.272670500490729E-2</v>
      </c>
      <c r="S22" s="728">
        <f t="shared" si="25"/>
        <v>2.2779563761876637E-2</v>
      </c>
      <c r="T22" s="728">
        <f t="shared" si="26"/>
        <v>2.2832373931158102E-2</v>
      </c>
      <c r="U22" s="728">
        <f t="shared" si="27"/>
        <v>2.2885255941924046E-2</v>
      </c>
      <c r="V22" s="728">
        <f t="shared" si="28"/>
        <v>2.2938312742952334E-2</v>
      </c>
      <c r="W22" s="728">
        <f t="shared" si="29"/>
        <v>2.2991495885892582E-2</v>
      </c>
      <c r="X22" s="728">
        <f t="shared" si="30"/>
        <v>2.3044802543100436E-2</v>
      </c>
      <c r="Y22" s="728">
        <f t="shared" si="31"/>
        <v>2.3098231252252681E-2</v>
      </c>
      <c r="Z22" s="728">
        <f t="shared" si="32"/>
        <v>2.315178250997707E-2</v>
      </c>
      <c r="AA22" s="728">
        <f t="shared" si="33"/>
        <v>2.3205457926316911E-2</v>
      </c>
      <c r="AB22" s="728">
        <f t="shared" si="34"/>
        <v>2.3259258197697197E-2</v>
      </c>
      <c r="AC22" s="728">
        <f t="shared" si="35"/>
        <v>2.3313183214083655E-2</v>
      </c>
      <c r="AD22" s="728">
        <f t="shared" si="36"/>
        <v>2.3367233234779822E-2</v>
      </c>
      <c r="AE22" s="728">
        <f t="shared" si="37"/>
        <v>2.3421408547466611E-2</v>
      </c>
    </row>
    <row r="23" spans="2:31">
      <c r="B23" s="596" t="s">
        <v>562</v>
      </c>
      <c r="C23" s="728">
        <f t="shared" si="14"/>
        <v>1.6148933727871028E-2</v>
      </c>
      <c r="D23" s="728">
        <f t="shared" si="14"/>
        <v>1.6462975305914125E-2</v>
      </c>
      <c r="E23" s="728">
        <f t="shared" si="14"/>
        <v>1.264019224793113E-2</v>
      </c>
      <c r="F23" s="728">
        <f t="shared" si="14"/>
        <v>1.1439573068941196E-2</v>
      </c>
      <c r="G23" s="728">
        <f t="shared" si="14"/>
        <v>1.2561176470588235E-2</v>
      </c>
      <c r="H23" s="728">
        <f t="shared" si="14"/>
        <v>1.3081086191005129E-2</v>
      </c>
      <c r="I23" s="728">
        <f t="shared" si="15"/>
        <v>1.2929212653890873E-2</v>
      </c>
      <c r="J23" s="728">
        <f t="shared" si="16"/>
        <v>1.2930822500309646E-2</v>
      </c>
      <c r="K23" s="728">
        <f t="shared" si="17"/>
        <v>1.2931529829199477E-2</v>
      </c>
      <c r="L23" s="728">
        <f t="shared" si="18"/>
        <v>1.2962100698843407E-2</v>
      </c>
      <c r="M23" s="728">
        <f t="shared" si="19"/>
        <v>1.3002655749927178E-2</v>
      </c>
      <c r="N23" s="728">
        <f t="shared" si="20"/>
        <v>1.3034953666760819E-2</v>
      </c>
      <c r="O23" s="728">
        <f t="shared" si="21"/>
        <v>1.3063430196729536E-2</v>
      </c>
      <c r="P23" s="728">
        <f t="shared" si="22"/>
        <v>1.3093339790137996E-2</v>
      </c>
      <c r="Q23" s="728">
        <f t="shared" si="23"/>
        <v>1.3123550233189792E-2</v>
      </c>
      <c r="R23" s="728">
        <f t="shared" si="24"/>
        <v>1.3154060263161587E-2</v>
      </c>
      <c r="S23" s="728">
        <f t="shared" si="25"/>
        <v>1.3184639554383207E-2</v>
      </c>
      <c r="T23" s="728">
        <f t="shared" si="26"/>
        <v>1.3215208494792949E-2</v>
      </c>
      <c r="U23" s="728">
        <f t="shared" si="27"/>
        <v>1.3245830693623407E-2</v>
      </c>
      <c r="V23" s="728">
        <f t="shared" si="28"/>
        <v>1.3276537174135995E-2</v>
      </c>
      <c r="W23" s="728">
        <f t="shared" si="29"/>
        <v>1.3307317893572028E-2</v>
      </c>
      <c r="X23" s="728">
        <f t="shared" si="30"/>
        <v>1.3338171143505315E-2</v>
      </c>
      <c r="Y23" s="728">
        <f t="shared" si="31"/>
        <v>1.3369095291633751E-2</v>
      </c>
      <c r="Z23" s="728">
        <f t="shared" si="32"/>
        <v>1.3400090489512753E-2</v>
      </c>
      <c r="AA23" s="728">
        <f t="shared" si="33"/>
        <v>1.3431157530021103E-2</v>
      </c>
      <c r="AB23" s="728">
        <f t="shared" si="34"/>
        <v>1.3462296723432465E-2</v>
      </c>
      <c r="AC23" s="728">
        <f t="shared" si="35"/>
        <v>1.3493508135927965E-2</v>
      </c>
      <c r="AD23" s="728">
        <f t="shared" si="36"/>
        <v>1.3524791910368667E-2</v>
      </c>
      <c r="AE23" s="728">
        <f t="shared" si="37"/>
        <v>1.3556148205158127E-2</v>
      </c>
    </row>
    <row r="24" spans="2:31">
      <c r="B24" s="596" t="s">
        <v>563</v>
      </c>
      <c r="C24" s="728">
        <f t="shared" si="14"/>
        <v>1.3920150757614408E-2</v>
      </c>
      <c r="D24" s="728">
        <f t="shared" si="14"/>
        <v>1.311203368753207E-2</v>
      </c>
      <c r="E24" s="728">
        <f t="shared" si="14"/>
        <v>9.4259620583977827E-3</v>
      </c>
      <c r="F24" s="728">
        <f t="shared" si="14"/>
        <v>8.7352712843957563E-3</v>
      </c>
      <c r="G24" s="728">
        <f t="shared" si="14"/>
        <v>9.9329411764705871E-3</v>
      </c>
      <c r="H24" s="728">
        <f t="shared" si="14"/>
        <v>8.8719778791387996E-3</v>
      </c>
      <c r="I24" s="728">
        <f t="shared" si="15"/>
        <v>9.4049487387922563E-3</v>
      </c>
      <c r="J24" s="728">
        <f t="shared" si="16"/>
        <v>9.3955767569828506E-3</v>
      </c>
      <c r="K24" s="728">
        <f t="shared" si="17"/>
        <v>9.387001041550741E-3</v>
      </c>
      <c r="L24" s="728">
        <f t="shared" si="18"/>
        <v>9.4071449662306954E-3</v>
      </c>
      <c r="M24" s="728">
        <f t="shared" si="19"/>
        <v>9.4331735482304606E-3</v>
      </c>
      <c r="N24" s="728">
        <f t="shared" si="20"/>
        <v>9.4501644665915853E-3</v>
      </c>
      <c r="O24" s="728">
        <f t="shared" si="21"/>
        <v>9.4755236932603411E-3</v>
      </c>
      <c r="P24" s="728">
        <f t="shared" si="22"/>
        <v>9.4970563604378187E-3</v>
      </c>
      <c r="Q24" s="728">
        <f t="shared" si="23"/>
        <v>9.5188393073000425E-3</v>
      </c>
      <c r="R24" s="728">
        <f t="shared" si="24"/>
        <v>9.5409095842045495E-3</v>
      </c>
      <c r="S24" s="728">
        <f t="shared" si="25"/>
        <v>9.5630460627669639E-3</v>
      </c>
      <c r="T24" s="728">
        <f t="shared" si="26"/>
        <v>9.5852012198347075E-3</v>
      </c>
      <c r="U24" s="728">
        <f t="shared" si="27"/>
        <v>9.6074453737084852E-3</v>
      </c>
      <c r="V24" s="728">
        <f t="shared" si="28"/>
        <v>9.6297147401307112E-3</v>
      </c>
      <c r="W24" s="728">
        <f t="shared" si="29"/>
        <v>9.6520388283803209E-3</v>
      </c>
      <c r="X24" s="728">
        <f t="shared" si="30"/>
        <v>9.6744165254583382E-3</v>
      </c>
      <c r="Y24" s="728">
        <f t="shared" si="31"/>
        <v>9.6968461115571041E-3</v>
      </c>
      <c r="Z24" s="728">
        <f t="shared" si="32"/>
        <v>9.7193275711682965E-3</v>
      </c>
      <c r="AA24" s="728">
        <f t="shared" si="33"/>
        <v>9.7418612769461337E-3</v>
      </c>
      <c r="AB24" s="728">
        <f t="shared" si="34"/>
        <v>9.7644470597912751E-3</v>
      </c>
      <c r="AC24" s="728">
        <f t="shared" si="35"/>
        <v>9.7870852418103678E-3</v>
      </c>
      <c r="AD24" s="728">
        <f t="shared" si="36"/>
        <v>9.8097759227019424E-3</v>
      </c>
      <c r="AE24" s="728">
        <f t="shared" si="37"/>
        <v>9.8325192096327327E-3</v>
      </c>
    </row>
    <row r="25" spans="2:31">
      <c r="B25" s="596" t="s">
        <v>564</v>
      </c>
      <c r="C25" s="728">
        <f t="shared" si="14"/>
        <v>1.0624298505178306E-2</v>
      </c>
      <c r="D25" s="728">
        <f t="shared" si="14"/>
        <v>1.1006137456379503E-2</v>
      </c>
      <c r="E25" s="728">
        <f t="shared" si="14"/>
        <v>8.1463794494996203E-3</v>
      </c>
      <c r="F25" s="728">
        <f t="shared" si="14"/>
        <v>7.5591990095442985E-3</v>
      </c>
      <c r="G25" s="728">
        <f t="shared" si="14"/>
        <v>8.4200000000000004E-3</v>
      </c>
      <c r="H25" s="728">
        <f t="shared" si="14"/>
        <v>8.9381513955521952E-3</v>
      </c>
      <c r="I25" s="728">
        <f t="shared" si="15"/>
        <v>8.7168337771291772E-3</v>
      </c>
      <c r="J25" s="728">
        <f t="shared" si="16"/>
        <v>8.7187866066445324E-3</v>
      </c>
      <c r="K25" s="728">
        <f t="shared" si="17"/>
        <v>8.7200085521281674E-3</v>
      </c>
      <c r="L25" s="728">
        <f t="shared" si="18"/>
        <v>8.7435772676550706E-3</v>
      </c>
      <c r="M25" s="728">
        <f t="shared" si="19"/>
        <v>8.7721924852248237E-3</v>
      </c>
      <c r="N25" s="728">
        <f t="shared" si="20"/>
        <v>8.79441931225277E-3</v>
      </c>
      <c r="O25" s="728">
        <f t="shared" si="21"/>
        <v>8.8127564658678249E-3</v>
      </c>
      <c r="P25" s="728">
        <f t="shared" si="22"/>
        <v>8.8329671381788336E-3</v>
      </c>
      <c r="Q25" s="728">
        <f t="shared" si="23"/>
        <v>8.853383395919321E-3</v>
      </c>
      <c r="R25" s="728">
        <f t="shared" si="24"/>
        <v>8.8739963256424179E-3</v>
      </c>
      <c r="S25" s="728">
        <f t="shared" si="25"/>
        <v>8.8946332207925187E-3</v>
      </c>
      <c r="T25" s="728">
        <f t="shared" si="26"/>
        <v>8.9152531681611254E-3</v>
      </c>
      <c r="U25" s="728">
        <f t="shared" si="27"/>
        <v>8.9359054984394486E-3</v>
      </c>
      <c r="V25" s="728">
        <f t="shared" si="28"/>
        <v>8.9566214168370333E-3</v>
      </c>
      <c r="W25" s="728">
        <f t="shared" si="29"/>
        <v>8.9773872344223564E-3</v>
      </c>
      <c r="X25" s="728">
        <f t="shared" si="30"/>
        <v>8.998201707161816E-3</v>
      </c>
      <c r="Y25" s="728">
        <f t="shared" si="31"/>
        <v>9.0190637726667473E-3</v>
      </c>
      <c r="Z25" s="728">
        <f t="shared" si="32"/>
        <v>9.0399737090110233E-3</v>
      </c>
      <c r="AA25" s="728">
        <f t="shared" si="33"/>
        <v>9.0609321300883158E-3</v>
      </c>
      <c r="AB25" s="728">
        <f t="shared" si="34"/>
        <v>9.0819392738934156E-3</v>
      </c>
      <c r="AC25" s="728">
        <f t="shared" si="35"/>
        <v>9.1029951332513605E-3</v>
      </c>
      <c r="AD25" s="728">
        <f t="shared" si="36"/>
        <v>9.1240998054085282E-3</v>
      </c>
      <c r="AE25" s="728">
        <f t="shared" si="37"/>
        <v>9.1452533993469851E-3</v>
      </c>
    </row>
    <row r="26" spans="2:31">
      <c r="B26" s="596" t="s">
        <v>565</v>
      </c>
      <c r="C26" s="728">
        <f t="shared" si="14"/>
        <v>9.5015560430590281E-3</v>
      </c>
      <c r="D26" s="728">
        <f t="shared" si="14"/>
        <v>9.9938406306551431E-3</v>
      </c>
      <c r="E26" s="728">
        <f t="shared" si="14"/>
        <v>7.7677144867869582E-3</v>
      </c>
      <c r="F26" s="728">
        <f t="shared" si="14"/>
        <v>6.9955259512586195E-3</v>
      </c>
      <c r="G26" s="728">
        <f t="shared" si="14"/>
        <v>7.8870588235294119E-3</v>
      </c>
      <c r="H26" s="728">
        <f t="shared" si="14"/>
        <v>8.0010871363410778E-3</v>
      </c>
      <c r="I26" s="728">
        <f t="shared" si="15"/>
        <v>7.953022248991996E-3</v>
      </c>
      <c r="J26" s="728">
        <f t="shared" si="16"/>
        <v>7.9578409160220263E-3</v>
      </c>
      <c r="K26" s="728">
        <f t="shared" si="17"/>
        <v>7.9593906319255538E-3</v>
      </c>
      <c r="L26" s="728">
        <f t="shared" si="18"/>
        <v>7.9783147659758212E-3</v>
      </c>
      <c r="M26" s="728">
        <f t="shared" si="19"/>
        <v>8.0036346084818751E-3</v>
      </c>
      <c r="N26" s="728">
        <f t="shared" si="20"/>
        <v>8.0223065059329308E-3</v>
      </c>
      <c r="O26" s="728">
        <f t="shared" si="21"/>
        <v>8.040207796714105E-3</v>
      </c>
      <c r="P26" s="728">
        <f t="shared" si="22"/>
        <v>8.0586559012688075E-3</v>
      </c>
      <c r="Q26" s="728">
        <f t="shared" si="23"/>
        <v>8.0772563091706211E-3</v>
      </c>
      <c r="R26" s="728">
        <f t="shared" si="24"/>
        <v>8.0960321370294273E-3</v>
      </c>
      <c r="S26" s="728">
        <f t="shared" si="25"/>
        <v>8.1148496325691225E-3</v>
      </c>
      <c r="T26" s="728">
        <f t="shared" si="26"/>
        <v>8.1336579084714464E-3</v>
      </c>
      <c r="U26" s="728">
        <f t="shared" si="27"/>
        <v>8.1525083007375834E-3</v>
      </c>
      <c r="V26" s="728">
        <f t="shared" si="28"/>
        <v>8.1714077642557927E-3</v>
      </c>
      <c r="W26" s="728">
        <f t="shared" si="29"/>
        <v>8.1903525873048694E-3</v>
      </c>
      <c r="X26" s="728">
        <f t="shared" si="30"/>
        <v>8.2093419964930133E-3</v>
      </c>
      <c r="Y26" s="728">
        <f t="shared" si="31"/>
        <v>8.2283750594792822E-3</v>
      </c>
      <c r="Z26" s="728">
        <f t="shared" si="32"/>
        <v>8.247451877949492E-3</v>
      </c>
      <c r="AA26" s="728">
        <f t="shared" si="33"/>
        <v>8.2665729625037571E-3</v>
      </c>
      <c r="AB26" s="728">
        <f t="shared" si="34"/>
        <v>8.2857384318748249E-3</v>
      </c>
      <c r="AC26" s="728">
        <f t="shared" si="35"/>
        <v>8.304948347729036E-3</v>
      </c>
      <c r="AD26" s="728">
        <f t="shared" si="36"/>
        <v>8.3242028007765485E-3</v>
      </c>
      <c r="AE26" s="728">
        <f t="shared" si="37"/>
        <v>8.3435018889671878E-3</v>
      </c>
    </row>
    <row r="27" spans="2:31">
      <c r="B27" s="596" t="s">
        <v>566</v>
      </c>
      <c r="C27" s="728">
        <f t="shared" si="14"/>
        <v>1.0670692821794807E-2</v>
      </c>
      <c r="D27" s="728">
        <f t="shared" si="14"/>
        <v>1.1006137456379503E-2</v>
      </c>
      <c r="E27" s="728">
        <f t="shared" si="14"/>
        <v>8.1463794494996203E-3</v>
      </c>
      <c r="F27" s="728">
        <f t="shared" si="14"/>
        <v>7.5591990095442985E-3</v>
      </c>
      <c r="G27" s="728">
        <f t="shared" si="14"/>
        <v>8.4200000000000004E-3</v>
      </c>
      <c r="H27" s="728">
        <f t="shared" si="14"/>
        <v>8.9381513955521952E-3</v>
      </c>
      <c r="I27" s="728">
        <f t="shared" si="15"/>
        <v>8.7175586883263094E-3</v>
      </c>
      <c r="J27" s="728">
        <f t="shared" si="16"/>
        <v>8.7191635604670411E-3</v>
      </c>
      <c r="K27" s="728">
        <f t="shared" si="17"/>
        <v>8.7203857959151539E-3</v>
      </c>
      <c r="L27" s="728">
        <f t="shared" si="18"/>
        <v>8.7439582867795719E-3</v>
      </c>
      <c r="M27" s="728">
        <f t="shared" si="19"/>
        <v>8.7725773522939459E-3</v>
      </c>
      <c r="N27" s="728">
        <f t="shared" si="20"/>
        <v>8.7948080664720305E-3</v>
      </c>
      <c r="O27" s="728">
        <f t="shared" si="21"/>
        <v>8.8131491465007795E-3</v>
      </c>
      <c r="P27" s="728">
        <f t="shared" si="22"/>
        <v>8.8333581215135262E-3</v>
      </c>
      <c r="Q27" s="728">
        <f t="shared" si="23"/>
        <v>8.8537753271626402E-3</v>
      </c>
      <c r="R27" s="728">
        <f t="shared" si="24"/>
        <v>8.8743892384601716E-3</v>
      </c>
      <c r="S27" s="728">
        <f t="shared" si="25"/>
        <v>8.8950270958422818E-3</v>
      </c>
      <c r="T27" s="728">
        <f t="shared" si="26"/>
        <v>8.9156479848097291E-3</v>
      </c>
      <c r="U27" s="728">
        <f t="shared" si="27"/>
        <v>8.9363012355281879E-3</v>
      </c>
      <c r="V27" s="728">
        <f t="shared" si="28"/>
        <v>8.9570180526836185E-3</v>
      </c>
      <c r="W27" s="728">
        <f t="shared" si="29"/>
        <v>8.9777847910576837E-3</v>
      </c>
      <c r="X27" s="728">
        <f t="shared" si="30"/>
        <v>8.9986001866085435E-3</v>
      </c>
      <c r="Y27" s="728">
        <f t="shared" si="31"/>
        <v>9.0194631765046669E-3</v>
      </c>
      <c r="Z27" s="728">
        <f t="shared" si="32"/>
        <v>9.0403740389824079E-3</v>
      </c>
      <c r="AA27" s="728">
        <f t="shared" si="33"/>
        <v>9.0613333881156832E-3</v>
      </c>
      <c r="AB27" s="728">
        <f t="shared" si="34"/>
        <v>9.0823414620856083E-3</v>
      </c>
      <c r="AC27" s="728">
        <f t="shared" si="35"/>
        <v>9.1033982539095726E-3</v>
      </c>
      <c r="AD27" s="728">
        <f t="shared" si="36"/>
        <v>9.1245038606867709E-3</v>
      </c>
      <c r="AE27" s="728">
        <f t="shared" si="37"/>
        <v>9.1456583914035321E-3</v>
      </c>
    </row>
    <row r="28" spans="2:31">
      <c r="B28" s="596" t="s">
        <v>567</v>
      </c>
      <c r="C28" s="728">
        <f t="shared" si="14"/>
        <v>7.484331156573645E-3</v>
      </c>
      <c r="D28" s="728">
        <f t="shared" si="14"/>
        <v>7.1833220420692411E-3</v>
      </c>
      <c r="E28" s="728">
        <f t="shared" si="14"/>
        <v>4.6913793366951491E-3</v>
      </c>
      <c r="F28" s="728">
        <f t="shared" si="14"/>
        <v>4.7685190353205032E-3</v>
      </c>
      <c r="G28" s="728">
        <f t="shared" si="14"/>
        <v>5.438823529411765E-3</v>
      </c>
      <c r="H28" s="728">
        <f t="shared" si="14"/>
        <v>5.7866376763642379E-3</v>
      </c>
      <c r="I28" s="728">
        <f t="shared" si="15"/>
        <v>5.5994550501569816E-3</v>
      </c>
      <c r="J28" s="728">
        <f t="shared" si="16"/>
        <v>5.5951064372357475E-3</v>
      </c>
      <c r="K28" s="728">
        <f t="shared" si="17"/>
        <v>5.5948943120252264E-3</v>
      </c>
      <c r="L28" s="728">
        <f t="shared" si="18"/>
        <v>5.614189732825443E-3</v>
      </c>
      <c r="M28" s="728">
        <f t="shared" si="19"/>
        <v>5.633270529398258E-3</v>
      </c>
      <c r="N28" s="728">
        <f t="shared" si="20"/>
        <v>5.647303233834439E-3</v>
      </c>
      <c r="O28" s="728">
        <f t="shared" si="21"/>
        <v>5.6587084863705499E-3</v>
      </c>
      <c r="P28" s="728">
        <f t="shared" si="22"/>
        <v>5.6716638811802646E-3</v>
      </c>
      <c r="Q28" s="728">
        <f t="shared" si="23"/>
        <v>5.6847983048992599E-3</v>
      </c>
      <c r="R28" s="728">
        <f t="shared" si="24"/>
        <v>5.698067520372746E-3</v>
      </c>
      <c r="S28" s="728">
        <f t="shared" si="25"/>
        <v>5.7113200304435095E-3</v>
      </c>
      <c r="T28" s="728">
        <f t="shared" si="26"/>
        <v>5.7245558298377281E-3</v>
      </c>
      <c r="U28" s="728">
        <f t="shared" si="27"/>
        <v>5.7378141896157163E-3</v>
      </c>
      <c r="V28" s="728">
        <f t="shared" si="28"/>
        <v>5.7511162550598835E-3</v>
      </c>
      <c r="W28" s="728">
        <f t="shared" si="29"/>
        <v>5.7644505641932034E-3</v>
      </c>
      <c r="X28" s="728">
        <f t="shared" si="30"/>
        <v>5.7778159261694436E-3</v>
      </c>
      <c r="Y28" s="728">
        <f t="shared" si="31"/>
        <v>5.7912115865479882E-3</v>
      </c>
      <c r="Z28" s="728">
        <f t="shared" si="32"/>
        <v>5.8046379712794142E-3</v>
      </c>
      <c r="AA28" s="728">
        <f t="shared" si="33"/>
        <v>5.8180955224189151E-3</v>
      </c>
      <c r="AB28" s="728">
        <f t="shared" si="34"/>
        <v>5.831584379798126E-3</v>
      </c>
      <c r="AC28" s="728">
        <f t="shared" si="35"/>
        <v>5.8451045164272441E-3</v>
      </c>
      <c r="AD28" s="728">
        <f t="shared" si="36"/>
        <v>5.8586559929250485E-3</v>
      </c>
      <c r="AE28" s="728">
        <f t="shared" si="37"/>
        <v>5.8722388806960787E-3</v>
      </c>
    </row>
    <row r="29" spans="2:31">
      <c r="B29" s="596" t="s">
        <v>568</v>
      </c>
      <c r="C29" s="728">
        <f t="shared" si="14"/>
        <v>5.6601066272128969E-3</v>
      </c>
      <c r="D29" s="728">
        <f t="shared" si="14"/>
        <v>3.6729636007384664E-3</v>
      </c>
      <c r="E29" s="728">
        <f t="shared" si="14"/>
        <v>2.9975525068428647E-3</v>
      </c>
      <c r="F29" s="728">
        <f t="shared" si="14"/>
        <v>2.7175907368036495E-3</v>
      </c>
      <c r="G29" s="728">
        <f t="shared" si="14"/>
        <v>3.7129411764705886E-3</v>
      </c>
      <c r="H29" s="728">
        <f t="shared" si="14"/>
        <v>4.4076288611065153E-3</v>
      </c>
      <c r="I29" s="728">
        <f t="shared" si="15"/>
        <v>3.9504674542444485E-3</v>
      </c>
      <c r="J29" s="728">
        <f t="shared" si="16"/>
        <v>3.9411809316931721E-3</v>
      </c>
      <c r="K29" s="728">
        <f t="shared" si="17"/>
        <v>3.9518048476538219E-3</v>
      </c>
      <c r="L29" s="728">
        <f t="shared" si="18"/>
        <v>3.9680107563302564E-3</v>
      </c>
      <c r="M29" s="728">
        <f t="shared" si="19"/>
        <v>3.9866217453490447E-3</v>
      </c>
      <c r="N29" s="728">
        <f t="shared" si="20"/>
        <v>3.997666719751547E-3</v>
      </c>
      <c r="O29" s="728">
        <f t="shared" si="21"/>
        <v>4.0033192362156928E-3</v>
      </c>
      <c r="P29" s="728">
        <f t="shared" si="22"/>
        <v>4.0125459267562058E-3</v>
      </c>
      <c r="Q29" s="728">
        <f t="shared" si="23"/>
        <v>4.0219731769003206E-3</v>
      </c>
      <c r="R29" s="728">
        <f t="shared" si="24"/>
        <v>4.0314137057984693E-3</v>
      </c>
      <c r="S29" s="728">
        <f t="shared" si="25"/>
        <v>4.0408221641116057E-3</v>
      </c>
      <c r="T29" s="728">
        <f t="shared" si="26"/>
        <v>4.0501789879503133E-3</v>
      </c>
      <c r="U29" s="728">
        <f t="shared" si="27"/>
        <v>4.0595425748201448E-3</v>
      </c>
      <c r="V29" s="728">
        <f t="shared" si="28"/>
        <v>4.0689557049041099E-3</v>
      </c>
      <c r="W29" s="728">
        <f t="shared" si="29"/>
        <v>4.0783913782012071E-3</v>
      </c>
      <c r="X29" s="728">
        <f t="shared" si="30"/>
        <v>4.0878479832716572E-3</v>
      </c>
      <c r="Y29" s="728">
        <f t="shared" si="31"/>
        <v>4.0973256095785272E-3</v>
      </c>
      <c r="Z29" s="728">
        <f t="shared" si="32"/>
        <v>4.1068247187802595E-3</v>
      </c>
      <c r="AA29" s="728">
        <f t="shared" si="33"/>
        <v>4.1163459337167172E-3</v>
      </c>
      <c r="AB29" s="728">
        <f t="shared" si="34"/>
        <v>4.1258894288374662E-3</v>
      </c>
      <c r="AC29" s="728">
        <f t="shared" si="35"/>
        <v>4.1354550416324853E-3</v>
      </c>
      <c r="AD29" s="728">
        <f t="shared" si="36"/>
        <v>4.1450428155345633E-3</v>
      </c>
      <c r="AE29" s="728">
        <f t="shared" si="37"/>
        <v>4.1546528090596196E-3</v>
      </c>
    </row>
    <row r="30" spans="2:31">
      <c r="B30" s="596" t="s">
        <v>569</v>
      </c>
      <c r="C30" s="728">
        <f t="shared" si="14"/>
        <v>0.79860658438344989</v>
      </c>
      <c r="D30" s="728">
        <f t="shared" si="14"/>
        <v>0.79500110892387255</v>
      </c>
      <c r="E30" s="728">
        <f t="shared" si="14"/>
        <v>0.83621992435841541</v>
      </c>
      <c r="F30" s="728">
        <f t="shared" si="14"/>
        <v>0.85115266058118244</v>
      </c>
      <c r="G30" s="728">
        <f t="shared" si="14"/>
        <v>0.8306788235294118</v>
      </c>
      <c r="H30" s="728">
        <f t="shared" si="14"/>
        <v>0.821166071892799</v>
      </c>
      <c r="I30" s="728">
        <f>+I31-SUM(I20:I29)</f>
        <v>0.82628090364651952</v>
      </c>
      <c r="J30" s="728">
        <f t="shared" ref="J30:AE30" si="38">+J31-SUM(J20:J29)</f>
        <v>0.82616824706002623</v>
      </c>
      <c r="K30" s="728">
        <f t="shared" si="38"/>
        <v>0.82603035680129377</v>
      </c>
      <c r="L30" s="728">
        <f t="shared" si="38"/>
        <v>0.82556881330766929</v>
      </c>
      <c r="M30" s="728">
        <f t="shared" si="38"/>
        <v>0.82498275584501923</v>
      </c>
      <c r="N30" s="728">
        <f t="shared" si="38"/>
        <v>0.82454954452001938</v>
      </c>
      <c r="O30" s="728">
        <f t="shared" si="38"/>
        <v>0.82418784791530708</v>
      </c>
      <c r="P30" s="728">
        <f t="shared" si="38"/>
        <v>0.82378328986867466</v>
      </c>
      <c r="Q30" s="728">
        <f t="shared" si="38"/>
        <v>0.82337513775673865</v>
      </c>
      <c r="R30" s="728">
        <f t="shared" si="38"/>
        <v>0.82296394545067653</v>
      </c>
      <c r="S30" s="728">
        <f t="shared" si="38"/>
        <v>0.82255221662815647</v>
      </c>
      <c r="T30" s="728">
        <f t="shared" si="38"/>
        <v>0.82214094372617363</v>
      </c>
      <c r="U30" s="728">
        <f t="shared" si="38"/>
        <v>0.82172894711785294</v>
      </c>
      <c r="V30" s="728">
        <f t="shared" si="38"/>
        <v>0.82131564906110988</v>
      </c>
      <c r="W30" s="728">
        <f t="shared" si="38"/>
        <v>0.82090136561905458</v>
      </c>
      <c r="X30" s="728">
        <f t="shared" si="38"/>
        <v>0.82048611817710004</v>
      </c>
      <c r="Y30" s="728">
        <f t="shared" si="38"/>
        <v>0.82006992106061793</v>
      </c>
      <c r="Z30" s="728">
        <f t="shared" si="38"/>
        <v>0.81965276910765195</v>
      </c>
      <c r="AA30" s="728">
        <f t="shared" si="38"/>
        <v>0.81923464915633804</v>
      </c>
      <c r="AB30" s="728">
        <f t="shared" si="38"/>
        <v>0.81881555704903008</v>
      </c>
      <c r="AC30" s="728">
        <f t="shared" si="38"/>
        <v>0.81839549319015736</v>
      </c>
      <c r="AD30" s="728">
        <f t="shared" si="38"/>
        <v>0.81797445556457138</v>
      </c>
      <c r="AE30" s="728">
        <f t="shared" si="38"/>
        <v>0.81755244194570265</v>
      </c>
    </row>
    <row r="31" spans="2:31">
      <c r="B31" s="719" t="s">
        <v>497</v>
      </c>
      <c r="C31" s="294">
        <f t="shared" ref="C31:H31" si="39">SUM(C20:C30)</f>
        <v>1</v>
      </c>
      <c r="D31" s="294">
        <f t="shared" si="39"/>
        <v>1</v>
      </c>
      <c r="E31" s="294">
        <f t="shared" si="39"/>
        <v>0.99999999999999989</v>
      </c>
      <c r="F31" s="294">
        <f t="shared" si="39"/>
        <v>1</v>
      </c>
      <c r="G31" s="294">
        <f t="shared" si="39"/>
        <v>1</v>
      </c>
      <c r="H31" s="294">
        <f t="shared" si="39"/>
        <v>1</v>
      </c>
      <c r="I31" s="294">
        <v>1</v>
      </c>
      <c r="J31" s="294">
        <v>1</v>
      </c>
      <c r="K31" s="294">
        <v>1</v>
      </c>
      <c r="L31" s="294">
        <v>1</v>
      </c>
      <c r="M31" s="294">
        <v>1</v>
      </c>
      <c r="N31" s="294">
        <v>1</v>
      </c>
      <c r="O31" s="294">
        <v>1</v>
      </c>
      <c r="P31" s="294">
        <v>1</v>
      </c>
      <c r="Q31" s="294">
        <v>1</v>
      </c>
      <c r="R31" s="294">
        <v>1</v>
      </c>
      <c r="S31" s="294">
        <v>1</v>
      </c>
      <c r="T31" s="294">
        <v>1</v>
      </c>
      <c r="U31" s="294">
        <v>1</v>
      </c>
      <c r="V31" s="294">
        <v>1</v>
      </c>
      <c r="W31" s="294">
        <v>1</v>
      </c>
      <c r="X31" s="294">
        <v>1</v>
      </c>
      <c r="Y31" s="294">
        <v>1</v>
      </c>
      <c r="Z31" s="294">
        <v>1</v>
      </c>
      <c r="AA31" s="294">
        <v>1</v>
      </c>
      <c r="AB31" s="294">
        <v>1</v>
      </c>
      <c r="AC31" s="294">
        <v>1</v>
      </c>
      <c r="AD31" s="294">
        <v>1</v>
      </c>
      <c r="AE31" s="294">
        <v>1</v>
      </c>
    </row>
    <row r="33" spans="2:11">
      <c r="B33" s="10" t="s">
        <v>911</v>
      </c>
      <c r="C33" s="714"/>
      <c r="D33" s="715"/>
      <c r="E33" s="715"/>
      <c r="F33" s="730" t="s">
        <v>912</v>
      </c>
    </row>
    <row r="34" spans="2:11">
      <c r="B34" s="10" t="s">
        <v>913</v>
      </c>
      <c r="C34" s="714"/>
      <c r="D34" s="715"/>
      <c r="E34" s="715"/>
      <c r="F34">
        <v>1.5625E-2</v>
      </c>
      <c r="G34">
        <v>3.125E-2</v>
      </c>
      <c r="H34">
        <v>6.25E-2</v>
      </c>
      <c r="I34">
        <v>0.125</v>
      </c>
      <c r="J34">
        <v>0.25</v>
      </c>
      <c r="K34">
        <v>0.52</v>
      </c>
    </row>
    <row r="35" spans="2:11">
      <c r="B35" s="719" t="s">
        <v>914</v>
      </c>
      <c r="C35" s="714"/>
      <c r="D35" s="715"/>
      <c r="E35" s="715"/>
    </row>
    <row r="36" spans="2:11">
      <c r="B36" s="719" t="s">
        <v>915</v>
      </c>
      <c r="C36" s="714"/>
      <c r="D36" s="715"/>
      <c r="E36" s="715"/>
      <c r="F36" s="715"/>
    </row>
    <row r="37" spans="2:11">
      <c r="B37" s="100"/>
      <c r="C37" s="714"/>
      <c r="D37" s="715"/>
      <c r="E37" s="715"/>
      <c r="F37" s="715"/>
    </row>
    <row r="38" spans="2:11">
      <c r="B38" s="100"/>
      <c r="C38" s="714"/>
      <c r="D38" s="715"/>
      <c r="E38" s="715"/>
      <c r="F38" s="715"/>
    </row>
    <row r="39" spans="2:11">
      <c r="B39" s="100"/>
      <c r="C39" s="714"/>
      <c r="D39" s="715"/>
      <c r="E39" s="715"/>
      <c r="F39" s="715"/>
    </row>
    <row r="40" spans="2:11">
      <c r="B40" s="100"/>
      <c r="C40" s="714"/>
      <c r="D40" s="715"/>
      <c r="E40" s="715"/>
      <c r="F40" s="715"/>
    </row>
    <row r="41" spans="2:11">
      <c r="B41" s="100"/>
      <c r="C41" s="714"/>
      <c r="D41" s="715"/>
      <c r="E41" s="715"/>
      <c r="F41" s="715"/>
    </row>
    <row r="42" spans="2:11">
      <c r="B42" s="100"/>
      <c r="C42" s="714"/>
      <c r="D42" s="715"/>
      <c r="E42" s="715"/>
      <c r="F42" s="715"/>
    </row>
    <row r="43" spans="2:11">
      <c r="B43" s="100"/>
      <c r="C43" s="714"/>
      <c r="D43" s="715"/>
      <c r="E43" s="715"/>
      <c r="F43" s="715"/>
    </row>
    <row r="44" spans="2:11">
      <c r="B44" s="100"/>
      <c r="C44" s="714"/>
      <c r="D44" s="715"/>
      <c r="E44" s="715"/>
      <c r="F44" s="715"/>
    </row>
    <row r="45" spans="2:11">
      <c r="B45" s="100"/>
      <c r="C45" s="714"/>
      <c r="D45" s="715"/>
      <c r="E45" s="715"/>
      <c r="F45" s="715"/>
    </row>
    <row r="46" spans="2:11">
      <c r="B46" s="100"/>
      <c r="C46" s="714"/>
      <c r="D46" s="715"/>
      <c r="E46" s="715"/>
      <c r="F46" s="715"/>
    </row>
    <row r="47" spans="2:11">
      <c r="B47" s="100"/>
      <c r="C47" s="714"/>
      <c r="D47" s="715"/>
      <c r="E47" s="715"/>
      <c r="F47" s="715"/>
    </row>
    <row r="48" spans="2:11">
      <c r="B48" s="100"/>
      <c r="C48" s="714"/>
      <c r="D48" s="715"/>
      <c r="E48" s="715"/>
      <c r="F48" s="715"/>
    </row>
    <row r="49" spans="2:6">
      <c r="B49" s="100"/>
      <c r="C49" s="714"/>
      <c r="D49" s="715"/>
      <c r="E49" s="715"/>
      <c r="F49" s="715"/>
    </row>
    <row r="50" spans="2:6">
      <c r="B50" s="100"/>
      <c r="C50" s="714"/>
      <c r="D50" s="715"/>
      <c r="E50" s="715"/>
      <c r="F50" s="715"/>
    </row>
    <row r="51" spans="2:6">
      <c r="B51" s="100"/>
      <c r="C51" s="714"/>
      <c r="D51" s="715"/>
      <c r="E51" s="715"/>
      <c r="F51" s="715"/>
    </row>
    <row r="52" spans="2:6">
      <c r="B52" s="100"/>
      <c r="C52" s="714"/>
      <c r="D52" s="715"/>
      <c r="E52" s="715"/>
      <c r="F52" s="715"/>
    </row>
    <row r="53" spans="2:6">
      <c r="B53" s="100"/>
      <c r="C53" s="714"/>
      <c r="D53" s="715"/>
      <c r="E53" s="715"/>
      <c r="F53" s="715"/>
    </row>
    <row r="54" spans="2:6">
      <c r="B54" s="100"/>
      <c r="C54" s="714"/>
      <c r="D54" s="715"/>
      <c r="E54" s="715"/>
      <c r="F54" s="715"/>
    </row>
    <row r="55" spans="2:6">
      <c r="B55" s="100"/>
      <c r="C55" s="714"/>
      <c r="D55" s="715"/>
      <c r="E55" s="715"/>
      <c r="F55" s="715"/>
    </row>
    <row r="56" spans="2:6">
      <c r="B56" s="100"/>
      <c r="C56" s="714"/>
      <c r="D56" s="715"/>
      <c r="E56" s="715"/>
      <c r="F56" s="715"/>
    </row>
    <row r="57" spans="2:6">
      <c r="B57" s="100"/>
      <c r="C57" s="714"/>
      <c r="D57" s="715"/>
      <c r="E57" s="715"/>
      <c r="F57" s="715"/>
    </row>
    <row r="58" spans="2:6">
      <c r="B58" s="100"/>
      <c r="C58" s="714"/>
      <c r="D58" s="715"/>
      <c r="E58" s="715"/>
      <c r="F58" s="715"/>
    </row>
    <row r="59" spans="2:6">
      <c r="B59" s="100"/>
      <c r="C59" s="714"/>
      <c r="D59" s="715"/>
      <c r="E59" s="715"/>
      <c r="F59" s="715"/>
    </row>
    <row r="60" spans="2:6">
      <c r="B60" s="100"/>
      <c r="C60" s="714"/>
      <c r="D60" s="715"/>
      <c r="E60" s="715"/>
      <c r="F60" s="715"/>
    </row>
    <row r="61" spans="2:6">
      <c r="B61" s="100"/>
      <c r="C61" s="714"/>
      <c r="D61" s="715"/>
      <c r="E61" s="715"/>
      <c r="F61" s="715"/>
    </row>
    <row r="62" spans="2:6">
      <c r="B62" s="100"/>
      <c r="C62" s="714"/>
      <c r="D62" s="715"/>
      <c r="E62" s="715"/>
      <c r="F62" s="715"/>
    </row>
    <row r="63" spans="2:6">
      <c r="B63" s="100"/>
      <c r="C63" s="714"/>
      <c r="D63" s="715"/>
      <c r="E63" s="715"/>
      <c r="F63" s="715"/>
    </row>
    <row r="64" spans="2:6">
      <c r="B64" s="100"/>
      <c r="C64" s="714"/>
      <c r="D64" s="715"/>
      <c r="E64" s="715"/>
      <c r="F64" s="715"/>
    </row>
    <row r="65" spans="2:6">
      <c r="B65" s="100"/>
      <c r="C65" s="714"/>
      <c r="D65" s="715"/>
      <c r="E65" s="715"/>
      <c r="F65" s="715"/>
    </row>
    <row r="66" spans="2:6">
      <c r="B66" s="100"/>
      <c r="C66" s="714"/>
      <c r="D66" s="715"/>
      <c r="E66" s="715"/>
      <c r="F66" s="715"/>
    </row>
    <row r="67" spans="2:6">
      <c r="B67" s="100"/>
      <c r="C67" s="714"/>
      <c r="D67" s="715"/>
      <c r="E67" s="715"/>
      <c r="F67" s="715"/>
    </row>
    <row r="68" spans="2:6">
      <c r="B68" s="100"/>
      <c r="C68" s="714"/>
      <c r="D68" s="715"/>
      <c r="E68" s="715"/>
      <c r="F68" s="715"/>
    </row>
    <row r="69" spans="2:6">
      <c r="B69" s="100"/>
      <c r="C69" s="714"/>
      <c r="D69" s="715"/>
      <c r="E69" s="715"/>
      <c r="F69" s="715"/>
    </row>
    <row r="70" spans="2:6">
      <c r="B70" s="100"/>
      <c r="C70" s="714"/>
      <c r="D70" s="715"/>
      <c r="E70" s="715"/>
      <c r="F70" s="715"/>
    </row>
    <row r="71" spans="2:6">
      <c r="B71" s="100"/>
      <c r="C71" s="714"/>
      <c r="D71" s="715"/>
      <c r="E71" s="715"/>
      <c r="F71" s="715"/>
    </row>
    <row r="72" spans="2:6">
      <c r="B72" s="100"/>
      <c r="C72" s="714"/>
      <c r="D72" s="715"/>
      <c r="E72" s="715"/>
      <c r="F72" s="715"/>
    </row>
    <row r="73" spans="2:6">
      <c r="B73" s="100"/>
      <c r="C73" s="714"/>
      <c r="D73" s="715"/>
      <c r="E73" s="715"/>
      <c r="F73" s="715"/>
    </row>
    <row r="74" spans="2:6">
      <c r="B74" s="100"/>
      <c r="C74" s="714"/>
      <c r="D74" s="715"/>
      <c r="E74" s="715"/>
      <c r="F74" s="715"/>
    </row>
    <row r="75" spans="2:6">
      <c r="B75" s="100"/>
      <c r="C75" s="714"/>
      <c r="D75" s="715"/>
      <c r="E75" s="715"/>
      <c r="F75" s="715"/>
    </row>
    <row r="76" spans="2:6">
      <c r="B76" s="100"/>
      <c r="C76" s="714"/>
      <c r="D76" s="715"/>
      <c r="E76" s="715"/>
      <c r="F76" s="715"/>
    </row>
    <row r="77" spans="2:6">
      <c r="B77" s="100"/>
      <c r="C77" s="714"/>
      <c r="D77" s="715"/>
      <c r="E77" s="715"/>
      <c r="F77" s="715"/>
    </row>
    <row r="78" spans="2:6">
      <c r="B78" s="100"/>
      <c r="C78" s="714"/>
      <c r="D78" s="715"/>
      <c r="E78" s="715"/>
      <c r="F78" s="715"/>
    </row>
    <row r="79" spans="2:6">
      <c r="B79" s="100"/>
      <c r="C79" s="714"/>
      <c r="D79" s="715"/>
      <c r="E79" s="715"/>
      <c r="F79" s="715"/>
    </row>
    <row r="80" spans="2:6">
      <c r="B80" s="100"/>
      <c r="C80" s="714"/>
      <c r="D80" s="715"/>
      <c r="E80" s="715"/>
      <c r="F80" s="715"/>
    </row>
    <row r="81" spans="2:6">
      <c r="B81" s="100"/>
      <c r="C81" s="714"/>
      <c r="D81" s="715"/>
      <c r="E81" s="715"/>
      <c r="F81" s="715"/>
    </row>
    <row r="82" spans="2:6">
      <c r="B82" s="100"/>
      <c r="C82" s="714"/>
      <c r="D82" s="715"/>
      <c r="E82" s="715"/>
      <c r="F82" s="715"/>
    </row>
    <row r="83" spans="2:6">
      <c r="B83" s="100"/>
      <c r="C83" s="714"/>
      <c r="D83" s="715"/>
      <c r="E83" s="715"/>
      <c r="F83" s="715"/>
    </row>
    <row r="84" spans="2:6">
      <c r="B84" s="100"/>
      <c r="C84" s="714"/>
      <c r="D84" s="715"/>
      <c r="E84" s="715"/>
      <c r="F84" s="715"/>
    </row>
    <row r="85" spans="2:6">
      <c r="B85" s="100"/>
      <c r="C85" s="714"/>
      <c r="D85" s="715"/>
      <c r="E85" s="715"/>
      <c r="F85" s="715"/>
    </row>
    <row r="86" spans="2:6">
      <c r="B86" s="100"/>
      <c r="C86" s="714"/>
      <c r="D86" s="715"/>
      <c r="E86" s="715"/>
      <c r="F86" s="715"/>
    </row>
    <row r="87" spans="2:6">
      <c r="B87" s="100"/>
      <c r="C87" s="714"/>
      <c r="D87" s="715"/>
      <c r="E87" s="715"/>
      <c r="F87" s="715"/>
    </row>
    <row r="88" spans="2:6">
      <c r="B88" s="100"/>
      <c r="C88" s="714"/>
      <c r="D88" s="715"/>
      <c r="E88" s="715"/>
      <c r="F88" s="715"/>
    </row>
    <row r="89" spans="2:6">
      <c r="B89" s="100"/>
      <c r="C89" s="714"/>
      <c r="D89" s="715"/>
      <c r="E89" s="715"/>
      <c r="F89" s="715"/>
    </row>
    <row r="90" spans="2:6">
      <c r="B90" s="100"/>
      <c r="C90" s="714"/>
      <c r="D90" s="715"/>
      <c r="E90" s="715"/>
      <c r="F90" s="715"/>
    </row>
    <row r="91" spans="2:6">
      <c r="B91" s="100"/>
      <c r="C91" s="714"/>
      <c r="D91" s="715"/>
      <c r="E91" s="715"/>
      <c r="F91" s="715"/>
    </row>
    <row r="92" spans="2:6">
      <c r="B92" s="100"/>
      <c r="C92" s="714"/>
      <c r="D92" s="715"/>
      <c r="E92" s="715"/>
      <c r="F92" s="715"/>
    </row>
    <row r="93" spans="2:6">
      <c r="B93" s="100"/>
      <c r="C93" s="714"/>
      <c r="D93" s="715"/>
      <c r="E93" s="715"/>
      <c r="F93" s="715"/>
    </row>
    <row r="94" spans="2:6">
      <c r="B94" s="100"/>
      <c r="C94" s="714"/>
      <c r="D94" s="715"/>
      <c r="E94" s="715"/>
      <c r="F94" s="715"/>
    </row>
    <row r="95" spans="2:6">
      <c r="B95" s="100"/>
      <c r="C95" s="714"/>
      <c r="D95" s="715"/>
      <c r="E95" s="715"/>
      <c r="F95" s="715"/>
    </row>
    <row r="96" spans="2:6">
      <c r="B96" s="100"/>
      <c r="C96" s="714"/>
      <c r="D96" s="715"/>
      <c r="E96" s="715"/>
      <c r="F96" s="715"/>
    </row>
    <row r="97" spans="2:6">
      <c r="B97" s="100"/>
      <c r="C97" s="714"/>
      <c r="D97" s="715"/>
      <c r="E97" s="715"/>
      <c r="F97" s="715"/>
    </row>
    <row r="98" spans="2:6">
      <c r="B98" s="100"/>
      <c r="C98" s="714"/>
      <c r="D98" s="715"/>
      <c r="E98" s="715"/>
      <c r="F98" s="715"/>
    </row>
    <row r="99" spans="2:6">
      <c r="B99" s="100"/>
      <c r="C99" s="714"/>
      <c r="D99" s="715"/>
      <c r="E99" s="715"/>
      <c r="F99" s="715"/>
    </row>
    <row r="100" spans="2:6">
      <c r="B100" s="100"/>
      <c r="C100" s="714"/>
      <c r="D100" s="715"/>
      <c r="E100" s="715"/>
      <c r="F100" s="715"/>
    </row>
    <row r="101" spans="2:6">
      <c r="B101" s="100"/>
      <c r="C101" s="714"/>
      <c r="D101" s="715"/>
      <c r="E101" s="715"/>
      <c r="F101" s="715"/>
    </row>
    <row r="102" spans="2:6">
      <c r="B102" s="100"/>
      <c r="C102" s="714"/>
      <c r="D102" s="715"/>
      <c r="E102" s="715"/>
      <c r="F102" s="715"/>
    </row>
    <row r="103" spans="2:6">
      <c r="B103" s="100"/>
      <c r="C103" s="714"/>
      <c r="D103" s="715"/>
      <c r="E103" s="715"/>
      <c r="F103" s="715"/>
    </row>
    <row r="104" spans="2:6">
      <c r="B104" s="100"/>
      <c r="C104" s="714"/>
      <c r="D104" s="715"/>
      <c r="E104" s="715"/>
      <c r="F104" s="715"/>
    </row>
    <row r="105" spans="2:6">
      <c r="B105" s="100"/>
      <c r="C105" s="714"/>
      <c r="D105" s="715"/>
      <c r="E105" s="715"/>
      <c r="F105" s="715"/>
    </row>
    <row r="106" spans="2:6">
      <c r="B106" s="100"/>
      <c r="C106" s="714"/>
      <c r="D106" s="715"/>
      <c r="E106" s="715"/>
      <c r="F106" s="715"/>
    </row>
    <row r="107" spans="2:6">
      <c r="B107" s="100"/>
      <c r="C107" s="714"/>
      <c r="D107" s="715"/>
      <c r="E107" s="715"/>
      <c r="F107" s="715"/>
    </row>
    <row r="108" spans="2:6">
      <c r="B108" s="100"/>
      <c r="C108" s="714"/>
      <c r="D108" s="715"/>
      <c r="E108" s="715"/>
      <c r="F108" s="715"/>
    </row>
    <row r="109" spans="2:6">
      <c r="B109" s="100"/>
      <c r="C109" s="714"/>
      <c r="D109" s="715"/>
      <c r="E109" s="715"/>
      <c r="F109" s="715"/>
    </row>
    <row r="110" spans="2:6">
      <c r="B110" s="100"/>
      <c r="C110" s="714"/>
      <c r="D110" s="715"/>
      <c r="E110" s="715"/>
      <c r="F110" s="715"/>
    </row>
    <row r="111" spans="2:6">
      <c r="B111" s="100"/>
      <c r="C111" s="714"/>
      <c r="D111" s="715"/>
      <c r="E111" s="715"/>
      <c r="F111" s="715"/>
    </row>
    <row r="112" spans="2:6">
      <c r="B112" s="100"/>
      <c r="C112" s="714"/>
      <c r="D112" s="715"/>
      <c r="E112" s="715"/>
      <c r="F112" s="715"/>
    </row>
    <row r="113" spans="2:6">
      <c r="B113" s="100"/>
      <c r="C113" s="714"/>
      <c r="D113" s="715"/>
      <c r="E113" s="715"/>
      <c r="F113" s="715"/>
    </row>
    <row r="114" spans="2:6">
      <c r="B114" s="100"/>
      <c r="C114" s="714"/>
      <c r="D114" s="715"/>
      <c r="E114" s="715"/>
      <c r="F114" s="715"/>
    </row>
    <row r="115" spans="2:6">
      <c r="B115" s="100"/>
      <c r="C115" s="714"/>
      <c r="D115" s="715"/>
      <c r="E115" s="715"/>
      <c r="F115" s="715"/>
    </row>
    <row r="116" spans="2:6">
      <c r="B116" s="100"/>
      <c r="C116" s="714"/>
      <c r="D116" s="715"/>
      <c r="E116" s="715"/>
      <c r="F116" s="715"/>
    </row>
    <row r="117" spans="2:6">
      <c r="B117" s="100"/>
      <c r="C117" s="714"/>
      <c r="D117" s="715"/>
      <c r="E117" s="715"/>
      <c r="F117" s="715"/>
    </row>
    <row r="118" spans="2:6">
      <c r="B118" s="100"/>
      <c r="C118" s="714"/>
      <c r="D118" s="715"/>
      <c r="E118" s="715"/>
      <c r="F118" s="715"/>
    </row>
    <row r="119" spans="2:6">
      <c r="B119" s="100"/>
      <c r="C119" s="714"/>
      <c r="D119" s="715"/>
      <c r="E119" s="715"/>
      <c r="F119" s="715"/>
    </row>
    <row r="120" spans="2:6">
      <c r="B120" s="100"/>
      <c r="C120" s="714"/>
      <c r="D120" s="715"/>
      <c r="E120" s="715"/>
      <c r="F120" s="715"/>
    </row>
    <row r="121" spans="2:6">
      <c r="B121" s="100"/>
      <c r="C121" s="714"/>
      <c r="D121" s="715"/>
      <c r="E121" s="715"/>
      <c r="F121" s="715"/>
    </row>
    <row r="122" spans="2:6">
      <c r="B122" s="100"/>
      <c r="C122" s="714"/>
      <c r="D122" s="715"/>
      <c r="E122" s="715"/>
      <c r="F122" s="715"/>
    </row>
    <row r="123" spans="2:6">
      <c r="B123" s="100"/>
      <c r="C123" s="714"/>
      <c r="D123" s="715"/>
      <c r="E123" s="715"/>
      <c r="F123" s="715"/>
    </row>
    <row r="124" spans="2:6">
      <c r="B124" s="100"/>
      <c r="C124" s="714"/>
      <c r="D124" s="715"/>
      <c r="E124" s="715"/>
      <c r="F124" s="715"/>
    </row>
    <row r="125" spans="2:6">
      <c r="B125" s="100"/>
      <c r="C125" s="714"/>
      <c r="D125" s="715"/>
      <c r="E125" s="715"/>
      <c r="F125" s="715"/>
    </row>
    <row r="126" spans="2:6">
      <c r="B126" s="100"/>
      <c r="C126" s="714"/>
      <c r="D126" s="715"/>
      <c r="E126" s="715"/>
      <c r="F126" s="715"/>
    </row>
    <row r="127" spans="2:6">
      <c r="B127" s="100"/>
      <c r="C127" s="714"/>
      <c r="D127" s="715"/>
      <c r="E127" s="715"/>
      <c r="F127" s="715"/>
    </row>
    <row r="128" spans="2:6">
      <c r="B128" s="100"/>
      <c r="C128" s="714"/>
      <c r="D128" s="715"/>
      <c r="E128" s="715"/>
      <c r="F128" s="715"/>
    </row>
    <row r="129" spans="2:6">
      <c r="B129" s="100"/>
      <c r="C129" s="714"/>
      <c r="D129" s="715"/>
      <c r="E129" s="715"/>
      <c r="F129" s="715"/>
    </row>
    <row r="130" spans="2:6">
      <c r="B130" s="100"/>
      <c r="C130" s="714"/>
      <c r="D130" s="715"/>
      <c r="E130" s="715"/>
      <c r="F130" s="715"/>
    </row>
    <row r="131" spans="2:6">
      <c r="B131" s="100"/>
      <c r="C131" s="714"/>
      <c r="D131" s="715"/>
      <c r="E131" s="715"/>
      <c r="F131" s="715"/>
    </row>
    <row r="132" spans="2:6">
      <c r="B132" s="100"/>
      <c r="C132" s="714"/>
      <c r="D132" s="715"/>
      <c r="E132" s="715"/>
      <c r="F132" s="715"/>
    </row>
    <row r="133" spans="2:6">
      <c r="B133" s="100"/>
      <c r="C133" s="714"/>
      <c r="D133" s="715"/>
      <c r="E133" s="715"/>
      <c r="F133" s="715"/>
    </row>
    <row r="134" spans="2:6">
      <c r="B134" s="100"/>
      <c r="C134" s="714"/>
      <c r="D134" s="715"/>
      <c r="E134" s="715"/>
      <c r="F134" s="715"/>
    </row>
    <row r="135" spans="2:6">
      <c r="B135" s="100"/>
      <c r="C135" s="714"/>
      <c r="D135" s="715"/>
      <c r="E135" s="715"/>
      <c r="F135" s="715"/>
    </row>
    <row r="136" spans="2:6">
      <c r="B136" s="100"/>
      <c r="C136" s="714"/>
      <c r="D136" s="715"/>
      <c r="E136" s="715"/>
      <c r="F136" s="715"/>
    </row>
    <row r="137" spans="2:6">
      <c r="B137" s="100"/>
      <c r="C137" s="714"/>
      <c r="D137" s="715"/>
      <c r="E137" s="715"/>
      <c r="F137" s="715"/>
    </row>
    <row r="138" spans="2:6">
      <c r="B138" s="100"/>
      <c r="C138" s="714"/>
      <c r="D138" s="715"/>
      <c r="E138" s="715"/>
      <c r="F138" s="715"/>
    </row>
    <row r="139" spans="2:6">
      <c r="B139" s="100"/>
      <c r="C139" s="714"/>
      <c r="D139" s="715"/>
      <c r="E139" s="715"/>
      <c r="F139" s="715"/>
    </row>
    <row r="140" spans="2:6">
      <c r="B140" s="100"/>
      <c r="C140" s="714"/>
      <c r="D140" s="715"/>
      <c r="E140" s="715"/>
      <c r="F140" s="715"/>
    </row>
    <row r="141" spans="2:6">
      <c r="B141" s="100"/>
      <c r="C141" s="714"/>
      <c r="D141" s="715"/>
      <c r="E141" s="715"/>
      <c r="F141" s="715"/>
    </row>
    <row r="142" spans="2:6">
      <c r="B142" s="100"/>
      <c r="C142" s="714"/>
      <c r="D142" s="715"/>
      <c r="E142" s="715"/>
      <c r="F142" s="715"/>
    </row>
    <row r="143" spans="2:6">
      <c r="B143" s="100"/>
      <c r="C143" s="714"/>
      <c r="D143" s="715"/>
      <c r="E143" s="715"/>
      <c r="F143" s="715"/>
    </row>
    <row r="144" spans="2:6">
      <c r="B144" s="100"/>
      <c r="C144" s="714"/>
      <c r="D144" s="715"/>
      <c r="E144" s="715"/>
      <c r="F144" s="715"/>
    </row>
    <row r="145" spans="2:6">
      <c r="B145" s="100"/>
      <c r="C145" s="714"/>
      <c r="D145" s="715"/>
      <c r="E145" s="715"/>
      <c r="F145" s="715"/>
    </row>
    <row r="146" spans="2:6">
      <c r="B146" s="100"/>
      <c r="C146" s="714"/>
      <c r="D146" s="715"/>
      <c r="E146" s="715"/>
      <c r="F146" s="715"/>
    </row>
    <row r="147" spans="2:6">
      <c r="B147" s="100"/>
      <c r="C147" s="714"/>
      <c r="D147" s="715"/>
      <c r="E147" s="715"/>
      <c r="F147" s="715"/>
    </row>
    <row r="148" spans="2:6">
      <c r="B148" s="100"/>
      <c r="C148" s="714"/>
      <c r="D148" s="715"/>
      <c r="E148" s="715"/>
      <c r="F148" s="715"/>
    </row>
    <row r="149" spans="2:6">
      <c r="B149" s="100"/>
      <c r="C149" s="714"/>
      <c r="D149" s="715"/>
      <c r="E149" s="715"/>
      <c r="F149" s="715"/>
    </row>
    <row r="150" spans="2:6">
      <c r="B150" s="100"/>
      <c r="C150" s="714"/>
      <c r="D150" s="715"/>
      <c r="E150" s="715"/>
      <c r="F150" s="715"/>
    </row>
    <row r="151" spans="2:6">
      <c r="B151" s="100"/>
      <c r="C151" s="714"/>
      <c r="D151" s="715"/>
      <c r="E151" s="715"/>
      <c r="F151" s="715"/>
    </row>
    <row r="152" spans="2:6">
      <c r="B152" s="100"/>
      <c r="C152" s="714"/>
      <c r="D152" s="715"/>
      <c r="E152" s="715"/>
      <c r="F152" s="715"/>
    </row>
    <row r="153" spans="2:6">
      <c r="B153" s="100"/>
      <c r="C153" s="714"/>
      <c r="D153" s="715"/>
      <c r="E153" s="715"/>
      <c r="F153" s="715"/>
    </row>
    <row r="154" spans="2:6">
      <c r="B154" s="100"/>
      <c r="C154" s="714"/>
      <c r="D154" s="715"/>
      <c r="E154" s="715"/>
      <c r="F154" s="715"/>
    </row>
    <row r="155" spans="2:6">
      <c r="B155" s="100"/>
      <c r="C155" s="714"/>
      <c r="D155" s="715"/>
      <c r="E155" s="715"/>
      <c r="F155" s="715"/>
    </row>
    <row r="156" spans="2:6">
      <c r="B156" s="100"/>
      <c r="C156" s="714"/>
      <c r="D156" s="715"/>
      <c r="E156" s="715"/>
      <c r="F156" s="715"/>
    </row>
    <row r="157" spans="2:6">
      <c r="B157" s="100"/>
      <c r="C157" s="714"/>
      <c r="D157" s="715"/>
      <c r="E157" s="715"/>
      <c r="F157" s="715"/>
    </row>
    <row r="158" spans="2:6">
      <c r="B158" s="100"/>
      <c r="C158" s="714"/>
      <c r="D158" s="715"/>
      <c r="E158" s="715"/>
      <c r="F158" s="715"/>
    </row>
    <row r="159" spans="2:6">
      <c r="B159" s="100"/>
      <c r="C159" s="714"/>
      <c r="D159" s="715"/>
      <c r="E159" s="715"/>
      <c r="F159" s="715"/>
    </row>
    <row r="160" spans="2:6">
      <c r="B160" s="100"/>
      <c r="C160" s="714"/>
      <c r="D160" s="715"/>
      <c r="E160" s="715"/>
      <c r="F160" s="715"/>
    </row>
    <row r="161" spans="2:6">
      <c r="B161" s="100"/>
      <c r="C161" s="714"/>
      <c r="D161" s="715"/>
      <c r="E161" s="715"/>
      <c r="F161" s="715"/>
    </row>
    <row r="162" spans="2:6">
      <c r="B162" s="100"/>
      <c r="C162" s="714"/>
      <c r="D162" s="715"/>
      <c r="E162" s="715"/>
      <c r="F162" s="715"/>
    </row>
    <row r="163" spans="2:6">
      <c r="B163" s="100"/>
      <c r="C163" s="714"/>
      <c r="D163" s="715"/>
      <c r="E163" s="715"/>
      <c r="F163" s="715"/>
    </row>
    <row r="164" spans="2:6">
      <c r="B164" s="100"/>
      <c r="C164" s="714"/>
      <c r="D164" s="715"/>
      <c r="E164" s="715"/>
      <c r="F164" s="715"/>
    </row>
    <row r="165" spans="2:6">
      <c r="B165" s="100"/>
      <c r="C165" s="714"/>
      <c r="D165" s="715"/>
      <c r="E165" s="715"/>
      <c r="F165" s="715"/>
    </row>
    <row r="166" spans="2:6">
      <c r="B166" s="100"/>
      <c r="C166" s="714"/>
      <c r="D166" s="715"/>
      <c r="E166" s="715"/>
      <c r="F166" s="715"/>
    </row>
    <row r="167" spans="2:6">
      <c r="B167" s="100"/>
      <c r="C167" s="714"/>
      <c r="D167" s="715"/>
      <c r="E167" s="715"/>
      <c r="F167" s="715"/>
    </row>
    <row r="168" spans="2:6">
      <c r="B168" s="100"/>
      <c r="C168" s="714"/>
      <c r="D168" s="715"/>
      <c r="E168" s="715"/>
      <c r="F168" s="715"/>
    </row>
    <row r="169" spans="2:6">
      <c r="B169" s="100"/>
      <c r="C169" s="714"/>
      <c r="D169" s="715"/>
      <c r="E169" s="715"/>
      <c r="F169" s="715"/>
    </row>
    <row r="170" spans="2:6">
      <c r="B170" s="100"/>
      <c r="C170" s="714"/>
      <c r="D170" s="715"/>
      <c r="E170" s="715"/>
      <c r="F170" s="715"/>
    </row>
    <row r="171" spans="2:6">
      <c r="B171" s="100"/>
      <c r="C171" s="714"/>
      <c r="D171" s="715"/>
      <c r="E171" s="715"/>
      <c r="F171" s="715"/>
    </row>
    <row r="172" spans="2:6">
      <c r="B172" s="100"/>
      <c r="C172" s="714"/>
      <c r="D172" s="715"/>
      <c r="E172" s="715"/>
      <c r="F172" s="715"/>
    </row>
    <row r="173" spans="2:6">
      <c r="B173" s="100"/>
      <c r="C173" s="714"/>
      <c r="D173" s="715"/>
      <c r="E173" s="715"/>
      <c r="F173" s="715"/>
    </row>
    <row r="174" spans="2:6">
      <c r="B174" s="100"/>
      <c r="C174" s="714"/>
      <c r="D174" s="715"/>
      <c r="E174" s="715"/>
      <c r="F174" s="715"/>
    </row>
    <row r="175" spans="2:6">
      <c r="B175" s="100"/>
      <c r="C175" s="714"/>
      <c r="D175" s="715"/>
      <c r="E175" s="715"/>
      <c r="F175" s="715"/>
    </row>
    <row r="176" spans="2:6">
      <c r="B176" s="100"/>
      <c r="C176" s="714"/>
      <c r="D176" s="715"/>
      <c r="E176" s="715"/>
      <c r="F176" s="715"/>
    </row>
    <row r="177" spans="2:6">
      <c r="B177" s="100"/>
      <c r="C177" s="714"/>
      <c r="D177" s="715"/>
      <c r="E177" s="715"/>
      <c r="F177" s="715"/>
    </row>
    <row r="178" spans="2:6">
      <c r="B178" s="100"/>
      <c r="C178" s="714"/>
      <c r="D178" s="715"/>
      <c r="E178" s="715"/>
      <c r="F178" s="715"/>
    </row>
    <row r="179" spans="2:6">
      <c r="B179" s="100"/>
      <c r="C179" s="714"/>
      <c r="D179" s="715"/>
      <c r="E179" s="715"/>
      <c r="F179" s="715"/>
    </row>
    <row r="180" spans="2:6">
      <c r="B180" s="100"/>
      <c r="C180" s="714"/>
      <c r="D180" s="715"/>
      <c r="E180" s="715"/>
      <c r="F180" s="715"/>
    </row>
    <row r="181" spans="2:6">
      <c r="B181" s="100"/>
      <c r="C181" s="714"/>
      <c r="D181" s="715"/>
      <c r="E181" s="715"/>
      <c r="F181" s="715"/>
    </row>
    <row r="182" spans="2:6">
      <c r="B182" s="100"/>
      <c r="C182" s="714"/>
      <c r="D182" s="715"/>
      <c r="E182" s="715"/>
      <c r="F182" s="715"/>
    </row>
    <row r="183" spans="2:6">
      <c r="B183" s="100"/>
      <c r="C183" s="714"/>
      <c r="D183" s="715"/>
      <c r="E183" s="715"/>
      <c r="F183" s="715"/>
    </row>
    <row r="184" spans="2:6">
      <c r="B184" s="100"/>
      <c r="C184" s="714"/>
      <c r="D184" s="715"/>
      <c r="E184" s="715"/>
      <c r="F184" s="715"/>
    </row>
    <row r="185" spans="2:6">
      <c r="B185" s="100"/>
      <c r="C185" s="714"/>
      <c r="D185" s="715"/>
      <c r="E185" s="715"/>
      <c r="F185" s="715"/>
    </row>
    <row r="186" spans="2:6">
      <c r="B186" s="100"/>
      <c r="C186" s="714"/>
      <c r="D186" s="715"/>
      <c r="E186" s="715"/>
      <c r="F186" s="715"/>
    </row>
    <row r="187" spans="2:6">
      <c r="B187" s="100"/>
      <c r="C187" s="714"/>
      <c r="D187" s="715"/>
      <c r="E187" s="715"/>
      <c r="F187" s="715"/>
    </row>
    <row r="188" spans="2:6">
      <c r="B188" s="100"/>
      <c r="C188" s="714"/>
      <c r="D188" s="715"/>
      <c r="E188" s="715"/>
      <c r="F188" s="715"/>
    </row>
    <row r="189" spans="2:6">
      <c r="B189" s="100"/>
      <c r="C189" s="714"/>
      <c r="D189" s="715"/>
      <c r="E189" s="715"/>
      <c r="F189" s="715"/>
    </row>
    <row r="190" spans="2:6">
      <c r="B190" s="100"/>
      <c r="C190" s="714"/>
      <c r="D190" s="715"/>
      <c r="E190" s="715"/>
      <c r="F190" s="715"/>
    </row>
    <row r="191" spans="2:6">
      <c r="B191" s="100"/>
      <c r="C191" s="714"/>
      <c r="D191" s="715"/>
      <c r="E191" s="715"/>
      <c r="F191" s="715"/>
    </row>
    <row r="192" spans="2:6">
      <c r="B192" s="100"/>
      <c r="C192" s="714"/>
      <c r="D192" s="715"/>
      <c r="E192" s="715"/>
      <c r="F192" s="715"/>
    </row>
    <row r="193" spans="2:6">
      <c r="B193" s="100"/>
      <c r="C193" s="714"/>
      <c r="D193" s="715"/>
      <c r="E193" s="715"/>
      <c r="F193" s="715"/>
    </row>
    <row r="194" spans="2:6">
      <c r="B194" s="100"/>
      <c r="C194" s="714"/>
      <c r="D194" s="715"/>
      <c r="E194" s="715"/>
      <c r="F194" s="715"/>
    </row>
    <row r="195" spans="2:6">
      <c r="B195" s="100"/>
      <c r="C195" s="714"/>
      <c r="D195" s="715"/>
      <c r="E195" s="715"/>
      <c r="F195" s="715"/>
    </row>
    <row r="196" spans="2:6">
      <c r="B196" s="100"/>
      <c r="C196" s="714"/>
      <c r="D196" s="715"/>
      <c r="E196" s="715"/>
      <c r="F196" s="715"/>
    </row>
    <row r="197" spans="2:6">
      <c r="B197" s="100"/>
      <c r="C197" s="714"/>
      <c r="D197" s="715"/>
      <c r="E197" s="715"/>
      <c r="F197" s="715"/>
    </row>
    <row r="198" spans="2:6">
      <c r="B198" s="100"/>
      <c r="C198" s="714"/>
      <c r="D198" s="715"/>
      <c r="E198" s="715"/>
      <c r="F198" s="715"/>
    </row>
    <row r="199" spans="2:6">
      <c r="B199" s="100"/>
      <c r="C199" s="714"/>
      <c r="D199" s="715"/>
      <c r="E199" s="715"/>
      <c r="F199" s="715"/>
    </row>
    <row r="200" spans="2:6">
      <c r="B200" s="100"/>
      <c r="C200" s="714"/>
      <c r="D200" s="715"/>
      <c r="E200" s="715"/>
      <c r="F200" s="715"/>
    </row>
    <row r="201" spans="2:6">
      <c r="B201" s="100"/>
      <c r="C201" s="714"/>
      <c r="D201" s="715"/>
      <c r="E201" s="715"/>
      <c r="F201" s="715"/>
    </row>
    <row r="202" spans="2:6">
      <c r="B202" s="100"/>
      <c r="C202" s="714"/>
      <c r="D202" s="715"/>
      <c r="E202" s="715"/>
      <c r="F202" s="715"/>
    </row>
    <row r="203" spans="2:6">
      <c r="B203" s="100"/>
      <c r="C203" s="714"/>
      <c r="D203" s="715"/>
      <c r="E203" s="715"/>
      <c r="F203" s="715"/>
    </row>
    <row r="204" spans="2:6">
      <c r="B204" s="100"/>
      <c r="C204" s="714"/>
      <c r="D204" s="715"/>
      <c r="E204" s="715"/>
      <c r="F204" s="715"/>
    </row>
    <row r="205" spans="2:6">
      <c r="B205" s="100"/>
      <c r="C205" s="714"/>
      <c r="D205" s="715"/>
      <c r="E205" s="715"/>
      <c r="F205" s="715"/>
    </row>
    <row r="206" spans="2:6">
      <c r="B206" s="100"/>
      <c r="C206" s="714"/>
      <c r="D206" s="715"/>
      <c r="E206" s="715"/>
      <c r="F206" s="715"/>
    </row>
    <row r="207" spans="2:6">
      <c r="B207" s="100"/>
      <c r="C207" s="714"/>
      <c r="D207" s="715"/>
      <c r="E207" s="715"/>
      <c r="F207" s="715"/>
    </row>
    <row r="208" spans="2:6">
      <c r="B208" s="100"/>
      <c r="C208" s="714"/>
      <c r="D208" s="715"/>
      <c r="E208" s="715"/>
      <c r="F208" s="715"/>
    </row>
    <row r="209" spans="2:6">
      <c r="B209" s="100"/>
      <c r="C209" s="714"/>
      <c r="D209" s="715"/>
      <c r="E209" s="715"/>
      <c r="F209" s="715"/>
    </row>
    <row r="210" spans="2:6">
      <c r="B210" s="100"/>
      <c r="C210" s="714"/>
      <c r="D210" s="715"/>
      <c r="E210" s="715"/>
      <c r="F210" s="715"/>
    </row>
    <row r="211" spans="2:6">
      <c r="B211" s="100"/>
      <c r="C211" s="714"/>
      <c r="D211" s="715"/>
      <c r="E211" s="715"/>
      <c r="F211" s="715"/>
    </row>
    <row r="212" spans="2:6">
      <c r="B212" s="100"/>
      <c r="C212" s="714"/>
      <c r="D212" s="715"/>
      <c r="E212" s="715"/>
      <c r="F212" s="715"/>
    </row>
    <row r="213" spans="2:6">
      <c r="B213" s="100"/>
      <c r="C213" s="714"/>
      <c r="D213" s="715"/>
      <c r="E213" s="715"/>
      <c r="F213" s="715"/>
    </row>
    <row r="214" spans="2:6">
      <c r="B214" s="100"/>
      <c r="C214" s="714"/>
      <c r="D214" s="715"/>
      <c r="E214" s="715"/>
      <c r="F214" s="715"/>
    </row>
    <row r="215" spans="2:6">
      <c r="B215" s="100"/>
      <c r="C215" s="714"/>
      <c r="D215" s="715"/>
      <c r="E215" s="715"/>
      <c r="F215" s="715"/>
    </row>
    <row r="216" spans="2:6">
      <c r="B216" s="100"/>
      <c r="C216" s="714"/>
      <c r="D216" s="715"/>
      <c r="E216" s="715"/>
      <c r="F216" s="715"/>
    </row>
    <row r="217" spans="2:6">
      <c r="B217" s="100"/>
      <c r="C217" s="714"/>
      <c r="D217" s="715"/>
      <c r="E217" s="715"/>
      <c r="F217" s="715"/>
    </row>
    <row r="218" spans="2:6">
      <c r="B218" s="100"/>
      <c r="C218" s="714"/>
      <c r="D218" s="715"/>
      <c r="E218" s="715"/>
      <c r="F218" s="715"/>
    </row>
    <row r="219" spans="2:6">
      <c r="B219" s="100"/>
      <c r="C219" s="714"/>
      <c r="D219" s="715"/>
      <c r="E219" s="715"/>
      <c r="F219" s="715"/>
    </row>
    <row r="220" spans="2:6">
      <c r="B220" s="100"/>
      <c r="C220" s="714"/>
      <c r="D220" s="715"/>
      <c r="E220" s="715"/>
      <c r="F220" s="715"/>
    </row>
    <row r="221" spans="2:6">
      <c r="B221" s="100"/>
      <c r="C221" s="714"/>
      <c r="D221" s="715"/>
      <c r="E221" s="715"/>
      <c r="F221" s="715"/>
    </row>
    <row r="222" spans="2:6">
      <c r="B222" s="100"/>
      <c r="C222" s="714"/>
      <c r="D222" s="715"/>
    </row>
    <row r="224" spans="2:6">
      <c r="B224" s="712" t="s">
        <v>916</v>
      </c>
    </row>
  </sheetData>
  <hyperlinks>
    <hyperlink ref="B224" r:id="rId1" xr:uid="{CE38643C-0C6A-4BEC-A587-146722842796}"/>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81089C-6E2A-4FD7-A402-55E9C86C97B5}"/>
</file>

<file path=customXml/itemProps2.xml><?xml version="1.0" encoding="utf-8"?>
<ds:datastoreItem xmlns:ds="http://schemas.openxmlformats.org/officeDocument/2006/customXml" ds:itemID="{D93A302F-5B7A-4032-AFA9-40B9B130C348}"/>
</file>

<file path=customXml/itemProps3.xml><?xml version="1.0" encoding="utf-8"?>
<ds:datastoreItem xmlns:ds="http://schemas.openxmlformats.org/officeDocument/2006/customXml" ds:itemID="{E4E33FEE-1117-4802-A5BB-FA073D1C6E04}"/>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Nicole Valeria Kovaleva Sequeira</cp:lastModifiedBy>
  <cp:revision/>
  <dcterms:created xsi:type="dcterms:W3CDTF">2000-04-19T14:51:26Z</dcterms:created>
  <dcterms:modified xsi:type="dcterms:W3CDTF">2025-04-09T16:19:27Z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