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4th cycle/Team 1 (Pedro Bordalo)/"/>
    </mc:Choice>
  </mc:AlternateContent>
  <xr:revisionPtr revIDLastSave="6587" documentId="11_ACEC97DE5A4321A612194BFFC2F50950DC1BDF3B" xr6:coauthVersionLast="47" xr6:coauthVersionMax="47" xr10:uidLastSave="{D593F373-580C-450B-A90A-D399B2102D75}"/>
  <bookViews>
    <workbookView xWindow="-120" yWindow="-120" windowWidth="29040" windowHeight="15720" tabRatio="644" activeTab="9" xr2:uid="{00000000-000D-0000-FFFF-FFFF00000000}"/>
  </bookViews>
  <sheets>
    <sheet name="OP" sheetId="1" r:id="rId1"/>
    <sheet name="COVID-19 impact" sheetId="12" state="hidden" r:id="rId2"/>
    <sheet name="Segments" sheetId="3" r:id="rId3"/>
    <sheet name="Peers" sheetId="10" r:id="rId4"/>
    <sheet name="Acuerdo" sheetId="11" state="hidden" r:id="rId5"/>
    <sheet name="ESG" sheetId="7" r:id="rId6"/>
    <sheet name="DCF" sheetId="4" state="hidden" r:id="rId7"/>
    <sheet name="DCFF" sheetId="16" r:id="rId8"/>
    <sheet name="Cifras_en_Millones" sheetId="17" r:id="rId9"/>
    <sheet name="Cifras_Originales" sheetId="18" r:id="rId10"/>
    <sheet name="Q" sheetId="19" state="hidden" r:id="rId11"/>
    <sheet name="Folha1" sheetId="20" state="hidden" r:id="rId12"/>
  </sheets>
  <externalReferences>
    <externalReference r:id="rId13"/>
  </externalReferences>
  <definedNames>
    <definedName name="Área_de_Impressão" localSheetId="8">Cifras_en_Millones!$A$1:$M$88</definedName>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8">Cifras_en_Millones!$A$1:$L$88</definedName>
    <definedName name="_xlnm.Print_Area" localSheetId="0">OP!$A$1:$M$53</definedName>
    <definedName name="_xlnm.Print_Area" localSheetId="2">Segments!#REF!</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8" l="1"/>
  <c r="A4" i="18" a="1"/>
  <c r="A4" i="18" s="1"/>
  <c r="H3" i="18" s="1"/>
  <c r="B46" i="18"/>
  <c r="C44" i="18"/>
  <c r="D44" i="18"/>
  <c r="E44" i="18"/>
  <c r="F44" i="18"/>
  <c r="G44" i="18"/>
  <c r="H44" i="18"/>
  <c r="I44" i="18"/>
  <c r="J44" i="18"/>
  <c r="K44" i="18"/>
  <c r="L44" i="18"/>
  <c r="M44" i="18"/>
  <c r="B44" i="18"/>
  <c r="B38" i="18"/>
  <c r="B34" i="18"/>
  <c r="B19" i="18"/>
  <c r="B20" i="18" s="1"/>
  <c r="D86" i="18"/>
  <c r="B88" i="18"/>
  <c r="C87" i="18"/>
  <c r="B87" i="18"/>
  <c r="B7" i="18" l="1"/>
  <c r="B7" i="17" s="1"/>
  <c r="B8" i="17" s="1"/>
  <c r="B5" i="18"/>
  <c r="B63" i="17"/>
  <c r="B11" i="17"/>
  <c r="B14" i="17"/>
  <c r="B15" i="17"/>
  <c r="B17" i="17"/>
  <c r="B18" i="17"/>
  <c r="B21" i="17"/>
  <c r="B23" i="17"/>
  <c r="B27" i="17"/>
  <c r="B37" i="17" s="1"/>
  <c r="B29" i="17"/>
  <c r="B33" i="17"/>
  <c r="B34" i="17"/>
  <c r="B40" i="17"/>
  <c r="B41" i="17"/>
  <c r="B42" i="17"/>
  <c r="B43" i="17"/>
  <c r="B49" i="17"/>
  <c r="B50" i="17"/>
  <c r="B51" i="17"/>
  <c r="B52" i="17"/>
  <c r="B53" i="17"/>
  <c r="B54" i="17"/>
  <c r="B55" i="17"/>
  <c r="B5" i="17"/>
  <c r="D47" i="16"/>
  <c r="G38" i="16" s="1"/>
  <c r="H27" i="16"/>
  <c r="I27" i="16"/>
  <c r="J27" i="16"/>
  <c r="K27" i="16"/>
  <c r="L27" i="16"/>
  <c r="B24" i="17" l="1"/>
  <c r="B35" i="17"/>
  <c r="B36" i="17" s="1"/>
  <c r="B16" i="17"/>
  <c r="B22" i="17" s="1"/>
  <c r="B19" i="17"/>
  <c r="B20" i="17" s="1"/>
  <c r="B12" i="17"/>
  <c r="B9" i="17"/>
  <c r="B10" i="17" s="1"/>
  <c r="H38" i="16"/>
  <c r="I3" i="16" l="1"/>
  <c r="J3" i="16" l="1"/>
  <c r="K3" i="16" l="1"/>
  <c r="L3" i="16" l="1"/>
  <c r="M3" i="16" l="1"/>
  <c r="N3" i="16" l="1"/>
  <c r="O3" i="16" l="1"/>
  <c r="P3" i="16" l="1"/>
  <c r="Q3" i="16" l="1"/>
  <c r="R3" i="16" l="1"/>
  <c r="S3" i="16" l="1"/>
  <c r="T3" i="16" l="1"/>
  <c r="U3" i="16" l="1"/>
  <c r="V3" i="16" l="1"/>
  <c r="W3" i="16" l="1"/>
  <c r="X3" i="16" l="1"/>
  <c r="Y3" i="16" l="1"/>
  <c r="Z3" i="16" l="1"/>
  <c r="AA3" i="16" l="1"/>
  <c r="AB3" i="16" l="1"/>
  <c r="AC3" i="16" l="1"/>
  <c r="AD3" i="16" l="1"/>
  <c r="AE3" i="16" l="1"/>
  <c r="AF3" i="16" l="1"/>
  <c r="J19" i="3" l="1"/>
  <c r="G52" i="18"/>
  <c r="H52" i="18"/>
  <c r="I52" i="18"/>
  <c r="J52" i="18"/>
  <c r="K52" i="18"/>
  <c r="L52" i="18"/>
  <c r="M52" i="18"/>
  <c r="F52" i="18"/>
  <c r="M49" i="18"/>
  <c r="D49" i="18"/>
  <c r="E49" i="18"/>
  <c r="F49" i="18"/>
  <c r="G49" i="18"/>
  <c r="H49" i="18"/>
  <c r="I49" i="18"/>
  <c r="J49" i="18"/>
  <c r="K49" i="18"/>
  <c r="L49" i="18"/>
  <c r="C49" i="18"/>
  <c r="C46" i="18"/>
  <c r="E78" i="18"/>
  <c r="F78" i="18"/>
  <c r="G78" i="18"/>
  <c r="H78" i="18"/>
  <c r="I78" i="18"/>
  <c r="J78" i="18"/>
  <c r="K78" i="18"/>
  <c r="L78" i="18"/>
  <c r="M78" i="18"/>
  <c r="D78" i="18"/>
  <c r="C72" i="18"/>
  <c r="M12" i="18"/>
  <c r="K1" i="20" s="1"/>
  <c r="G22" i="16"/>
  <c r="C11" i="1"/>
  <c r="C10" i="1"/>
  <c r="C14" i="1" s="1"/>
  <c r="J9" i="1"/>
  <c r="B2" i="20"/>
  <c r="C2" i="20"/>
  <c r="D2" i="20"/>
  <c r="E2" i="20"/>
  <c r="F2" i="20"/>
  <c r="G2" i="20"/>
  <c r="H2" i="20"/>
  <c r="I2" i="20"/>
  <c r="J2" i="20"/>
  <c r="K2" i="20"/>
  <c r="A2" i="20"/>
  <c r="E55" i="16"/>
  <c r="D55" i="16"/>
  <c r="Q15" i="18"/>
  <c r="D3" i="1" a="1"/>
  <c r="D3" i="1" s="1"/>
  <c r="C8" i="1" a="1"/>
  <c r="C8" i="1" s="1"/>
  <c r="C7" i="1" a="1"/>
  <c r="C7" i="1" s="1"/>
  <c r="D67" i="16" s="1"/>
  <c r="L27" i="17"/>
  <c r="L31" i="1"/>
  <c r="K31" i="1"/>
  <c r="H37" i="1"/>
  <c r="H36" i="1"/>
  <c r="H35" i="1"/>
  <c r="H34" i="1"/>
  <c r="H33" i="1"/>
  <c r="H32" i="1"/>
  <c r="H31" i="1"/>
  <c r="H30" i="1"/>
  <c r="H29" i="1"/>
  <c r="H28" i="1"/>
  <c r="H27" i="1"/>
  <c r="E37" i="1"/>
  <c r="E36" i="1"/>
  <c r="E35" i="1"/>
  <c r="E34" i="1"/>
  <c r="E33" i="1"/>
  <c r="E32" i="1"/>
  <c r="E31" i="1"/>
  <c r="E30" i="1"/>
  <c r="E29" i="1"/>
  <c r="E28" i="1"/>
  <c r="E27" i="1"/>
  <c r="J12" i="1"/>
  <c r="J10" i="1"/>
  <c r="D21" i="10"/>
  <c r="D11" i="10"/>
  <c r="C11" i="10"/>
  <c r="B20" i="10"/>
  <c r="B11" i="10"/>
  <c r="Q12" i="3"/>
  <c r="S12" i="3"/>
  <c r="S11" i="3"/>
  <c r="S10" i="3"/>
  <c r="R12" i="3"/>
  <c r="R11" i="3"/>
  <c r="R10" i="3"/>
  <c r="Q11" i="3"/>
  <c r="Q10" i="3"/>
  <c r="P12" i="3"/>
  <c r="P11" i="3"/>
  <c r="P10" i="3"/>
  <c r="E29" i="16"/>
  <c r="D29" i="16"/>
  <c r="G23" i="16"/>
  <c r="F22" i="16"/>
  <c r="F23" i="16" s="1"/>
  <c r="E22" i="16"/>
  <c r="E23" i="16" s="1"/>
  <c r="D22" i="16"/>
  <c r="D23" i="16" s="1"/>
  <c r="K3" i="20" l="1"/>
  <c r="L7" i="1"/>
  <c r="J11" i="1"/>
  <c r="R33" i="1"/>
  <c r="R34" i="1"/>
  <c r="C9" i="1"/>
  <c r="R31" i="1"/>
  <c r="R32" i="1"/>
  <c r="R35" i="1"/>
  <c r="C13" i="1"/>
  <c r="E9" i="1"/>
  <c r="D35" i="18"/>
  <c r="E35" i="18"/>
  <c r="E38" i="18" s="1"/>
  <c r="F35" i="18"/>
  <c r="F38" i="18" s="1"/>
  <c r="G35" i="18"/>
  <c r="G38" i="18" s="1"/>
  <c r="H35" i="18"/>
  <c r="H38" i="18" s="1"/>
  <c r="I35" i="18"/>
  <c r="I38" i="18" s="1"/>
  <c r="J35" i="18"/>
  <c r="J38" i="18" s="1"/>
  <c r="K35" i="18"/>
  <c r="K38" i="18" s="1"/>
  <c r="L35" i="18"/>
  <c r="L38" i="18" s="1"/>
  <c r="M35" i="18"/>
  <c r="M38" i="18" s="1"/>
  <c r="C35" i="18"/>
  <c r="C38" i="18" s="1"/>
  <c r="D34" i="18"/>
  <c r="E34" i="18"/>
  <c r="F34" i="18"/>
  <c r="G34" i="18"/>
  <c r="H34" i="18"/>
  <c r="I34" i="18"/>
  <c r="J34" i="18"/>
  <c r="K34" i="18"/>
  <c r="L34" i="18"/>
  <c r="M34" i="18"/>
  <c r="C34" i="18"/>
  <c r="D26" i="18"/>
  <c r="E26" i="18"/>
  <c r="F26" i="18"/>
  <c r="G26" i="18"/>
  <c r="H26" i="18"/>
  <c r="I26" i="18"/>
  <c r="J26" i="18"/>
  <c r="K26" i="18"/>
  <c r="L26" i="18"/>
  <c r="M26" i="18"/>
  <c r="C26" i="18"/>
  <c r="H20" i="18"/>
  <c r="D19" i="18"/>
  <c r="D20" i="18" s="1"/>
  <c r="E19" i="18"/>
  <c r="F19" i="18"/>
  <c r="F20" i="18" s="1"/>
  <c r="G19" i="18"/>
  <c r="G20" i="18" s="1"/>
  <c r="H19" i="18"/>
  <c r="I19" i="18"/>
  <c r="I20" i="18" s="1"/>
  <c r="J19" i="18"/>
  <c r="J20" i="18" s="1"/>
  <c r="K19" i="18"/>
  <c r="K20" i="18" s="1"/>
  <c r="L19" i="18"/>
  <c r="L20" i="18" s="1"/>
  <c r="M19" i="18"/>
  <c r="M20" i="18" s="1"/>
  <c r="C19" i="18"/>
  <c r="C20" i="18" s="1"/>
  <c r="D38" i="18" l="1"/>
  <c r="E20" i="18"/>
  <c r="D66" i="18" l="1"/>
  <c r="E66" i="18"/>
  <c r="F66" i="18"/>
  <c r="G66" i="18"/>
  <c r="H66" i="18"/>
  <c r="I66" i="18"/>
  <c r="J66" i="18"/>
  <c r="K66" i="18"/>
  <c r="K67" i="18" s="1"/>
  <c r="K12" i="18" s="1"/>
  <c r="L66" i="18"/>
  <c r="M66" i="18"/>
  <c r="C66" i="18"/>
  <c r="V4" i="3"/>
  <c r="V12" i="3" s="1"/>
  <c r="V5" i="3"/>
  <c r="V13" i="3" s="1"/>
  <c r="V6" i="3"/>
  <c r="V14" i="3" s="1"/>
  <c r="V7" i="3"/>
  <c r="V15" i="3" s="1"/>
  <c r="V8" i="3"/>
  <c r="V16" i="3" s="1"/>
  <c r="W9" i="3"/>
  <c r="X9" i="3"/>
  <c r="Y9" i="3"/>
  <c r="Z9" i="3"/>
  <c r="AA9" i="3"/>
  <c r="AB9" i="3"/>
  <c r="AC9" i="3"/>
  <c r="AD9" i="3"/>
  <c r="M15" i="3"/>
  <c r="N15" i="3"/>
  <c r="O15" i="3"/>
  <c r="P15" i="3"/>
  <c r="Q16" i="3" s="1"/>
  <c r="Q15" i="3"/>
  <c r="R15" i="3"/>
  <c r="S15" i="3"/>
  <c r="T15" i="3"/>
  <c r="W17" i="3"/>
  <c r="X17" i="3"/>
  <c r="Y17" i="3"/>
  <c r="Z17" i="3"/>
  <c r="AA17" i="3"/>
  <c r="AB17" i="3"/>
  <c r="AC17" i="3"/>
  <c r="AD17" i="3"/>
  <c r="G15" i="16"/>
  <c r="F15" i="16"/>
  <c r="E15" i="16"/>
  <c r="D15" i="16"/>
  <c r="G13" i="16"/>
  <c r="F13" i="16"/>
  <c r="E13" i="16"/>
  <c r="D13" i="16"/>
  <c r="G12" i="16"/>
  <c r="F12" i="16"/>
  <c r="E12" i="16"/>
  <c r="D12" i="16"/>
  <c r="G9" i="16"/>
  <c r="F9" i="16"/>
  <c r="E9" i="16"/>
  <c r="D9" i="16"/>
  <c r="G6" i="16"/>
  <c r="F6" i="16"/>
  <c r="E6" i="16"/>
  <c r="D6" i="16"/>
  <c r="E10" i="16"/>
  <c r="F10" i="16"/>
  <c r="G10" i="16"/>
  <c r="D10" i="16"/>
  <c r="C67" i="18" l="1"/>
  <c r="C12" i="18" s="1"/>
  <c r="C73" i="18"/>
  <c r="C74" i="18" s="1"/>
  <c r="I67" i="18"/>
  <c r="I12" i="18" s="1"/>
  <c r="H67" i="18"/>
  <c r="H12" i="18" s="1"/>
  <c r="G67" i="18"/>
  <c r="G12" i="18" s="1"/>
  <c r="F67" i="18"/>
  <c r="F12" i="18" s="1"/>
  <c r="L67" i="18"/>
  <c r="L12" i="18" s="1"/>
  <c r="J67" i="18"/>
  <c r="J12" i="18" s="1"/>
  <c r="E67" i="18"/>
  <c r="E12" i="18" s="1"/>
  <c r="I1" i="20"/>
  <c r="I3" i="20" s="1"/>
  <c r="L77" i="18"/>
  <c r="L79" i="18" s="1"/>
  <c r="D67" i="18"/>
  <c r="D12" i="18" s="1"/>
  <c r="H9" i="16" a="1"/>
  <c r="H9" i="16" s="1"/>
  <c r="H6" i="16"/>
  <c r="T16" i="3"/>
  <c r="R16" i="3"/>
  <c r="O16" i="3"/>
  <c r="P16" i="3"/>
  <c r="N16" i="3"/>
  <c r="G51" i="16"/>
  <c r="S16" i="3"/>
  <c r="D5" i="18"/>
  <c r="D46" i="18" s="1"/>
  <c r="D2" i="18"/>
  <c r="J22" i="3"/>
  <c r="J23" i="3"/>
  <c r="J24" i="3"/>
  <c r="J25" i="3"/>
  <c r="J26" i="3"/>
  <c r="J9" i="3"/>
  <c r="J10" i="3"/>
  <c r="J11" i="3"/>
  <c r="J12" i="3"/>
  <c r="J13" i="3"/>
  <c r="F8" i="1"/>
  <c r="F9" i="1"/>
  <c r="F15" i="1"/>
  <c r="F16" i="1"/>
  <c r="F17" i="1"/>
  <c r="C12" i="1"/>
  <c r="B1" i="20" l="1"/>
  <c r="B3" i="20" s="1"/>
  <c r="E77" i="18"/>
  <c r="E79" i="18" s="1"/>
  <c r="F20" i="16"/>
  <c r="F77" i="18"/>
  <c r="F79" i="18" s="1"/>
  <c r="E20" i="16"/>
  <c r="C1" i="20"/>
  <c r="C3" i="20" s="1"/>
  <c r="J1" i="20"/>
  <c r="J3" i="20" s="1"/>
  <c r="M77" i="18"/>
  <c r="F1" i="20"/>
  <c r="F3" i="20" s="1"/>
  <c r="I77" i="18"/>
  <c r="I79" i="18" s="1"/>
  <c r="H1" i="20"/>
  <c r="H3" i="20" s="1"/>
  <c r="K77" i="18"/>
  <c r="K79" i="18" s="1"/>
  <c r="E1" i="20"/>
  <c r="E3" i="20" s="1"/>
  <c r="H77" i="18"/>
  <c r="H79" i="18" s="1"/>
  <c r="G1" i="20"/>
  <c r="G3" i="20" s="1"/>
  <c r="J77" i="18"/>
  <c r="J79" i="18" s="1"/>
  <c r="G77" i="18"/>
  <c r="G79" i="18" s="1"/>
  <c r="D1" i="20"/>
  <c r="D3" i="20" s="1"/>
  <c r="D20" i="16"/>
  <c r="H20" i="16"/>
  <c r="C77" i="18"/>
  <c r="C79" i="18" s="1"/>
  <c r="D77" i="18"/>
  <c r="D79" i="18" s="1"/>
  <c r="A1" i="20"/>
  <c r="A3" i="20" s="1"/>
  <c r="G20" i="16"/>
  <c r="H8" i="16"/>
  <c r="I9" i="16" a="1"/>
  <c r="I9" i="16" s="1"/>
  <c r="H11" i="16"/>
  <c r="AC38" i="19"/>
  <c r="AB38" i="19"/>
  <c r="AA38" i="19"/>
  <c r="Z38" i="19"/>
  <c r="AC41" i="19"/>
  <c r="AB41" i="19"/>
  <c r="AA41" i="19"/>
  <c r="Z41" i="19"/>
  <c r="C25" i="19"/>
  <c r="C36" i="19" s="1"/>
  <c r="D25" i="19"/>
  <c r="D36" i="19" s="1"/>
  <c r="E25" i="19"/>
  <c r="E36" i="19" s="1"/>
  <c r="F25" i="19"/>
  <c r="F36" i="19" s="1"/>
  <c r="G25" i="19"/>
  <c r="G36" i="19" s="1"/>
  <c r="H25" i="19"/>
  <c r="H36" i="19" s="1"/>
  <c r="I25" i="19"/>
  <c r="I36" i="19" s="1"/>
  <c r="J25" i="19"/>
  <c r="J36" i="19" s="1"/>
  <c r="K25" i="19"/>
  <c r="K36" i="19" s="1"/>
  <c r="L25" i="19"/>
  <c r="L36" i="19" s="1"/>
  <c r="M25" i="19"/>
  <c r="M36" i="19" s="1"/>
  <c r="N25" i="19"/>
  <c r="N36" i="19" s="1"/>
  <c r="O25" i="19"/>
  <c r="O36" i="19" s="1"/>
  <c r="P25" i="19"/>
  <c r="P36" i="19" s="1"/>
  <c r="Q25" i="19"/>
  <c r="Q36" i="19" s="1"/>
  <c r="R25" i="19"/>
  <c r="R36" i="19" s="1"/>
  <c r="S25" i="19"/>
  <c r="S36" i="19" s="1"/>
  <c r="T25" i="19"/>
  <c r="T36" i="19" s="1"/>
  <c r="U25" i="19"/>
  <c r="U36" i="19" s="1"/>
  <c r="V25" i="19"/>
  <c r="V36" i="19" s="1"/>
  <c r="W25" i="19"/>
  <c r="X25" i="19"/>
  <c r="X36" i="19" s="1"/>
  <c r="AD34" i="19"/>
  <c r="AC34" i="19"/>
  <c r="AB34" i="19"/>
  <c r="AA34" i="19"/>
  <c r="Z34" i="19"/>
  <c r="AD33" i="19"/>
  <c r="AC33" i="19"/>
  <c r="AB33" i="19"/>
  <c r="AA33" i="19"/>
  <c r="Z33" i="19"/>
  <c r="AD31" i="19"/>
  <c r="AC31" i="19"/>
  <c r="AB31" i="19"/>
  <c r="AA31" i="19"/>
  <c r="Z31" i="19"/>
  <c r="AD30" i="19"/>
  <c r="AC30" i="19"/>
  <c r="AB30" i="19"/>
  <c r="AA30" i="19"/>
  <c r="Z30" i="19"/>
  <c r="AF5" i="19"/>
  <c r="AG5" i="19" s="1"/>
  <c r="AH5" i="19" s="1"/>
  <c r="AI5" i="19" s="1"/>
  <c r="AJ5" i="19" s="1"/>
  <c r="AK5" i="19" s="1"/>
  <c r="AL5" i="19" s="1"/>
  <c r="AM5" i="19" s="1"/>
  <c r="AN5" i="19" s="1"/>
  <c r="AO5" i="19" s="1"/>
  <c r="AP5" i="19" s="1"/>
  <c r="AQ5" i="19" s="1"/>
  <c r="AR5" i="19" s="1"/>
  <c r="AS5" i="19" s="1"/>
  <c r="AT5" i="19" s="1"/>
  <c r="AU5" i="19" s="1"/>
  <c r="AV5" i="19" s="1"/>
  <c r="AW5" i="19" s="1"/>
  <c r="AX5" i="19" s="1"/>
  <c r="AY5" i="19" s="1"/>
  <c r="AZ5" i="19" s="1"/>
  <c r="BA5" i="19" s="1"/>
  <c r="BB5" i="19" s="1"/>
  <c r="AF6" i="19"/>
  <c r="Z27" i="19"/>
  <c r="Z10" i="19" s="1"/>
  <c r="AA27" i="19"/>
  <c r="Z26" i="19"/>
  <c r="AA26" i="19"/>
  <c r="AB27" i="19"/>
  <c r="AB26" i="19"/>
  <c r="AB25" i="19" s="1"/>
  <c r="AC27" i="19"/>
  <c r="AC26" i="19"/>
  <c r="AD27" i="19"/>
  <c r="AE27" i="19" s="1"/>
  <c r="AD26" i="19"/>
  <c r="AE26" i="19" s="1"/>
  <c r="C40" i="19"/>
  <c r="C42" i="19" s="1"/>
  <c r="D40" i="19"/>
  <c r="D42" i="19" s="1"/>
  <c r="E53" i="19"/>
  <c r="E54" i="19"/>
  <c r="E55" i="19"/>
  <c r="E56" i="19"/>
  <c r="E57" i="19"/>
  <c r="E52" i="19"/>
  <c r="I53" i="19"/>
  <c r="I54" i="19"/>
  <c r="I55" i="19"/>
  <c r="I56" i="19"/>
  <c r="I57" i="19"/>
  <c r="I52" i="19"/>
  <c r="J57" i="19"/>
  <c r="F57" i="19"/>
  <c r="F56" i="19"/>
  <c r="F55" i="19"/>
  <c r="F54" i="19"/>
  <c r="F53" i="19"/>
  <c r="F52" i="19"/>
  <c r="G57" i="19"/>
  <c r="G56" i="19"/>
  <c r="G55" i="19"/>
  <c r="G54" i="19"/>
  <c r="G53" i="19"/>
  <c r="G52" i="19"/>
  <c r="H57" i="19"/>
  <c r="H56" i="19"/>
  <c r="H55" i="19"/>
  <c r="H54" i="19"/>
  <c r="H53" i="19"/>
  <c r="H52" i="19"/>
  <c r="J52" i="19"/>
  <c r="K52" i="19"/>
  <c r="J53" i="19"/>
  <c r="K53" i="19"/>
  <c r="J54" i="19"/>
  <c r="K54" i="19"/>
  <c r="J55" i="19"/>
  <c r="K55" i="19"/>
  <c r="J56" i="19"/>
  <c r="K56" i="19"/>
  <c r="K57" i="19"/>
  <c r="L53" i="19"/>
  <c r="L54" i="19"/>
  <c r="L55" i="19"/>
  <c r="L56" i="19"/>
  <c r="L57" i="19"/>
  <c r="L52" i="19"/>
  <c r="E40" i="19"/>
  <c r="E42" i="19" s="1"/>
  <c r="I40" i="19"/>
  <c r="I42" i="19" s="1"/>
  <c r="F40" i="19"/>
  <c r="F42" i="19" s="1"/>
  <c r="J40" i="19"/>
  <c r="J42" i="19" s="1"/>
  <c r="G40" i="19"/>
  <c r="G42" i="19" s="1"/>
  <c r="K40" i="19"/>
  <c r="K42" i="19" s="1"/>
  <c r="H40" i="19"/>
  <c r="H42" i="19" s="1"/>
  <c r="L40" i="19"/>
  <c r="L42" i="19" s="1"/>
  <c r="M53" i="19"/>
  <c r="N53" i="19"/>
  <c r="O53" i="19"/>
  <c r="P53" i="19"/>
  <c r="M54" i="19"/>
  <c r="N54" i="19"/>
  <c r="O54" i="19"/>
  <c r="P54" i="19"/>
  <c r="M55" i="19"/>
  <c r="N55" i="19"/>
  <c r="O55" i="19"/>
  <c r="P55" i="19"/>
  <c r="M56" i="19"/>
  <c r="N56" i="19"/>
  <c r="O56" i="19"/>
  <c r="P56" i="19"/>
  <c r="M57" i="19"/>
  <c r="N57" i="19"/>
  <c r="O57" i="19"/>
  <c r="P57" i="19"/>
  <c r="M52" i="19"/>
  <c r="N52" i="19"/>
  <c r="O52" i="19"/>
  <c r="P52" i="19"/>
  <c r="M40" i="19"/>
  <c r="M42" i="19" s="1"/>
  <c r="N40" i="19"/>
  <c r="N42" i="19" s="1"/>
  <c r="O40" i="19"/>
  <c r="O42" i="19" s="1"/>
  <c r="Q53" i="19"/>
  <c r="R53" i="19"/>
  <c r="S53" i="19"/>
  <c r="T53" i="19"/>
  <c r="U53" i="19"/>
  <c r="V53" i="19"/>
  <c r="W53" i="19"/>
  <c r="Q54" i="19"/>
  <c r="R54" i="19"/>
  <c r="S54" i="19"/>
  <c r="T54" i="19"/>
  <c r="U54" i="19"/>
  <c r="V54" i="19"/>
  <c r="W54" i="19"/>
  <c r="Q55" i="19"/>
  <c r="R55" i="19"/>
  <c r="S55" i="19"/>
  <c r="T55" i="19"/>
  <c r="U55" i="19"/>
  <c r="V55" i="19"/>
  <c r="W55" i="19"/>
  <c r="Q56" i="19"/>
  <c r="R56" i="19"/>
  <c r="S56" i="19"/>
  <c r="T56" i="19"/>
  <c r="U56" i="19"/>
  <c r="V56" i="19"/>
  <c r="W56" i="19"/>
  <c r="Q57" i="19"/>
  <c r="R57" i="19"/>
  <c r="S57" i="19"/>
  <c r="T57" i="19"/>
  <c r="U57" i="19"/>
  <c r="V57" i="19"/>
  <c r="W57" i="19"/>
  <c r="W52" i="19"/>
  <c r="V52" i="19"/>
  <c r="U52" i="19"/>
  <c r="T52" i="19"/>
  <c r="S52" i="19"/>
  <c r="R52" i="19"/>
  <c r="Q52" i="19"/>
  <c r="P40" i="19"/>
  <c r="P42" i="19" s="1"/>
  <c r="T40" i="19"/>
  <c r="T42" i="19" s="1"/>
  <c r="Q40" i="19"/>
  <c r="Q42" i="19" s="1"/>
  <c r="U40" i="19"/>
  <c r="U42" i="19" s="1"/>
  <c r="V40" i="19"/>
  <c r="V42" i="19" s="1"/>
  <c r="R40" i="19"/>
  <c r="R42" i="19" s="1"/>
  <c r="S40" i="19"/>
  <c r="S42" i="19" s="1"/>
  <c r="W40" i="19"/>
  <c r="W42" i="19" s="1"/>
  <c r="L3" i="20" l="1"/>
  <c r="M3" i="20"/>
  <c r="N3" i="20"/>
  <c r="P77" i="18"/>
  <c r="P76" i="18"/>
  <c r="P78" i="18"/>
  <c r="AC52" i="19"/>
  <c r="W36" i="19"/>
  <c r="U22" i="19"/>
  <c r="U21" i="19"/>
  <c r="AC54" i="19"/>
  <c r="AA57" i="19"/>
  <c r="Z55" i="19"/>
  <c r="Z22" i="19" s="1"/>
  <c r="AA55" i="19"/>
  <c r="AB56" i="19"/>
  <c r="AB54" i="19"/>
  <c r="AA54" i="19"/>
  <c r="AC25" i="19"/>
  <c r="AC19" i="19" s="1"/>
  <c r="AC56" i="19"/>
  <c r="AB55" i="19"/>
  <c r="AB22" i="19" s="1"/>
  <c r="AB53" i="19"/>
  <c r="Z52" i="19"/>
  <c r="Z53" i="19"/>
  <c r="AA52" i="19"/>
  <c r="AB52" i="19"/>
  <c r="AB19" i="19" s="1"/>
  <c r="AA53" i="19"/>
  <c r="AB36" i="19"/>
  <c r="AC55" i="19"/>
  <c r="AC22" i="19" s="1"/>
  <c r="AC53" i="19"/>
  <c r="Z57" i="19"/>
  <c r="AB57" i="19"/>
  <c r="Z54" i="19"/>
  <c r="AC57" i="19"/>
  <c r="AA56" i="19"/>
  <c r="AC36" i="19"/>
  <c r="Z56" i="19"/>
  <c r="Z40" i="19"/>
  <c r="Z17" i="19" s="1"/>
  <c r="AA40" i="19"/>
  <c r="AA17" i="19" s="1"/>
  <c r="AB40" i="19"/>
  <c r="AB17" i="19" s="1"/>
  <c r="AC40" i="19"/>
  <c r="AC17" i="19" s="1"/>
  <c r="AE25" i="19"/>
  <c r="AA25" i="19"/>
  <c r="AB12" i="19"/>
  <c r="AB13" i="19"/>
  <c r="Z25" i="19"/>
  <c r="AC9" i="19"/>
  <c r="AB10" i="19"/>
  <c r="AA9" i="19"/>
  <c r="AA10" i="19"/>
  <c r="AC10" i="19"/>
  <c r="Z9" i="19"/>
  <c r="AB9" i="19"/>
  <c r="AF27" i="19"/>
  <c r="AG6" i="19"/>
  <c r="AH6" i="19" s="1"/>
  <c r="AI6" i="19" s="1"/>
  <c r="AJ6" i="19" s="1"/>
  <c r="AK6" i="19" s="1"/>
  <c r="AL6" i="19" s="1"/>
  <c r="AM6" i="19" s="1"/>
  <c r="AN6" i="19" s="1"/>
  <c r="AO6" i="19" s="1"/>
  <c r="AP6" i="19" s="1"/>
  <c r="AQ6" i="19" s="1"/>
  <c r="AR6" i="19" s="1"/>
  <c r="AS6" i="19" s="1"/>
  <c r="AT6" i="19" s="1"/>
  <c r="AU6" i="19" s="1"/>
  <c r="AV6" i="19" s="1"/>
  <c r="AW6" i="19" s="1"/>
  <c r="AX6" i="19" s="1"/>
  <c r="AY6" i="19" s="1"/>
  <c r="AZ6" i="19" s="1"/>
  <c r="BA6" i="19" s="1"/>
  <c r="BB6" i="19" s="1"/>
  <c r="AD9" i="19"/>
  <c r="AE9" i="19" s="1"/>
  <c r="AD10" i="19"/>
  <c r="AE10" i="19" s="1"/>
  <c r="AF26" i="19"/>
  <c r="AD25" i="19"/>
  <c r="AD36" i="19" s="1"/>
  <c r="D38" i="1"/>
  <c r="AA22" i="19" l="1"/>
  <c r="AA19" i="19"/>
  <c r="AC12" i="19"/>
  <c r="Z21" i="19"/>
  <c r="Z20" i="19"/>
  <c r="Z19" i="19"/>
  <c r="AC21" i="19"/>
  <c r="AC23" i="19" s="1"/>
  <c r="AC20" i="19"/>
  <c r="AB20" i="19"/>
  <c r="AB21" i="19"/>
  <c r="AB23" i="19" s="1"/>
  <c r="AA21" i="19"/>
  <c r="AA20" i="19"/>
  <c r="AC13" i="19"/>
  <c r="Z13" i="19"/>
  <c r="Z36" i="19"/>
  <c r="AA12" i="19"/>
  <c r="AA36" i="19"/>
  <c r="AA13" i="19"/>
  <c r="AD12" i="19"/>
  <c r="AE12" i="19" s="1"/>
  <c r="AD13" i="19"/>
  <c r="AE13" i="19" s="1"/>
  <c r="Z12" i="19"/>
  <c r="AF10" i="19"/>
  <c r="AE31" i="19"/>
  <c r="AF9" i="19"/>
  <c r="AE30" i="19"/>
  <c r="AF25" i="19"/>
  <c r="AG27" i="19"/>
  <c r="AH27" i="19" s="1"/>
  <c r="AI27" i="19" s="1"/>
  <c r="AJ27" i="19" s="1"/>
  <c r="AK27" i="19" s="1"/>
  <c r="AL27" i="19" s="1"/>
  <c r="AM27" i="19" s="1"/>
  <c r="AN27" i="19" s="1"/>
  <c r="AO27" i="19" s="1"/>
  <c r="AP27" i="19" s="1"/>
  <c r="AQ27" i="19" s="1"/>
  <c r="AR27" i="19" s="1"/>
  <c r="AS27" i="19" s="1"/>
  <c r="AT27" i="19" s="1"/>
  <c r="AU27" i="19" s="1"/>
  <c r="AV27" i="19" s="1"/>
  <c r="AW27" i="19" s="1"/>
  <c r="AX27" i="19" s="1"/>
  <c r="AY27" i="19" s="1"/>
  <c r="AZ27" i="19" s="1"/>
  <c r="BA27" i="19" s="1"/>
  <c r="BB27" i="19" s="1"/>
  <c r="AG26" i="19"/>
  <c r="AH26" i="19" s="1"/>
  <c r="B60" i="17"/>
  <c r="B56" i="17"/>
  <c r="D53" i="18"/>
  <c r="E53" i="18" s="1"/>
  <c r="D77" i="17" s="1"/>
  <c r="A52" i="18"/>
  <c r="K57" i="17"/>
  <c r="H57" i="17"/>
  <c r="G57" i="17"/>
  <c r="M56" i="17"/>
  <c r="L56" i="17"/>
  <c r="K56" i="17"/>
  <c r="J56" i="17"/>
  <c r="I56" i="17"/>
  <c r="H56" i="17"/>
  <c r="G56" i="17"/>
  <c r="F56" i="17"/>
  <c r="E56" i="17"/>
  <c r="D56" i="17"/>
  <c r="C56" i="17"/>
  <c r="M52" i="17"/>
  <c r="L52" i="17"/>
  <c r="K52" i="17"/>
  <c r="J52" i="17"/>
  <c r="I52" i="17"/>
  <c r="H52" i="17"/>
  <c r="G52" i="17"/>
  <c r="F52" i="17"/>
  <c r="E52" i="17"/>
  <c r="D52" i="17"/>
  <c r="C52" i="17"/>
  <c r="M44" i="17"/>
  <c r="L44" i="17"/>
  <c r="K44" i="17"/>
  <c r="J44" i="17"/>
  <c r="I44" i="17"/>
  <c r="H44" i="17"/>
  <c r="G44" i="17"/>
  <c r="F44" i="17"/>
  <c r="E44" i="17"/>
  <c r="D44" i="17"/>
  <c r="C44" i="17"/>
  <c r="J29" i="17"/>
  <c r="I29" i="17"/>
  <c r="AC16" i="18"/>
  <c r="AB16" i="18"/>
  <c r="AA16" i="18"/>
  <c r="Z16" i="18"/>
  <c r="Y16" i="18"/>
  <c r="X16" i="18"/>
  <c r="W16" i="18"/>
  <c r="V16" i="18"/>
  <c r="U16" i="18"/>
  <c r="T16" i="18"/>
  <c r="M33" i="17"/>
  <c r="E33" i="17"/>
  <c r="AD11" i="18"/>
  <c r="AC11" i="18"/>
  <c r="AB11" i="18"/>
  <c r="AA11" i="18"/>
  <c r="Z11" i="18"/>
  <c r="Z15" i="18" s="1"/>
  <c r="Y11" i="18"/>
  <c r="X11" i="18"/>
  <c r="W11" i="18"/>
  <c r="V11" i="18"/>
  <c r="U11" i="18"/>
  <c r="T11" i="18"/>
  <c r="AD10" i="18"/>
  <c r="AC10" i="18"/>
  <c r="AB10" i="18"/>
  <c r="AA10" i="18"/>
  <c r="Z10" i="18"/>
  <c r="Y10" i="18"/>
  <c r="X10" i="18"/>
  <c r="W10" i="18"/>
  <c r="V10" i="18"/>
  <c r="U10" i="18"/>
  <c r="T10" i="18"/>
  <c r="T9" i="18"/>
  <c r="E14" i="17"/>
  <c r="D14" i="17"/>
  <c r="E7" i="17"/>
  <c r="D7" i="17"/>
  <c r="E5" i="18"/>
  <c r="A1" i="17"/>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B77" i="17"/>
  <c r="IH75" i="17"/>
  <c r="M75" i="17"/>
  <c r="L75" i="17"/>
  <c r="K75" i="17"/>
  <c r="J75" i="17"/>
  <c r="I75" i="17"/>
  <c r="H75" i="17"/>
  <c r="G75" i="17"/>
  <c r="F75" i="17"/>
  <c r="E75" i="17"/>
  <c r="D75" i="17"/>
  <c r="C75" i="17"/>
  <c r="A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I53" i="17"/>
  <c r="H53" i="17"/>
  <c r="G53" i="17"/>
  <c r="F53" i="17"/>
  <c r="E53" i="17"/>
  <c r="D53" i="17"/>
  <c r="C53" i="17"/>
  <c r="M51" i="17"/>
  <c r="L51" i="17"/>
  <c r="K51" i="17"/>
  <c r="J51" i="17"/>
  <c r="I51" i="17"/>
  <c r="H51" i="17"/>
  <c r="G51" i="17"/>
  <c r="F51" i="17"/>
  <c r="E51" i="17"/>
  <c r="D51" i="17"/>
  <c r="C51" i="17"/>
  <c r="M50" i="17"/>
  <c r="L50" i="17"/>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E7" i="1" s="1"/>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M26" i="17" s="1"/>
  <c r="L40" i="17"/>
  <c r="K40" i="17"/>
  <c r="J40" i="17"/>
  <c r="I40" i="17"/>
  <c r="H40" i="17"/>
  <c r="G40" i="17"/>
  <c r="F40" i="17"/>
  <c r="E40" i="17"/>
  <c r="D40" i="17"/>
  <c r="C40" i="17"/>
  <c r="B26" i="17" s="1"/>
  <c r="B30" i="17" s="1"/>
  <c r="M34" i="17"/>
  <c r="L34" i="17"/>
  <c r="K34" i="17"/>
  <c r="J34" i="17"/>
  <c r="I34" i="17"/>
  <c r="H34" i="17"/>
  <c r="G34" i="17"/>
  <c r="F34" i="17"/>
  <c r="E34" i="17"/>
  <c r="D34" i="17"/>
  <c r="C34" i="17"/>
  <c r="L33" i="17"/>
  <c r="K33" i="17"/>
  <c r="J33" i="17"/>
  <c r="I33" i="17"/>
  <c r="H33" i="17"/>
  <c r="G33" i="17"/>
  <c r="F33" i="17"/>
  <c r="D33" i="17"/>
  <c r="C33" i="17"/>
  <c r="M29" i="17"/>
  <c r="L29" i="17"/>
  <c r="K29" i="17"/>
  <c r="H29" i="17"/>
  <c r="G29" i="17"/>
  <c r="F29" i="17"/>
  <c r="E29" i="17"/>
  <c r="L34" i="1" s="1"/>
  <c r="D29" i="17"/>
  <c r="K34" i="1" s="1"/>
  <c r="C29" i="17"/>
  <c r="M27" i="17"/>
  <c r="K27" i="17"/>
  <c r="J27" i="17"/>
  <c r="I27" i="17"/>
  <c r="H27" i="17"/>
  <c r="G27" i="17"/>
  <c r="F27" i="17"/>
  <c r="E27" i="17"/>
  <c r="D27" i="17"/>
  <c r="C27" i="17"/>
  <c r="M23" i="17"/>
  <c r="L23" i="17"/>
  <c r="K23" i="17"/>
  <c r="J23" i="17"/>
  <c r="I23" i="17"/>
  <c r="H23" i="17"/>
  <c r="G23" i="17"/>
  <c r="F23" i="17"/>
  <c r="E23" i="17"/>
  <c r="L27" i="1" s="1"/>
  <c r="D23" i="17"/>
  <c r="K27" i="1" s="1"/>
  <c r="C23" i="17"/>
  <c r="B25" i="17" s="1"/>
  <c r="M21" i="17"/>
  <c r="L21" i="17"/>
  <c r="K21" i="17"/>
  <c r="J21" i="17"/>
  <c r="I21" i="17"/>
  <c r="H21" i="17"/>
  <c r="G21" i="17"/>
  <c r="F21" i="17"/>
  <c r="E21" i="17"/>
  <c r="D21" i="17"/>
  <c r="C21" i="17"/>
  <c r="M18" i="17"/>
  <c r="L18" i="17"/>
  <c r="K18" i="17"/>
  <c r="J18" i="17"/>
  <c r="I18" i="17"/>
  <c r="H18" i="17"/>
  <c r="G18" i="17"/>
  <c r="F18" i="17"/>
  <c r="E18" i="17"/>
  <c r="L29" i="1" s="1"/>
  <c r="D18" i="17"/>
  <c r="K29" i="1" s="1"/>
  <c r="C18" i="17"/>
  <c r="M17" i="17"/>
  <c r="L17" i="17"/>
  <c r="K17" i="17"/>
  <c r="J17" i="17"/>
  <c r="I17" i="17"/>
  <c r="H17" i="17"/>
  <c r="G17" i="17"/>
  <c r="F17" i="17"/>
  <c r="E17" i="17"/>
  <c r="D17" i="17"/>
  <c r="C17" i="17"/>
  <c r="M15" i="17"/>
  <c r="L15" i="17"/>
  <c r="K15" i="17"/>
  <c r="J15" i="17"/>
  <c r="I15" i="17"/>
  <c r="H15" i="17"/>
  <c r="G15" i="17"/>
  <c r="F15" i="17"/>
  <c r="E15" i="17"/>
  <c r="D15" i="17"/>
  <c r="C15" i="17"/>
  <c r="M14" i="17"/>
  <c r="K14" i="17"/>
  <c r="J14" i="17"/>
  <c r="I14" i="17"/>
  <c r="H14" i="17"/>
  <c r="G14" i="17"/>
  <c r="F14" i="17"/>
  <c r="C14" i="17"/>
  <c r="M11" i="17"/>
  <c r="L11" i="17"/>
  <c r="K11" i="17"/>
  <c r="J11" i="17"/>
  <c r="I11" i="17"/>
  <c r="H11" i="17"/>
  <c r="G11" i="17"/>
  <c r="M7" i="17"/>
  <c r="L7" i="17"/>
  <c r="K7" i="17"/>
  <c r="J7" i="17"/>
  <c r="I7" i="17"/>
  <c r="H7" i="17"/>
  <c r="G7" i="17"/>
  <c r="F7" i="17"/>
  <c r="M5" i="17"/>
  <c r="C27" i="1" s="1"/>
  <c r="L5" i="17"/>
  <c r="C28" i="1" s="1"/>
  <c r="K5" i="17"/>
  <c r="C29" i="1" s="1"/>
  <c r="J5" i="17"/>
  <c r="C30" i="1" s="1"/>
  <c r="I5" i="17"/>
  <c r="C31" i="1" s="1"/>
  <c r="H5" i="17"/>
  <c r="C32" i="1" s="1"/>
  <c r="G5" i="17"/>
  <c r="C33" i="1" s="1"/>
  <c r="F5" i="17"/>
  <c r="C34" i="1" s="1"/>
  <c r="E5" i="17"/>
  <c r="C35" i="1" s="1"/>
  <c r="D5" i="17"/>
  <c r="C36" i="1" s="1"/>
  <c r="C5" i="17"/>
  <c r="D4" i="17"/>
  <c r="C4" i="17"/>
  <c r="A2" i="17"/>
  <c r="C37" i="1" l="1"/>
  <c r="B6" i="17"/>
  <c r="B59" i="17"/>
  <c r="E46" i="18"/>
  <c r="F5" i="18"/>
  <c r="F46" i="18" s="1"/>
  <c r="E15" i="1"/>
  <c r="D31" i="1"/>
  <c r="E12" i="1"/>
  <c r="D28" i="1"/>
  <c r="D29" i="1"/>
  <c r="E13" i="1"/>
  <c r="D32" i="1"/>
  <c r="D30" i="1"/>
  <c r="C39" i="1"/>
  <c r="N37" i="1"/>
  <c r="C42" i="1"/>
  <c r="D27" i="1"/>
  <c r="C41" i="1"/>
  <c r="D33" i="1"/>
  <c r="AC14" i="18"/>
  <c r="C57" i="17"/>
  <c r="D57" i="17"/>
  <c r="D66" i="17" s="1"/>
  <c r="F57" i="17"/>
  <c r="F66" i="17" s="1"/>
  <c r="L57" i="17"/>
  <c r="L66" i="17" s="1"/>
  <c r="U14" i="18"/>
  <c r="Y15" i="18"/>
  <c r="I26" i="17"/>
  <c r="AA14" i="18"/>
  <c r="X15" i="18"/>
  <c r="C77" i="17"/>
  <c r="X14" i="18"/>
  <c r="U15" i="18"/>
  <c r="AC15" i="18"/>
  <c r="L13" i="17"/>
  <c r="J60" i="17"/>
  <c r="J59" i="17" s="1"/>
  <c r="I35" i="17"/>
  <c r="Z14" i="18"/>
  <c r="Z17" i="18" s="1"/>
  <c r="W15" i="18"/>
  <c r="C60" i="17"/>
  <c r="G37" i="16" s="1"/>
  <c r="E4" i="17"/>
  <c r="L60" i="17"/>
  <c r="L59" i="17" s="1"/>
  <c r="Z23" i="19"/>
  <c r="D60" i="17"/>
  <c r="F37" i="16" s="1"/>
  <c r="W14" i="18"/>
  <c r="T15" i="18"/>
  <c r="AB15" i="18"/>
  <c r="AA23" i="19"/>
  <c r="K60" i="17"/>
  <c r="K59" i="17" s="1"/>
  <c r="E57" i="17"/>
  <c r="E66" i="17" s="1"/>
  <c r="Y14" i="18"/>
  <c r="V15" i="18"/>
  <c r="E60" i="17"/>
  <c r="E37" i="16" s="1"/>
  <c r="M60" i="17"/>
  <c r="M59" i="17" s="1"/>
  <c r="F60" i="17"/>
  <c r="F61" i="17" s="1"/>
  <c r="G34" i="1" s="1"/>
  <c r="G60" i="17"/>
  <c r="G59" i="17" s="1"/>
  <c r="H60" i="17"/>
  <c r="H59" i="17" s="1"/>
  <c r="I60" i="17"/>
  <c r="I61" i="17" s="1"/>
  <c r="G31" i="1" s="1"/>
  <c r="J57" i="17"/>
  <c r="J66" i="17" s="1"/>
  <c r="I57" i="17"/>
  <c r="I66" i="17" s="1"/>
  <c r="M57" i="17"/>
  <c r="M66" i="17" s="1"/>
  <c r="G66" i="17"/>
  <c r="T14" i="18"/>
  <c r="AB14" i="18"/>
  <c r="J26" i="17"/>
  <c r="V14" i="18"/>
  <c r="AA15" i="18"/>
  <c r="J17" i="1"/>
  <c r="L13" i="1" s="1"/>
  <c r="H19" i="17"/>
  <c r="H20" i="17" s="1"/>
  <c r="AG25" i="19"/>
  <c r="AF13" i="19"/>
  <c r="AE34" i="19"/>
  <c r="AF12" i="19"/>
  <c r="AE33" i="19"/>
  <c r="AG9" i="19"/>
  <c r="AF30" i="19"/>
  <c r="AG10" i="19"/>
  <c r="AF31" i="19"/>
  <c r="AH25" i="19"/>
  <c r="AI26" i="19"/>
  <c r="I6" i="17"/>
  <c r="H37" i="17"/>
  <c r="E8" i="17"/>
  <c r="M24" i="17"/>
  <c r="J19" i="17"/>
  <c r="J20" i="17" s="1"/>
  <c r="C35" i="17"/>
  <c r="D24" i="17"/>
  <c r="L24" i="17"/>
  <c r="M12" i="17"/>
  <c r="F25" i="17"/>
  <c r="H25" i="17"/>
  <c r="J9" i="17"/>
  <c r="J10" i="17" s="1"/>
  <c r="G26" i="17"/>
  <c r="K35" i="17"/>
  <c r="F8" i="17"/>
  <c r="G19" i="17"/>
  <c r="G20" i="17" s="1"/>
  <c r="F35" i="17"/>
  <c r="L26" i="17"/>
  <c r="H6" i="17"/>
  <c r="H8" i="17"/>
  <c r="J25" i="17"/>
  <c r="H35" i="17"/>
  <c r="E26" i="17"/>
  <c r="H9" i="17"/>
  <c r="H10" i="17" s="1"/>
  <c r="G8" i="17"/>
  <c r="I9" i="17"/>
  <c r="I10" i="17" s="1"/>
  <c r="G12" i="17"/>
  <c r="I24" i="17"/>
  <c r="D35" i="17"/>
  <c r="L35" i="17"/>
  <c r="D8" i="17"/>
  <c r="I25" i="17"/>
  <c r="K9" i="17"/>
  <c r="K10" i="17" s="1"/>
  <c r="I8" i="17"/>
  <c r="C24" i="17"/>
  <c r="K24" i="17"/>
  <c r="M37" i="17"/>
  <c r="L8" i="17"/>
  <c r="J8" i="17"/>
  <c r="I19" i="17"/>
  <c r="I20" i="17" s="1"/>
  <c r="D25" i="17"/>
  <c r="L25" i="17"/>
  <c r="F26" i="17"/>
  <c r="G35" i="17"/>
  <c r="M35" i="17"/>
  <c r="H12" i="17"/>
  <c r="M9" i="17"/>
  <c r="M10" i="17" s="1"/>
  <c r="E25" i="17"/>
  <c r="D26" i="17"/>
  <c r="E35" i="17"/>
  <c r="J24" i="17"/>
  <c r="K16" i="17"/>
  <c r="K22" i="17" s="1"/>
  <c r="K19" i="17"/>
  <c r="K20" i="17" s="1"/>
  <c r="H26" i="17"/>
  <c r="M30" i="17"/>
  <c r="F27" i="1" s="1"/>
  <c r="G9" i="17"/>
  <c r="G10" i="17" s="1"/>
  <c r="M8" i="17"/>
  <c r="L12" i="17"/>
  <c r="M16" i="17"/>
  <c r="M22" i="17" s="1"/>
  <c r="L19" i="17"/>
  <c r="L20" i="17" s="1"/>
  <c r="G25" i="17"/>
  <c r="E24" i="17"/>
  <c r="J35" i="17"/>
  <c r="K66" i="17"/>
  <c r="F11" i="17"/>
  <c r="F9" i="17" s="1"/>
  <c r="F10" i="17" s="1"/>
  <c r="H66" i="17"/>
  <c r="C7" i="17"/>
  <c r="C8" i="17" s="1"/>
  <c r="G5" i="18"/>
  <c r="G46" i="18" s="1"/>
  <c r="V9" i="18"/>
  <c r="F4" i="17"/>
  <c r="J6" i="17"/>
  <c r="I12" i="17"/>
  <c r="L14" i="17"/>
  <c r="L16" i="17" s="1"/>
  <c r="L22" i="17" s="1"/>
  <c r="M19" i="17"/>
  <c r="M20" i="17" s="1"/>
  <c r="F24" i="17"/>
  <c r="C25" i="17"/>
  <c r="K25" i="17"/>
  <c r="C37" i="17"/>
  <c r="K37" i="17"/>
  <c r="U9" i="18"/>
  <c r="K8" i="17"/>
  <c r="C6" i="17"/>
  <c r="G5" i="16" s="1"/>
  <c r="K6" i="17"/>
  <c r="J12" i="17"/>
  <c r="G13" i="17"/>
  <c r="G16" i="17"/>
  <c r="G22" i="17" s="1"/>
  <c r="G24" i="17"/>
  <c r="D6" i="17"/>
  <c r="F5" i="16" s="1"/>
  <c r="L6" i="17"/>
  <c r="L9" i="17"/>
  <c r="L10" i="17" s="1"/>
  <c r="K12" i="17"/>
  <c r="H13" i="17"/>
  <c r="H16" i="17"/>
  <c r="H22" i="17" s="1"/>
  <c r="H24" i="17"/>
  <c r="C26" i="17"/>
  <c r="K26" i="17"/>
  <c r="E6" i="17"/>
  <c r="E5" i="16" s="1"/>
  <c r="I13" i="17"/>
  <c r="I16" i="17"/>
  <c r="I22" i="17" s="1"/>
  <c r="F6" i="17"/>
  <c r="D5" i="16" s="1"/>
  <c r="J13" i="17"/>
  <c r="J16" i="17"/>
  <c r="J22" i="17" s="1"/>
  <c r="G37" i="17"/>
  <c r="G6" i="17"/>
  <c r="K13" i="17"/>
  <c r="B31" i="17" l="1"/>
  <c r="B32" i="17" s="1"/>
  <c r="H36" i="17"/>
  <c r="I32" i="1"/>
  <c r="K36" i="17"/>
  <c r="I29" i="1"/>
  <c r="M36" i="17"/>
  <c r="I27" i="1"/>
  <c r="E36" i="17"/>
  <c r="I35" i="1"/>
  <c r="D34" i="1"/>
  <c r="J36" i="17"/>
  <c r="I30" i="1"/>
  <c r="L36" i="17"/>
  <c r="I28" i="1"/>
  <c r="G36" i="17"/>
  <c r="I33" i="1"/>
  <c r="F36" i="17"/>
  <c r="I34" i="1"/>
  <c r="C36" i="17"/>
  <c r="I37" i="1"/>
  <c r="D36" i="17"/>
  <c r="I36" i="1"/>
  <c r="C66" i="17"/>
  <c r="E8" i="1"/>
  <c r="L11" i="1" s="1"/>
  <c r="I36" i="17"/>
  <c r="I31" i="1"/>
  <c r="M61" i="17"/>
  <c r="G27" i="1" s="1"/>
  <c r="J61" i="17"/>
  <c r="G30" i="1" s="1"/>
  <c r="M31" i="17"/>
  <c r="M32" i="17" s="1"/>
  <c r="AC17" i="18"/>
  <c r="I30" i="17"/>
  <c r="F31" i="1" s="1"/>
  <c r="U17" i="18"/>
  <c r="I37" i="17"/>
  <c r="D59" i="17"/>
  <c r="K35" i="1" s="1"/>
  <c r="K61" i="17"/>
  <c r="G29" i="1" s="1"/>
  <c r="C61" i="17"/>
  <c r="G37" i="1" s="1"/>
  <c r="AA17" i="18"/>
  <c r="X17" i="18"/>
  <c r="T17" i="18"/>
  <c r="W17" i="18"/>
  <c r="Y17" i="18"/>
  <c r="AB17" i="18"/>
  <c r="L61" i="17"/>
  <c r="G28" i="1" s="1"/>
  <c r="E30" i="17"/>
  <c r="I59" i="17"/>
  <c r="D61" i="17"/>
  <c r="G36" i="1" s="1"/>
  <c r="V17" i="18"/>
  <c r="C59" i="17"/>
  <c r="F59" i="17"/>
  <c r="D37" i="16"/>
  <c r="E61" i="17"/>
  <c r="G35" i="1" s="1"/>
  <c r="E59" i="17"/>
  <c r="L35" i="1" s="1"/>
  <c r="H61" i="17"/>
  <c r="G32" i="1" s="1"/>
  <c r="G61" i="17"/>
  <c r="G33" i="1" s="1"/>
  <c r="L30" i="17"/>
  <c r="J30" i="17"/>
  <c r="F30" i="17"/>
  <c r="C30" i="17"/>
  <c r="F37" i="1" s="1"/>
  <c r="AE36" i="19"/>
  <c r="AF33" i="19"/>
  <c r="AG12" i="19"/>
  <c r="AG13" i="19"/>
  <c r="AF34" i="19"/>
  <c r="AH10" i="19"/>
  <c r="AG31" i="19"/>
  <c r="AH9" i="19"/>
  <c r="AG30" i="19"/>
  <c r="AJ26" i="19"/>
  <c r="AI25" i="19"/>
  <c r="H30" i="17"/>
  <c r="D30" i="17"/>
  <c r="I31" i="17"/>
  <c r="I32" i="17" s="1"/>
  <c r="J37" i="17"/>
  <c r="L37" i="17"/>
  <c r="C11" i="17"/>
  <c r="B13" i="17" s="1"/>
  <c r="D37" i="17"/>
  <c r="F12" i="17"/>
  <c r="D7" i="16" s="1"/>
  <c r="F19" i="17"/>
  <c r="F20" i="17" s="1"/>
  <c r="F16" i="17"/>
  <c r="F22" i="17" s="1"/>
  <c r="F13" i="17"/>
  <c r="H5" i="18"/>
  <c r="H46" i="18" s="1"/>
  <c r="G4" i="17"/>
  <c r="W9" i="18"/>
  <c r="D11" i="17"/>
  <c r="D36" i="1" s="1"/>
  <c r="E37" i="17"/>
  <c r="F37" i="17"/>
  <c r="E11" i="17"/>
  <c r="D35" i="1" s="1"/>
  <c r="K30" i="17"/>
  <c r="G30" i="17"/>
  <c r="E17" i="1" l="1"/>
  <c r="K41" i="1"/>
  <c r="L41" i="1"/>
  <c r="E14" i="1"/>
  <c r="D37" i="1"/>
  <c r="D39" i="1" s="1"/>
  <c r="C19" i="17"/>
  <c r="C31" i="17"/>
  <c r="C32" i="17" s="1"/>
  <c r="F31" i="17"/>
  <c r="F32" i="17" s="1"/>
  <c r="F34" i="1"/>
  <c r="D31" i="17"/>
  <c r="D32" i="17" s="1"/>
  <c r="F36" i="1"/>
  <c r="E31" i="17"/>
  <c r="E32" i="17" s="1"/>
  <c r="F35" i="1"/>
  <c r="G31" i="17"/>
  <c r="G32" i="17" s="1"/>
  <c r="F33" i="1"/>
  <c r="H31" i="17"/>
  <c r="H32" i="17" s="1"/>
  <c r="F32" i="1"/>
  <c r="Q32" i="1" s="1"/>
  <c r="J31" i="17"/>
  <c r="J32" i="17" s="1"/>
  <c r="F30" i="1"/>
  <c r="Q31" i="1" s="1"/>
  <c r="K31" i="17"/>
  <c r="K32" i="17" s="1"/>
  <c r="F29" i="1"/>
  <c r="L31" i="17"/>
  <c r="L32" i="17" s="1"/>
  <c r="F28" i="1"/>
  <c r="Q28" i="1" s="1"/>
  <c r="AF36" i="19"/>
  <c r="AG34" i="19"/>
  <c r="AH13" i="19"/>
  <c r="AG33" i="19"/>
  <c r="AH12" i="19"/>
  <c r="AI9" i="19"/>
  <c r="AH30" i="19"/>
  <c r="AI10" i="19"/>
  <c r="AH31" i="19"/>
  <c r="AK26" i="19"/>
  <c r="AJ25" i="19"/>
  <c r="D12" i="17"/>
  <c r="F7" i="16" s="1"/>
  <c r="D16" i="17"/>
  <c r="D22" i="17" s="1"/>
  <c r="D13" i="17"/>
  <c r="D19" i="17"/>
  <c r="D9" i="17"/>
  <c r="D10" i="17" s="1"/>
  <c r="C16" i="17"/>
  <c r="C22" i="17" s="1"/>
  <c r="C13" i="17"/>
  <c r="C12" i="17"/>
  <c r="G7" i="16" s="1"/>
  <c r="C9" i="17"/>
  <c r="C10" i="17" s="1"/>
  <c r="E12" i="17"/>
  <c r="E7" i="16" s="1"/>
  <c r="E16" i="17"/>
  <c r="E22" i="17" s="1"/>
  <c r="E19" i="17"/>
  <c r="E13" i="17"/>
  <c r="E9" i="17"/>
  <c r="E10" i="17" s="1"/>
  <c r="X9" i="18"/>
  <c r="H4" i="17"/>
  <c r="I5" i="18"/>
  <c r="I46" i="18" s="1"/>
  <c r="E20" i="17" l="1"/>
  <c r="L28" i="1"/>
  <c r="L40" i="1" s="1"/>
  <c r="D20" i="17"/>
  <c r="K28" i="1"/>
  <c r="K40" i="1" s="1"/>
  <c r="E11" i="1"/>
  <c r="J16" i="1"/>
  <c r="E10" i="1"/>
  <c r="E16" i="1"/>
  <c r="K42" i="1"/>
  <c r="Q35" i="1"/>
  <c r="J18" i="1"/>
  <c r="Q34" i="1"/>
  <c r="Q33" i="1"/>
  <c r="C20" i="17"/>
  <c r="AG36" i="19"/>
  <c r="AH34" i="19"/>
  <c r="AI13" i="19"/>
  <c r="AI12" i="19"/>
  <c r="AH33" i="19"/>
  <c r="AJ10" i="19"/>
  <c r="AI31" i="19"/>
  <c r="AJ9" i="19"/>
  <c r="AI30" i="19"/>
  <c r="AK25" i="19"/>
  <c r="AL26" i="19"/>
  <c r="Y9" i="18"/>
  <c r="I4" i="17"/>
  <c r="J5" i="18"/>
  <c r="J46" i="18" s="1"/>
  <c r="AH36" i="19" l="1"/>
  <c r="AI34" i="19"/>
  <c r="AJ13" i="19"/>
  <c r="AI33" i="19"/>
  <c r="AI36" i="19" s="1"/>
  <c r="AJ12" i="19"/>
  <c r="AK9" i="19"/>
  <c r="AJ30" i="19"/>
  <c r="AK10" i="19"/>
  <c r="AJ31" i="19"/>
  <c r="AL25" i="19"/>
  <c r="AM26" i="19"/>
  <c r="Z9" i="18"/>
  <c r="J4" i="17"/>
  <c r="K5" i="18"/>
  <c r="K46" i="18" s="1"/>
  <c r="AJ33" i="19" l="1"/>
  <c r="AK12" i="19"/>
  <c r="AK13" i="19"/>
  <c r="AJ34" i="19"/>
  <c r="AL10" i="19"/>
  <c r="AK31" i="19"/>
  <c r="AL9" i="19"/>
  <c r="AK30" i="19"/>
  <c r="AN26" i="19"/>
  <c r="AM25" i="19"/>
  <c r="AA9" i="18"/>
  <c r="K4" i="17"/>
  <c r="L5" i="18"/>
  <c r="L46" i="18" s="1"/>
  <c r="AJ36" i="19" l="1"/>
  <c r="AK34" i="19"/>
  <c r="AL13" i="19"/>
  <c r="AK33" i="19"/>
  <c r="AL12" i="19"/>
  <c r="AM9" i="19"/>
  <c r="AL30" i="19"/>
  <c r="AM10" i="19"/>
  <c r="AL31" i="19"/>
  <c r="AO26" i="19"/>
  <c r="AN25" i="19"/>
  <c r="L4" i="17"/>
  <c r="M5" i="18"/>
  <c r="M46" i="18" s="1"/>
  <c r="AB9" i="18"/>
  <c r="AK36" i="19" l="1"/>
  <c r="AL33" i="19"/>
  <c r="AM12" i="19"/>
  <c r="AM13" i="19"/>
  <c r="AL34" i="19"/>
  <c r="AN10" i="19"/>
  <c r="AM31" i="19"/>
  <c r="AN9" i="19"/>
  <c r="AM30" i="19"/>
  <c r="AP26" i="19"/>
  <c r="AO25" i="19"/>
  <c r="M4" i="17"/>
  <c r="AC9" i="18"/>
  <c r="AL36" i="19" l="1"/>
  <c r="AN13" i="19"/>
  <c r="AM34" i="19"/>
  <c r="AN12" i="19"/>
  <c r="AM33" i="19"/>
  <c r="AO9" i="19"/>
  <c r="AN30" i="19"/>
  <c r="AO10" i="19"/>
  <c r="AN31" i="19"/>
  <c r="AQ26" i="19"/>
  <c r="AP25" i="19"/>
  <c r="F33" i="16"/>
  <c r="E33" i="16"/>
  <c r="D33" i="16"/>
  <c r="I4" i="16"/>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J24" i="1" l="1"/>
  <c r="AG38" i="16"/>
  <c r="A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AM36" i="19"/>
  <c r="AO12" i="19"/>
  <c r="AN33" i="19"/>
  <c r="AO13" i="19"/>
  <c r="AN34" i="19"/>
  <c r="AP10" i="19"/>
  <c r="AO31" i="19"/>
  <c r="AP9" i="19"/>
  <c r="AO30" i="19"/>
  <c r="AR26" i="19"/>
  <c r="AQ25" i="19"/>
  <c r="AE40" i="16"/>
  <c r="AD40" i="16"/>
  <c r="AB40" i="16"/>
  <c r="L40" i="16"/>
  <c r="T39" i="16"/>
  <c r="AA40" i="16"/>
  <c r="K40" i="16"/>
  <c r="S39" i="16"/>
  <c r="Y40" i="16"/>
  <c r="V40" i="16"/>
  <c r="U40" i="16"/>
  <c r="T40" i="16"/>
  <c r="Z40" i="16"/>
  <c r="J40" i="16"/>
  <c r="R39" i="16"/>
  <c r="Q39" i="16"/>
  <c r="AD39" i="16"/>
  <c r="AC39" i="16"/>
  <c r="X40" i="16"/>
  <c r="P39" i="16"/>
  <c r="W40" i="16"/>
  <c r="AE39" i="16"/>
  <c r="O39" i="16"/>
  <c r="N39" i="16"/>
  <c r="M39" i="16"/>
  <c r="AB39" i="16"/>
  <c r="G39" i="16"/>
  <c r="AC40" i="16"/>
  <c r="L39" i="16"/>
  <c r="U39" i="16"/>
  <c r="S40" i="16"/>
  <c r="AA39" i="16"/>
  <c r="K39" i="16"/>
  <c r="R40" i="16"/>
  <c r="Q40" i="16"/>
  <c r="X39" i="16"/>
  <c r="O40" i="16"/>
  <c r="G40" i="16"/>
  <c r="N40" i="16"/>
  <c r="M40" i="16"/>
  <c r="Z39" i="16"/>
  <c r="J39" i="16"/>
  <c r="Y39" i="16"/>
  <c r="P40" i="16"/>
  <c r="W39" i="16"/>
  <c r="V39" i="16"/>
  <c r="H28" i="16"/>
  <c r="G8" i="16"/>
  <c r="G11" i="16" s="1"/>
  <c r="F8" i="16"/>
  <c r="E8" i="16"/>
  <c r="D8" i="16"/>
  <c r="E14" i="16" l="1"/>
  <c r="E16" i="16" s="1"/>
  <c r="E21" i="16" s="1"/>
  <c r="E32" i="16" s="1"/>
  <c r="E34" i="16" s="1"/>
  <c r="E11" i="16"/>
  <c r="D14" i="16"/>
  <c r="D16" i="16" s="1"/>
  <c r="D21" i="16" s="1"/>
  <c r="D32" i="16" s="1"/>
  <c r="D34" i="16" s="1"/>
  <c r="D11" i="16"/>
  <c r="F14" i="16"/>
  <c r="F16" i="16" s="1"/>
  <c r="F11" i="16"/>
  <c r="E36" i="16"/>
  <c r="AN36" i="19"/>
  <c r="AP13" i="19"/>
  <c r="AO34" i="19"/>
  <c r="AP12" i="19"/>
  <c r="AO33" i="19"/>
  <c r="AQ9" i="19"/>
  <c r="AP30" i="19"/>
  <c r="AQ10" i="19"/>
  <c r="AP31" i="19"/>
  <c r="AS26" i="19"/>
  <c r="AR25" i="19"/>
  <c r="F21" i="16"/>
  <c r="F32" i="16" s="1"/>
  <c r="F34" i="16" s="1"/>
  <c r="I28" i="16"/>
  <c r="G14" i="16"/>
  <c r="F39" i="16" l="1"/>
  <c r="F40" i="16"/>
  <c r="I40" i="16"/>
  <c r="I39" i="16"/>
  <c r="F36" i="16"/>
  <c r="AO36" i="19"/>
  <c r="AQ12" i="19"/>
  <c r="AP33" i="19"/>
  <c r="AQ13" i="19"/>
  <c r="AP34" i="19"/>
  <c r="AR10" i="19"/>
  <c r="AQ31" i="19"/>
  <c r="AR9" i="19"/>
  <c r="AQ30" i="19"/>
  <c r="AT26" i="19"/>
  <c r="AS25" i="19"/>
  <c r="J28" i="16"/>
  <c r="K28" i="16" s="1"/>
  <c r="L28" i="16" s="1"/>
  <c r="M28" i="16" s="1"/>
  <c r="N28" i="16" s="1"/>
  <c r="O28" i="16" s="1"/>
  <c r="P28" i="16" s="1"/>
  <c r="Q28" i="16" s="1"/>
  <c r="R28" i="16" s="1"/>
  <c r="S28" i="16" s="1"/>
  <c r="T28" i="16" s="1"/>
  <c r="U28" i="16" s="1"/>
  <c r="V28" i="16" s="1"/>
  <c r="W28" i="16" s="1"/>
  <c r="X28" i="16" s="1"/>
  <c r="Y28" i="16" s="1"/>
  <c r="Z28" i="16" s="1"/>
  <c r="AA28" i="16" s="1"/>
  <c r="AB28" i="16" s="1"/>
  <c r="AC28" i="16" s="1"/>
  <c r="AD28" i="16" s="1"/>
  <c r="AE28" i="16" s="1"/>
  <c r="AF28" i="16" s="1"/>
  <c r="G21" i="16"/>
  <c r="AP36" i="19" l="1"/>
  <c r="AR13" i="19"/>
  <c r="AQ34" i="19"/>
  <c r="AR12" i="19"/>
  <c r="AQ33" i="19"/>
  <c r="AQ36" i="19" s="1"/>
  <c r="AS9" i="19"/>
  <c r="AR30" i="19"/>
  <c r="AS10" i="19"/>
  <c r="AR31" i="19"/>
  <c r="AU26" i="19"/>
  <c r="AT25" i="19"/>
  <c r="G32" i="16"/>
  <c r="G33" i="16"/>
  <c r="G16" i="16"/>
  <c r="AS12" i="19" l="1"/>
  <c r="AR33" i="19"/>
  <c r="AS13" i="19"/>
  <c r="AR34" i="19"/>
  <c r="AT10" i="19"/>
  <c r="AS31" i="19"/>
  <c r="AT9" i="19"/>
  <c r="AS30" i="19"/>
  <c r="AV26" i="19"/>
  <c r="AU25" i="19"/>
  <c r="G34" i="16"/>
  <c r="G36" i="16" s="1"/>
  <c r="H12" i="16" s="1"/>
  <c r="H14" i="16" s="1"/>
  <c r="AR36" i="19" l="1"/>
  <c r="AT13" i="19"/>
  <c r="AS34" i="19"/>
  <c r="AT12" i="19"/>
  <c r="AS33" i="19"/>
  <c r="AU9" i="19"/>
  <c r="AT30" i="19"/>
  <c r="AU10" i="19"/>
  <c r="AT31" i="19"/>
  <c r="AW26" i="19"/>
  <c r="AV25" i="19"/>
  <c r="AS36" i="19" l="1"/>
  <c r="AU12" i="19"/>
  <c r="AT33" i="19"/>
  <c r="AU13" i="19"/>
  <c r="AT34" i="19"/>
  <c r="AV10" i="19"/>
  <c r="AU31" i="19"/>
  <c r="AV9" i="19"/>
  <c r="AU30" i="19"/>
  <c r="AX26" i="19"/>
  <c r="AW25" i="19"/>
  <c r="AT36" i="19" l="1"/>
  <c r="AV13" i="19"/>
  <c r="AU34" i="19"/>
  <c r="AV12" i="19"/>
  <c r="AU33" i="19"/>
  <c r="AW9" i="19"/>
  <c r="AV30" i="19"/>
  <c r="AW10" i="19"/>
  <c r="AV31" i="19"/>
  <c r="AY26" i="19"/>
  <c r="AX25" i="19"/>
  <c r="AU36" i="19" l="1"/>
  <c r="AW12" i="19"/>
  <c r="AV33" i="19"/>
  <c r="AW13" i="19"/>
  <c r="AV34" i="19"/>
  <c r="AX10" i="19"/>
  <c r="AW31" i="19"/>
  <c r="AX9" i="19"/>
  <c r="AW30" i="19"/>
  <c r="AZ26" i="19"/>
  <c r="AY25" i="19"/>
  <c r="AV36" i="19" l="1"/>
  <c r="AX13" i="19"/>
  <c r="AW34" i="19"/>
  <c r="AX12" i="19"/>
  <c r="AW33" i="19"/>
  <c r="AY9" i="19"/>
  <c r="AX30" i="19"/>
  <c r="AY10" i="19"/>
  <c r="AX31" i="19"/>
  <c r="BA26" i="19"/>
  <c r="AZ25" i="19"/>
  <c r="AW36" i="19" l="1"/>
  <c r="AY12" i="19"/>
  <c r="AX33" i="19"/>
  <c r="AY13" i="19"/>
  <c r="AX34" i="19"/>
  <c r="AZ10" i="19"/>
  <c r="AY31" i="19"/>
  <c r="AZ9" i="19"/>
  <c r="AY30" i="19"/>
  <c r="BB26" i="19"/>
  <c r="BB25" i="19" s="1"/>
  <c r="BA25" i="19"/>
  <c r="AX36" i="19" l="1"/>
  <c r="AZ13" i="19"/>
  <c r="AY34" i="19"/>
  <c r="AZ12" i="19"/>
  <c r="AY33" i="19"/>
  <c r="AY36" i="19" s="1"/>
  <c r="BA9" i="19"/>
  <c r="AZ30" i="19"/>
  <c r="BA10" i="19"/>
  <c r="AZ31" i="19"/>
  <c r="BA12" i="19" l="1"/>
  <c r="AZ33" i="19"/>
  <c r="BA13" i="19"/>
  <c r="AZ34" i="19"/>
  <c r="BB10" i="19"/>
  <c r="BB31" i="19" s="1"/>
  <c r="BA31" i="19"/>
  <c r="BB9" i="19"/>
  <c r="BB30" i="19" s="1"/>
  <c r="BA30" i="19"/>
  <c r="AZ36" i="19" l="1"/>
  <c r="BB13" i="19"/>
  <c r="BB34" i="19" s="1"/>
  <c r="BA34" i="19"/>
  <c r="BB12" i="19"/>
  <c r="BB33" i="19" s="1"/>
  <c r="BB36" i="19" s="1"/>
  <c r="BA33" i="19"/>
  <c r="BA36" i="19" l="1"/>
  <c r="O36" i="1" l="1"/>
  <c r="N36" i="1"/>
  <c r="D41" i="1" l="1"/>
  <c r="O37" i="1"/>
  <c r="D42" i="1"/>
  <c r="J13" i="1" l="1"/>
  <c r="B59" i="4"/>
  <c r="E61" i="4"/>
  <c r="D61" i="4"/>
  <c r="B43" i="4" l="1"/>
  <c r="C43" i="4"/>
  <c r="D42" i="4"/>
  <c r="E38" i="4" l="1"/>
  <c r="D38" i="4"/>
  <c r="C50" i="4" l="1"/>
  <c r="B50" i="4"/>
  <c r="C47" i="4"/>
  <c r="C40" i="4" l="1"/>
  <c r="B40" i="4"/>
  <c r="C38" i="4"/>
  <c r="B38" i="4"/>
  <c r="C37" i="4"/>
  <c r="B37" i="4"/>
  <c r="O35" i="1" l="1"/>
  <c r="N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L42" i="1" l="1"/>
  <c r="B47" i="4"/>
  <c r="S35" i="1"/>
  <c r="F13" i="1"/>
  <c r="D14" i="3"/>
  <c r="C14" i="3"/>
  <c r="D48" i="4" l="1"/>
  <c r="E42" i="4" s="1"/>
  <c r="E48" i="4" l="1"/>
  <c r="F42" i="4" s="1"/>
  <c r="O29" i="1"/>
  <c r="O30" i="1"/>
  <c r="O31" i="1"/>
  <c r="O32" i="1"/>
  <c r="O33" i="1"/>
  <c r="O34" i="1"/>
  <c r="F48" i="4" l="1"/>
  <c r="G42" i="4" s="1"/>
  <c r="G48" i="4" l="1"/>
  <c r="H42" i="4" s="1"/>
  <c r="H48" i="4" l="1"/>
  <c r="I42" i="4" s="1"/>
  <c r="B44" i="4"/>
  <c r="C44" i="4"/>
  <c r="I48" i="4" l="1"/>
  <c r="J42" i="4" s="1"/>
  <c r="E47" i="4"/>
  <c r="J6" i="3"/>
  <c r="J4" i="3" l="1"/>
  <c r="H8" i="1" s="1"/>
  <c r="J5" i="3"/>
  <c r="H9" i="1" s="1"/>
  <c r="J48" i="4"/>
  <c r="K42" i="4" s="1"/>
  <c r="K48" i="4" l="1"/>
  <c r="L42" i="4" s="1"/>
  <c r="F47" i="4"/>
  <c r="N29" i="1"/>
  <c r="N32" i="1"/>
  <c r="N33" i="1"/>
  <c r="L48" i="4" l="1"/>
  <c r="M42" i="4" s="1"/>
  <c r="G47" i="4"/>
  <c r="M48" i="4" l="1"/>
  <c r="N42" i="4" s="1"/>
  <c r="J8" i="3"/>
  <c r="J7" i="3"/>
  <c r="J18" i="3" l="1"/>
  <c r="H16" i="1" s="1"/>
  <c r="H17" i="1"/>
  <c r="J21" i="3"/>
  <c r="J20" i="3"/>
  <c r="N48" i="4"/>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C16" i="3"/>
  <c r="T48" i="4" l="1"/>
  <c r="U42" i="4" s="1"/>
  <c r="C49" i="4"/>
  <c r="U48" i="4" l="1"/>
  <c r="V42" i="4" s="1"/>
  <c r="V48" i="4" l="1"/>
  <c r="W42" i="4" s="1"/>
  <c r="N13" i="1"/>
  <c r="W48" i="4" l="1"/>
  <c r="X42" i="4" s="1"/>
  <c r="B49" i="4"/>
  <c r="X48" i="4" l="1"/>
  <c r="Y42" i="4" s="1"/>
  <c r="H47" i="4"/>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D3" i="3"/>
  <c r="D16" i="3"/>
  <c r="C27" i="3"/>
  <c r="F27" i="3" s="1"/>
  <c r="D27" i="3"/>
  <c r="E27" i="3"/>
  <c r="F6" i="1"/>
  <c r="J14" i="1"/>
  <c r="J15" i="1"/>
  <c r="L12" i="1"/>
  <c r="L26" i="1"/>
  <c r="B28" i="1"/>
  <c r="B29" i="1" s="1"/>
  <c r="B30" i="1" s="1"/>
  <c r="B31" i="1" s="1"/>
  <c r="B32" i="1" s="1"/>
  <c r="B33" i="1" s="1"/>
  <c r="B34" i="1" s="1"/>
  <c r="B35" i="1" s="1"/>
  <c r="B36" i="1" s="1"/>
  <c r="B37" i="1" s="1"/>
  <c r="S28" i="1"/>
  <c r="N28" i="1"/>
  <c r="O28" i="1"/>
  <c r="D40" i="1" s="1"/>
  <c r="R28" i="1"/>
  <c r="Q29" i="1"/>
  <c r="R29" i="1"/>
  <c r="S29" i="1"/>
  <c r="N30" i="1"/>
  <c r="Q30" i="1"/>
  <c r="R30" i="1"/>
  <c r="S30" i="1"/>
  <c r="S31" i="1"/>
  <c r="N31" i="1"/>
  <c r="S32" i="1"/>
  <c r="N34" i="1"/>
  <c r="B36" i="4" s="1"/>
  <c r="S34" i="1"/>
  <c r="S33" i="1"/>
  <c r="C40" i="1" l="1"/>
  <c r="L18" i="1"/>
  <c r="J17" i="3"/>
  <c r="H15" i="1" s="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L19" i="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H14" i="3"/>
  <c r="E37" i="4"/>
  <c r="H27" i="3"/>
  <c r="G27" i="3"/>
  <c r="L16" i="1"/>
  <c r="F14" i="3"/>
  <c r="L14" i="1" l="1"/>
  <c r="Z48" i="4"/>
  <c r="AA42" i="4" s="1"/>
  <c r="H64" i="4"/>
  <c r="H65" i="4"/>
  <c r="D45" i="4"/>
  <c r="D41" i="4"/>
  <c r="F37" i="4"/>
  <c r="E39" i="4"/>
  <c r="E44" i="4" s="1"/>
  <c r="L15" i="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D64" i="4"/>
  <c r="E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 r="E14" i="3"/>
  <c r="G14" i="3" s="1"/>
  <c r="H23" i="16"/>
  <c r="C38" i="1" l="1"/>
  <c r="I6" i="16"/>
  <c r="I20" i="16" s="1"/>
  <c r="I13" i="16"/>
  <c r="J13" i="16" s="1"/>
  <c r="K13" i="16" s="1"/>
  <c r="L13" i="16" s="1"/>
  <c r="M13" i="16" s="1"/>
  <c r="N13" i="16" s="1"/>
  <c r="O13" i="16" s="1"/>
  <c r="P13" i="16" s="1"/>
  <c r="Q13" i="16" s="1"/>
  <c r="R13" i="16" s="1"/>
  <c r="S13" i="16" s="1"/>
  <c r="T13" i="16" s="1"/>
  <c r="U13" i="16" s="1"/>
  <c r="V13" i="16" s="1"/>
  <c r="W13" i="16" s="1"/>
  <c r="X13" i="16" s="1"/>
  <c r="Y13" i="16" s="1"/>
  <c r="Z13" i="16" s="1"/>
  <c r="AA13" i="16" s="1"/>
  <c r="AB13" i="16" s="1"/>
  <c r="AC13" i="16" s="1"/>
  <c r="AD13" i="16" s="1"/>
  <c r="AE13" i="16" s="1"/>
  <c r="AF13" i="16" s="1"/>
  <c r="J6" i="16" l="1"/>
  <c r="J20" i="16" s="1"/>
  <c r="I10" i="16"/>
  <c r="I19" i="16" s="1"/>
  <c r="I22" i="16"/>
  <c r="I8" i="16"/>
  <c r="I11" i="16" s="1"/>
  <c r="H37" i="16" s="1"/>
  <c r="H26" i="16" s="1"/>
  <c r="I23" i="16"/>
  <c r="H24" i="16"/>
  <c r="H39" i="16" l="1"/>
  <c r="H40" i="16"/>
  <c r="K6" i="16"/>
  <c r="K20" i="16" s="1"/>
  <c r="J22" i="16"/>
  <c r="J8" i="16"/>
  <c r="J10" i="16"/>
  <c r="J19" i="16" s="1"/>
  <c r="I24" i="16"/>
  <c r="J23" i="16"/>
  <c r="K23" i="16" s="1"/>
  <c r="J9" i="16" a="1"/>
  <c r="J9" i="16" s="1"/>
  <c r="H16" i="16"/>
  <c r="H42" i="16" s="1"/>
  <c r="J11" i="16" l="1"/>
  <c r="L6" i="16"/>
  <c r="L20" i="16" s="1"/>
  <c r="K8" i="16"/>
  <c r="K22" i="16"/>
  <c r="K10" i="16"/>
  <c r="K19" i="16" s="1"/>
  <c r="H18" i="16"/>
  <c r="H21" i="16" s="1"/>
  <c r="K24" i="16"/>
  <c r="J24" i="16"/>
  <c r="L23" i="16"/>
  <c r="M23" i="16" s="1"/>
  <c r="K9" i="16" a="1"/>
  <c r="K9" i="16" s="1"/>
  <c r="I37" i="16" l="1"/>
  <c r="I26" i="16" s="1"/>
  <c r="K11" i="16"/>
  <c r="M6" i="16"/>
  <c r="L22" i="16"/>
  <c r="L24" i="16" s="1"/>
  <c r="L10" i="16"/>
  <c r="L19" i="16" s="1"/>
  <c r="L8" i="16"/>
  <c r="N23" i="16"/>
  <c r="O23" i="16" s="1"/>
  <c r="H32" i="16"/>
  <c r="L9" i="16" a="1"/>
  <c r="L9" i="16" s="1"/>
  <c r="H33" i="16"/>
  <c r="H30" i="16"/>
  <c r="J37" i="16" l="1"/>
  <c r="J26" i="16" s="1"/>
  <c r="L11" i="16"/>
  <c r="N6" i="16"/>
  <c r="M8" i="16"/>
  <c r="M20" i="16"/>
  <c r="M22" i="16"/>
  <c r="M24" i="16" s="1"/>
  <c r="M10" i="16"/>
  <c r="M19" i="16" s="1"/>
  <c r="H34" i="16"/>
  <c r="P23" i="16"/>
  <c r="M9" i="16" a="1"/>
  <c r="M9" i="16" s="1"/>
  <c r="K37" i="16" l="1"/>
  <c r="K26" i="16" s="1"/>
  <c r="M11" i="16"/>
  <c r="H36" i="16"/>
  <c r="I12" i="16" s="1"/>
  <c r="I14" i="16" s="1"/>
  <c r="I15" i="16" s="1"/>
  <c r="O6" i="16"/>
  <c r="N20" i="16"/>
  <c r="N22" i="16"/>
  <c r="N24" i="16" s="1"/>
  <c r="N10" i="16"/>
  <c r="N19" i="16" s="1"/>
  <c r="N8" i="16"/>
  <c r="Q23" i="16"/>
  <c r="N9" i="16" a="1"/>
  <c r="N9" i="16" s="1"/>
  <c r="L37" i="16" l="1"/>
  <c r="L26" i="16" s="1"/>
  <c r="M37" i="16"/>
  <c r="M26" i="16" s="1"/>
  <c r="N11" i="16"/>
  <c r="P6" i="16"/>
  <c r="O20" i="16"/>
  <c r="O22" i="16"/>
  <c r="O24" i="16" s="1"/>
  <c r="O10" i="16"/>
  <c r="O19" i="16" s="1"/>
  <c r="O8" i="16"/>
  <c r="R23" i="16"/>
  <c r="S23" i="16" s="1"/>
  <c r="O9" i="16" a="1"/>
  <c r="O9" i="16" s="1"/>
  <c r="I18" i="16"/>
  <c r="I21" i="16" s="1"/>
  <c r="N37" i="16" l="1"/>
  <c r="N26" i="16" s="1"/>
  <c r="O11" i="16"/>
  <c r="Q6" i="16"/>
  <c r="P20" i="16"/>
  <c r="P22" i="16"/>
  <c r="P24" i="16" s="1"/>
  <c r="P10" i="16"/>
  <c r="P19" i="16" s="1"/>
  <c r="P8" i="16"/>
  <c r="T23" i="16"/>
  <c r="I32" i="16"/>
  <c r="P9" i="16" a="1"/>
  <c r="P9" i="16" s="1"/>
  <c r="I16" i="16"/>
  <c r="I42" i="16" s="1"/>
  <c r="O37" i="16" l="1"/>
  <c r="O26" i="16" s="1"/>
  <c r="P11" i="16"/>
  <c r="R6" i="16"/>
  <c r="Q8" i="16"/>
  <c r="Q20" i="16"/>
  <c r="Q10" i="16"/>
  <c r="Q19" i="16" s="1"/>
  <c r="Q22" i="16"/>
  <c r="Q24" i="16" s="1"/>
  <c r="U23" i="16"/>
  <c r="V23" i="16" s="1"/>
  <c r="Q9" i="16" a="1"/>
  <c r="Q9" i="16" s="1"/>
  <c r="Q11" i="16" s="1"/>
  <c r="I33" i="16"/>
  <c r="I34" i="16" s="1"/>
  <c r="I36" i="16" s="1"/>
  <c r="I30" i="16"/>
  <c r="Q37" i="16" l="1"/>
  <c r="P37" i="16"/>
  <c r="P26" i="16" s="1"/>
  <c r="S6" i="16"/>
  <c r="R20" i="16"/>
  <c r="R22" i="16"/>
  <c r="R24" i="16" s="1"/>
  <c r="R10" i="16"/>
  <c r="R19" i="16" s="1"/>
  <c r="R8" i="16"/>
  <c r="W23" i="16"/>
  <c r="X23" i="16" s="1"/>
  <c r="J12" i="16"/>
  <c r="R9" i="16" a="1"/>
  <c r="R9" i="16" s="1"/>
  <c r="R11" i="16" s="1"/>
  <c r="Q26" i="16" l="1"/>
  <c r="R37" i="16"/>
  <c r="R26" i="16" s="1"/>
  <c r="T6" i="16"/>
  <c r="S20" i="16"/>
  <c r="S22" i="16"/>
  <c r="S24" i="16" s="1"/>
  <c r="S10" i="16"/>
  <c r="S19" i="16" s="1"/>
  <c r="S8" i="16"/>
  <c r="Y23" i="16"/>
  <c r="J14" i="16"/>
  <c r="J15" i="16" s="1"/>
  <c r="S9" i="16" a="1"/>
  <c r="S9" i="16" s="1"/>
  <c r="S11" i="16" s="1"/>
  <c r="S37" i="16" l="1"/>
  <c r="S26" i="16" s="1"/>
  <c r="U6" i="16"/>
  <c r="T22" i="16"/>
  <c r="T24" i="16" s="1"/>
  <c r="T10" i="16"/>
  <c r="T19" i="16" s="1"/>
  <c r="T8" i="16"/>
  <c r="T20" i="16"/>
  <c r="Z23" i="16"/>
  <c r="T9" i="16" a="1"/>
  <c r="T9" i="16" s="1"/>
  <c r="T11" i="16" s="1"/>
  <c r="J18" i="16"/>
  <c r="J21" i="16" s="1"/>
  <c r="T37" i="16" l="1"/>
  <c r="T26" i="16" s="1"/>
  <c r="V6" i="16"/>
  <c r="U20" i="16"/>
  <c r="U22" i="16"/>
  <c r="U24" i="16" s="1"/>
  <c r="U8" i="16"/>
  <c r="U10" i="16"/>
  <c r="U19" i="16" s="1"/>
  <c r="AA23" i="16"/>
  <c r="J32" i="16"/>
  <c r="U9" i="16" a="1"/>
  <c r="U9" i="16" s="1"/>
  <c r="U11" i="16" s="1"/>
  <c r="J16" i="16"/>
  <c r="J42" i="16" s="1"/>
  <c r="U37" i="16" l="1"/>
  <c r="U26" i="16" s="1"/>
  <c r="W6" i="16"/>
  <c r="V20" i="16"/>
  <c r="V10" i="16"/>
  <c r="V19" i="16" s="1"/>
  <c r="V8" i="16"/>
  <c r="V22" i="16"/>
  <c r="V24" i="16" s="1"/>
  <c r="AB23" i="16"/>
  <c r="AC23" i="16" s="1"/>
  <c r="V9" i="16" a="1"/>
  <c r="V9" i="16" s="1"/>
  <c r="V11" i="16" s="1"/>
  <c r="J33" i="16"/>
  <c r="J34" i="16" s="1"/>
  <c r="J36" i="16" s="1"/>
  <c r="J30" i="16"/>
  <c r="V37" i="16" l="1"/>
  <c r="V26" i="16" s="1"/>
  <c r="X6" i="16"/>
  <c r="W20" i="16"/>
  <c r="W22" i="16"/>
  <c r="W24" i="16" s="1"/>
  <c r="W8" i="16"/>
  <c r="W10" i="16"/>
  <c r="W19" i="16" s="1"/>
  <c r="AD23" i="16"/>
  <c r="K12" i="16"/>
  <c r="W9" i="16" a="1"/>
  <c r="W9" i="16" s="1"/>
  <c r="W11" i="16" s="1"/>
  <c r="W37" i="16" l="1"/>
  <c r="W26" i="16" s="1"/>
  <c r="Y6" i="16"/>
  <c r="X20" i="16"/>
  <c r="X10" i="16"/>
  <c r="X19" i="16" s="1"/>
  <c r="X8" i="16"/>
  <c r="X22" i="16"/>
  <c r="X24" i="16" s="1"/>
  <c r="AE23" i="16"/>
  <c r="X9" i="16" a="1"/>
  <c r="X9" i="16" s="1"/>
  <c r="X11" i="16" s="1"/>
  <c r="K14" i="16"/>
  <c r="K15" i="16" s="1"/>
  <c r="X37" i="16" l="1"/>
  <c r="X26" i="16" s="1"/>
  <c r="Z6" i="16"/>
  <c r="Y20" i="16"/>
  <c r="Y22" i="16"/>
  <c r="Y24" i="16" s="1"/>
  <c r="Y8" i="16"/>
  <c r="Y10" i="16"/>
  <c r="Y19" i="16" s="1"/>
  <c r="AF23" i="16"/>
  <c r="Y9" i="16" a="1"/>
  <c r="Y9" i="16" s="1"/>
  <c r="Y11" i="16" s="1"/>
  <c r="K18" i="16"/>
  <c r="K21" i="16" s="1"/>
  <c r="Y37" i="16" l="1"/>
  <c r="Y26" i="16" s="1"/>
  <c r="AA6" i="16"/>
  <c r="Z22" i="16"/>
  <c r="Z24" i="16" s="1"/>
  <c r="Z10" i="16"/>
  <c r="Z19" i="16" s="1"/>
  <c r="Z8" i="16"/>
  <c r="Z20" i="16"/>
  <c r="K16" i="16"/>
  <c r="Z9" i="16" a="1"/>
  <c r="Z9" i="16" s="1"/>
  <c r="Z11" i="16" s="1"/>
  <c r="K32" i="16"/>
  <c r="Z37" i="16" l="1"/>
  <c r="Z26" i="16" s="1"/>
  <c r="AB6" i="16"/>
  <c r="AA20" i="16"/>
  <c r="AA22" i="16"/>
  <c r="AA24" i="16" s="1"/>
  <c r="AA10" i="16"/>
  <c r="AA19" i="16" s="1"/>
  <c r="AA8" i="16"/>
  <c r="K30" i="16"/>
  <c r="K33" i="16"/>
  <c r="K34" i="16" s="1"/>
  <c r="K36" i="16" s="1"/>
  <c r="AA9" i="16" a="1"/>
  <c r="AA9" i="16" s="1"/>
  <c r="AA11" i="16" s="1"/>
  <c r="AA37" i="16" l="1"/>
  <c r="AA26" i="16" s="1"/>
  <c r="AC6" i="16"/>
  <c r="AB20" i="16"/>
  <c r="AB8" i="16"/>
  <c r="AB22" i="16"/>
  <c r="AB24" i="16" s="1"/>
  <c r="AB10" i="16"/>
  <c r="AB19" i="16" s="1"/>
  <c r="L12" i="16"/>
  <c r="AB9" i="16" a="1"/>
  <c r="AB9" i="16" s="1"/>
  <c r="AB11" i="16" l="1"/>
  <c r="AD6" i="16"/>
  <c r="AC20" i="16"/>
  <c r="AC22" i="16"/>
  <c r="AC24" i="16" s="1"/>
  <c r="AC10" i="16"/>
  <c r="AC19" i="16" s="1"/>
  <c r="AC8" i="16"/>
  <c r="AC9" i="16" a="1"/>
  <c r="AC9" i="16" s="1"/>
  <c r="AC11" i="16" s="1"/>
  <c r="L14" i="16"/>
  <c r="L15" i="16" s="1"/>
  <c r="AC37" i="16" l="1"/>
  <c r="AB37" i="16"/>
  <c r="AB26" i="16" s="1"/>
  <c r="AE6" i="16"/>
  <c r="AD20" i="16"/>
  <c r="AD22" i="16"/>
  <c r="AD24" i="16" s="1"/>
  <c r="AD10" i="16"/>
  <c r="AD19" i="16" s="1"/>
  <c r="AD8" i="16"/>
  <c r="L18" i="16"/>
  <c r="L21" i="16" s="1"/>
  <c r="AD9" i="16" a="1"/>
  <c r="AD9" i="16" s="1"/>
  <c r="AD11" i="16" s="1"/>
  <c r="AC26" i="16" l="1"/>
  <c r="AD37" i="16"/>
  <c r="AD26" i="16" s="1"/>
  <c r="AF6" i="16"/>
  <c r="AE8" i="16"/>
  <c r="AE20" i="16"/>
  <c r="AE22" i="16"/>
  <c r="AE24" i="16" s="1"/>
  <c r="AE10" i="16"/>
  <c r="AE19" i="16" s="1"/>
  <c r="AE9" i="16" a="1"/>
  <c r="AE9" i="16" s="1"/>
  <c r="AE11" i="16" s="1"/>
  <c r="L16" i="16"/>
  <c r="L32" i="16"/>
  <c r="AE37" i="16" l="1"/>
  <c r="AE26" i="16" s="1"/>
  <c r="AF8" i="16"/>
  <c r="AF20" i="16"/>
  <c r="AF10" i="16"/>
  <c r="AF19" i="16" s="1"/>
  <c r="AF22" i="16"/>
  <c r="AF24" i="16" s="1"/>
  <c r="L30" i="16"/>
  <c r="L33" i="16"/>
  <c r="L34" i="16" s="1"/>
  <c r="L36" i="16" s="1"/>
  <c r="AF9" i="16" a="1"/>
  <c r="AF9" i="16" s="1"/>
  <c r="AF11" i="16" s="1"/>
  <c r="AF37" i="16" l="1"/>
  <c r="AF26" i="16" s="1"/>
  <c r="M12" i="16"/>
  <c r="G50" i="16"/>
  <c r="M14" i="16" l="1"/>
  <c r="M15" i="16" s="1"/>
  <c r="M18" i="16" l="1"/>
  <c r="M21" i="16" s="1"/>
  <c r="M27" i="16" s="1"/>
  <c r="M32" i="16" l="1"/>
  <c r="M16" i="16"/>
  <c r="M33" i="16" l="1"/>
  <c r="M30" i="16"/>
  <c r="M34" i="16" l="1"/>
  <c r="M36" i="16" s="1"/>
  <c r="N12" i="16" s="1"/>
  <c r="N14" i="16" l="1"/>
  <c r="N15" i="16" s="1"/>
  <c r="N18" i="16" l="1"/>
  <c r="N21" i="16" s="1"/>
  <c r="N32" i="16" l="1"/>
  <c r="N16" i="16"/>
  <c r="N30" i="16" l="1"/>
  <c r="N33" i="16"/>
  <c r="N34" i="16" s="1"/>
  <c r="N36" i="16" s="1"/>
  <c r="O12" i="16" l="1"/>
  <c r="O14" i="16" l="1"/>
  <c r="O15" i="16" s="1"/>
  <c r="O18" i="16" l="1"/>
  <c r="O21" i="16" s="1"/>
  <c r="O16" i="16" l="1"/>
  <c r="O32" i="16"/>
  <c r="O33" i="16" l="1"/>
  <c r="O34" i="16" s="1"/>
  <c r="O36" i="16" s="1"/>
  <c r="O30" i="16"/>
  <c r="P12" i="16" l="1"/>
  <c r="P14" i="16" l="1"/>
  <c r="P15" i="16" s="1"/>
  <c r="P18" i="16" l="1"/>
  <c r="P21" i="16" s="1"/>
  <c r="P32" i="16" l="1"/>
  <c r="P16" i="16"/>
  <c r="P33" i="16" l="1"/>
  <c r="P34" i="16" s="1"/>
  <c r="P36" i="16" s="1"/>
  <c r="P30" i="16"/>
  <c r="Q12" i="16" l="1"/>
  <c r="Q14" i="16" l="1"/>
  <c r="Q15" i="16" s="1"/>
  <c r="Q18" i="16" l="1"/>
  <c r="Q21" i="16" s="1"/>
  <c r="Q16" i="16" l="1"/>
  <c r="Q32" i="16"/>
  <c r="Q30" i="16" l="1"/>
  <c r="Q33" i="16"/>
  <c r="Q34" i="16" s="1"/>
  <c r="Q36" i="16" s="1"/>
  <c r="R12" i="16" l="1"/>
  <c r="R14" i="16" l="1"/>
  <c r="R15" i="16" s="1"/>
  <c r="R18" i="16" l="1"/>
  <c r="R21" i="16" s="1"/>
  <c r="R16" i="16" l="1"/>
  <c r="R32" i="16"/>
  <c r="R30" i="16" l="1"/>
  <c r="R33" i="16"/>
  <c r="R34" i="16" s="1"/>
  <c r="R36" i="16" s="1"/>
  <c r="S12" i="16" l="1"/>
  <c r="S14" i="16" l="1"/>
  <c r="S15" i="16" s="1"/>
  <c r="S18" i="16" l="1"/>
  <c r="S21" i="16" s="1"/>
  <c r="S32" i="16" l="1"/>
  <c r="S16" i="16"/>
  <c r="S30" i="16" l="1"/>
  <c r="S33" i="16"/>
  <c r="S34" i="16" s="1"/>
  <c r="S36" i="16" s="1"/>
  <c r="T12" i="16" l="1"/>
  <c r="T14" i="16" l="1"/>
  <c r="T15" i="16" s="1"/>
  <c r="T18" i="16" l="1"/>
  <c r="T21" i="16" s="1"/>
  <c r="T16" i="16" l="1"/>
  <c r="T32" i="16"/>
  <c r="T30" i="16" l="1"/>
  <c r="T33" i="16"/>
  <c r="T34" i="16" s="1"/>
  <c r="T36" i="16" s="1"/>
  <c r="U12" i="16" l="1"/>
  <c r="U14" i="16" l="1"/>
  <c r="U15" i="16" s="1"/>
  <c r="U18" i="16" l="1"/>
  <c r="U21" i="16" s="1"/>
  <c r="U32" i="16" l="1"/>
  <c r="U16" i="16"/>
  <c r="U30" i="16" l="1"/>
  <c r="U33" i="16"/>
  <c r="U34" i="16" s="1"/>
  <c r="U36" i="16" s="1"/>
  <c r="V12" i="16" l="1"/>
  <c r="V14" i="16" l="1"/>
  <c r="V15" i="16" s="1"/>
  <c r="V18" i="16" l="1"/>
  <c r="V21" i="16" s="1"/>
  <c r="V32" i="16" l="1"/>
  <c r="V16" i="16"/>
  <c r="V33" i="16" l="1"/>
  <c r="V34" i="16" s="1"/>
  <c r="V36" i="16" s="1"/>
  <c r="V30" i="16"/>
  <c r="W12" i="16" l="1"/>
  <c r="W14" i="16" l="1"/>
  <c r="W15" i="16" s="1"/>
  <c r="W18" i="16" l="1"/>
  <c r="W21" i="16" s="1"/>
  <c r="W16" i="16" l="1"/>
  <c r="W32" i="16"/>
  <c r="W30" i="16" l="1"/>
  <c r="W33" i="16"/>
  <c r="W34" i="16" s="1"/>
  <c r="W36" i="16" s="1"/>
  <c r="X12" i="16" l="1"/>
  <c r="X14" i="16" l="1"/>
  <c r="X15" i="16" s="1"/>
  <c r="X18" i="16" l="1"/>
  <c r="X21" i="16" s="1"/>
  <c r="X16" i="16" l="1"/>
  <c r="X32" i="16"/>
  <c r="X30" i="16" l="1"/>
  <c r="X33" i="16"/>
  <c r="X34" i="16" s="1"/>
  <c r="X36" i="16" s="1"/>
  <c r="Y12" i="16" l="1"/>
  <c r="Y14" i="16" l="1"/>
  <c r="Y15" i="16" s="1"/>
  <c r="Y18" i="16" l="1"/>
  <c r="Y21" i="16" s="1"/>
  <c r="Y16" i="16" l="1"/>
  <c r="Y32" i="16"/>
  <c r="Y33" i="16" l="1"/>
  <c r="Y34" i="16" s="1"/>
  <c r="Y36" i="16" s="1"/>
  <c r="Y30" i="16"/>
  <c r="Z12" i="16" l="1"/>
  <c r="Z14" i="16" l="1"/>
  <c r="Z15" i="16" s="1"/>
  <c r="Z18" i="16" l="1"/>
  <c r="Z21" i="16" s="1"/>
  <c r="Z16" i="16" l="1"/>
  <c r="Z32" i="16"/>
  <c r="Z33" i="16" l="1"/>
  <c r="Z34" i="16" s="1"/>
  <c r="Z36" i="16" s="1"/>
  <c r="Z30" i="16"/>
  <c r="AA12" i="16" l="1"/>
  <c r="AA14" i="16" l="1"/>
  <c r="AA15" i="16" s="1"/>
  <c r="AA18" i="16" l="1"/>
  <c r="AA21" i="16" s="1"/>
  <c r="AA16" i="16" l="1"/>
  <c r="AA32" i="16"/>
  <c r="AA33" i="16" l="1"/>
  <c r="AA34" i="16" s="1"/>
  <c r="AA36" i="16" s="1"/>
  <c r="AA30" i="16"/>
  <c r="AB12" i="16" l="1"/>
  <c r="AB14" i="16" l="1"/>
  <c r="AB15" i="16" s="1"/>
  <c r="AB18" i="16" l="1"/>
  <c r="AB21" i="16" s="1"/>
  <c r="AB16" i="16" l="1"/>
  <c r="AB32" i="16"/>
  <c r="AB30" i="16" l="1"/>
  <c r="AB33" i="16"/>
  <c r="AB34" i="16" s="1"/>
  <c r="AB36" i="16" s="1"/>
  <c r="AC12" i="16" l="1"/>
  <c r="AC14" i="16" l="1"/>
  <c r="AC15" i="16" s="1"/>
  <c r="AC18" i="16" l="1"/>
  <c r="AC21" i="16" s="1"/>
  <c r="AC16" i="16" l="1"/>
  <c r="AC32" i="16"/>
  <c r="AC33" i="16" l="1"/>
  <c r="AC34" i="16" s="1"/>
  <c r="AC36" i="16" s="1"/>
  <c r="AC30" i="16"/>
  <c r="AD12" i="16" l="1"/>
  <c r="AD14" i="16" l="1"/>
  <c r="AD15" i="16" s="1"/>
  <c r="AD18" i="16" l="1"/>
  <c r="AD21" i="16" s="1"/>
  <c r="AD32" i="16" l="1"/>
  <c r="AD16" i="16"/>
  <c r="AD30" i="16" l="1"/>
  <c r="AD33" i="16"/>
  <c r="AD34" i="16" s="1"/>
  <c r="AD36" i="16" s="1"/>
  <c r="AE12" i="16" l="1"/>
  <c r="AE14" i="16" l="1"/>
  <c r="AE15" i="16" s="1"/>
  <c r="AE18" i="16" l="1"/>
  <c r="AE21" i="16" s="1"/>
  <c r="AE32" i="16" l="1"/>
  <c r="AE16" i="16"/>
  <c r="AE30" i="16" l="1"/>
  <c r="AE33" i="16"/>
  <c r="AE34" i="16" s="1"/>
  <c r="AE36" i="16" s="1"/>
  <c r="D62" i="16" s="1"/>
  <c r="AF12" i="16" l="1"/>
  <c r="AE61" i="16"/>
  <c r="AE62" i="16" s="1"/>
  <c r="AF14" i="16" l="1"/>
  <c r="AF15" i="16" s="1"/>
  <c r="AF18" i="16" l="1"/>
  <c r="AF21" i="16" s="1"/>
  <c r="AF16" i="16" l="1"/>
  <c r="AF32" i="16"/>
  <c r="D63" i="16" s="1"/>
  <c r="AF33" i="16" l="1"/>
  <c r="AF34" i="16" s="1"/>
  <c r="AF36" i="16" s="1"/>
  <c r="AF30" i="16"/>
  <c r="D64" i="16" l="1"/>
  <c r="D66" i="16" s="1"/>
  <c r="H44" i="16" l="1"/>
  <c r="I44" i="16"/>
  <c r="E62" i="16"/>
  <c r="E63" i="16"/>
  <c r="D65" i="16" l="1"/>
  <c r="L23" i="1" s="1"/>
  <c r="L21" i="1"/>
  <c r="H24" i="1" s="1"/>
  <c r="B45" i="17"/>
  <c r="B61" i="17" s="1"/>
  <c r="B26" i="18"/>
  <c r="B44" i="17" s="1"/>
  <c r="B66"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Patrícia Franco</author>
    <author>Jorge</author>
  </authors>
  <commentList>
    <comment ref="B2" authorId="0" shapeId="0" xr:uid="{00000000-0006-0000-0000-000001000000}">
      <text>
        <r>
          <rPr>
            <b/>
            <sz val="9"/>
            <color indexed="81"/>
            <rFont val="Tahoma"/>
            <family val="2"/>
          </rPr>
          <t>(date of last modification)</t>
        </r>
      </text>
    </comment>
    <comment ref="D2" authorId="0" shapeId="0" xr:uid="{00000000-0006-0000-0000-000002000000}">
      <text>
        <r>
          <rPr>
            <b/>
            <sz val="9"/>
            <color indexed="81"/>
            <rFont val="Tahoma"/>
            <family val="2"/>
          </rPr>
          <t>Date of last report/release</t>
        </r>
      </text>
    </comment>
    <comment ref="K2" authorId="0" shapeId="0" xr:uid="{00000000-0006-0000-0000-000003000000}">
      <text>
        <r>
          <rPr>
            <b/>
            <sz val="9"/>
            <color indexed="81"/>
            <rFont val="Tahoma"/>
            <family val="2"/>
          </rPr>
          <t>Stock market</t>
        </r>
      </text>
    </comment>
    <comment ref="B7" authorId="1" shapeId="0" xr:uid="{00000000-0006-0000-0000-000004000000}">
      <text>
        <r>
          <rPr>
            <b/>
            <sz val="10"/>
            <color rgb="FF000000"/>
            <rFont val="Tahoma"/>
            <family val="2"/>
          </rPr>
          <t>Last price</t>
        </r>
        <r>
          <rPr>
            <sz val="10"/>
            <color rgb="FF000000"/>
            <rFont val="Tahoma"/>
            <family val="2"/>
          </rPr>
          <t xml:space="preserve">
</t>
        </r>
      </text>
    </comment>
    <comment ref="D7" authorId="1" shapeId="0" xr:uid="{00000000-0006-0000-0000-000005000000}">
      <text>
        <r>
          <rPr>
            <b/>
            <sz val="10"/>
            <color rgb="FF000000"/>
            <rFont val="Tahoma"/>
            <family val="2"/>
          </rPr>
          <t>Total Assets</t>
        </r>
        <r>
          <rPr>
            <sz val="10"/>
            <color rgb="FF000000"/>
            <rFont val="Tahoma"/>
            <family val="2"/>
          </rPr>
          <t xml:space="preserve">
</t>
        </r>
      </text>
    </comment>
    <comment ref="I7" authorId="0" shapeId="0" xr:uid="{00000000-0006-0000-0000-000006000000}">
      <text>
        <r>
          <rPr>
            <b/>
            <sz val="9"/>
            <color indexed="81"/>
            <rFont val="Tahoma"/>
            <family val="2"/>
          </rPr>
          <t>End of financial year</t>
        </r>
      </text>
    </comment>
    <comment ref="D8" authorId="1" shapeId="0" xr:uid="{00000000-0006-0000-0000-000007000000}">
      <text>
        <r>
          <rPr>
            <b/>
            <sz val="10"/>
            <color rgb="FF000000"/>
            <rFont val="Tahoma"/>
            <family val="2"/>
          </rPr>
          <t>Total liabilities</t>
        </r>
        <r>
          <rPr>
            <sz val="10"/>
            <color rgb="FF000000"/>
            <rFont val="Tahoma"/>
            <family val="2"/>
          </rPr>
          <t xml:space="preserve">
</t>
        </r>
      </text>
    </comment>
    <comment ref="B10" authorId="1" shapeId="0" xr:uid="{00000000-0006-0000-0000-000008000000}">
      <text>
        <r>
          <rPr>
            <b/>
            <sz val="10"/>
            <color rgb="FF000000"/>
            <rFont val="Tahoma"/>
            <family val="2"/>
          </rPr>
          <t>Debt</t>
        </r>
        <r>
          <rPr>
            <sz val="10"/>
            <color rgb="FF000000"/>
            <rFont val="Tahoma"/>
            <family val="2"/>
          </rPr>
          <t xml:space="preserve">
</t>
        </r>
      </text>
    </comment>
    <comment ref="D10" authorId="1" shapeId="0" xr:uid="{00000000-0006-0000-0000-000009000000}">
      <text>
        <r>
          <rPr>
            <b/>
            <sz val="10"/>
            <color rgb="FF000000"/>
            <rFont val="Tahoma"/>
            <family val="2"/>
          </rPr>
          <t>EBITDA/Net financial cost</t>
        </r>
        <r>
          <rPr>
            <sz val="10"/>
            <color rgb="FF000000"/>
            <rFont val="Tahoma"/>
            <family val="2"/>
          </rPr>
          <t xml:space="preserve">
</t>
        </r>
      </text>
    </comment>
    <comment ref="D11" authorId="1" shapeId="0" xr:uid="{00000000-0006-0000-0000-00000A000000}">
      <text>
        <r>
          <rPr>
            <b/>
            <sz val="10"/>
            <color rgb="FF000000"/>
            <rFont val="Tahoma"/>
            <family val="2"/>
          </rPr>
          <t>Debt/EBITDA</t>
        </r>
        <r>
          <rPr>
            <sz val="10"/>
            <color rgb="FF000000"/>
            <rFont val="Tahoma"/>
            <family val="2"/>
          </rPr>
          <t xml:space="preserve">
</t>
        </r>
      </text>
    </comment>
    <comment ref="D12" authorId="1" shapeId="0" xr:uid="{00000000-0006-0000-0000-00000B000000}">
      <text>
        <r>
          <rPr>
            <b/>
            <sz val="10"/>
            <color rgb="FF000000"/>
            <rFont val="Tahoma"/>
            <family val="2"/>
          </rPr>
          <t>Other assets</t>
        </r>
        <r>
          <rPr>
            <sz val="10"/>
            <color rgb="FF000000"/>
            <rFont val="Tahoma"/>
            <family val="2"/>
          </rPr>
          <t xml:space="preserve">
</t>
        </r>
      </text>
    </comment>
    <comment ref="B13" authorId="1" shapeId="0" xr:uid="{00000000-0006-0000-0000-00000C000000}">
      <text>
        <r>
          <rPr>
            <sz val="10"/>
            <color rgb="FF000000"/>
            <rFont val="Arial"/>
            <family val="2"/>
          </rPr>
          <t>'Holdings (nac/int'l)</t>
        </r>
      </text>
    </comment>
    <comment ref="D13" authorId="1" shapeId="0" xr:uid="{00000000-0006-0000-0000-00000D000000}">
      <text>
        <r>
          <rPr>
            <b/>
            <sz val="10"/>
            <color rgb="FF000000"/>
            <rFont val="Tahoma"/>
            <family val="2"/>
          </rPr>
          <t>Debt/asset</t>
        </r>
      </text>
    </comment>
    <comment ref="B14" authorId="1" shapeId="0" xr:uid="{00000000-0006-0000-0000-00000E000000}">
      <text>
        <r>
          <rPr>
            <sz val="10"/>
            <color rgb="FF000000"/>
            <rFont val="Arial"/>
            <family val="2"/>
          </rPr>
          <t>t liq. (Holdings/Vol.)</t>
        </r>
      </text>
    </comment>
    <comment ref="D14" authorId="1" shapeId="0" xr:uid="{00000000-0006-0000-0000-00000F000000}">
      <text>
        <r>
          <rPr>
            <b/>
            <sz val="10"/>
            <color rgb="FF000000"/>
            <rFont val="Tahoma"/>
            <family val="2"/>
          </rPr>
          <t>Operating margin</t>
        </r>
      </text>
    </comment>
    <comment ref="C15" authorId="2" shapeId="0" xr:uid="{1735C89B-14D9-4F01-B2F4-C04547CC9FE2}">
      <text>
        <r>
          <rPr>
            <b/>
            <sz val="9"/>
            <color rgb="FF000000"/>
            <rFont val="Tahoma"/>
            <family val="2"/>
          </rPr>
          <t>Patrícia Franco:</t>
        </r>
        <r>
          <rPr>
            <sz val="9"/>
            <color rgb="FF000000"/>
            <rFont val="Tahoma"/>
            <family val="2"/>
          </rPr>
          <t xml:space="preserve">
</t>
        </r>
        <r>
          <rPr>
            <sz val="9"/>
            <color rgb="FF000000"/>
            <rFont val="Tahoma"/>
            <family val="2"/>
          </rPr>
          <t xml:space="preserve">Pessimism regarding future performance: while Magnite has shown revenue growth and an increase in stock price, the digital advertising market is highly volatile, and profit margins can be impacted by factors such as changing advertiser demand, increasing competition, or global economic uncertainties. This likely led many investors to take short positions, expecting a slowdown in the company’s growth or potential financial difficulties.
</t>
        </r>
        <r>
          <rPr>
            <sz val="9"/>
            <color rgb="FF000000"/>
            <rFont val="Tahoma"/>
            <family val="2"/>
          </rPr>
          <t xml:space="preserve">Volatility in the digital advertising sector: the digital advertising sector faces challenges like privacy regulations (such as GDPR and CCPA), platform algorithm changes, and fierce competition from major players like Google and Facebook. These uncertainties can lead investors to bet against stocks like Magnite’s.
</t>
        </r>
        <r>
          <rPr>
            <sz val="9"/>
            <color rgb="FF000000"/>
            <rFont val="Tahoma"/>
            <family val="2"/>
          </rPr>
          <t>Possible overvaluation of the stock: the stock price has seen a significant increase (69.40% - source YahooFinance)) over the last 52 weeks, which may have raised concerns among investors about the sustainability of this growth. This likely prompted pressure to short the stock, with the expectation that the price may correct or decline in the short term</t>
        </r>
      </text>
    </comment>
    <comment ref="D15" authorId="1" shapeId="0" xr:uid="{00000000-0006-0000-0000-000010000000}">
      <text>
        <r>
          <rPr>
            <b/>
            <sz val="10"/>
            <color rgb="FF000000"/>
            <rFont val="Tahoma"/>
            <family val="2"/>
          </rPr>
          <t>Net income margin</t>
        </r>
        <r>
          <rPr>
            <sz val="10"/>
            <color rgb="FF000000"/>
            <rFont val="Tahoma"/>
            <family val="2"/>
          </rPr>
          <t xml:space="preserve">
</t>
        </r>
      </text>
    </comment>
    <comment ref="D16" authorId="1" shapeId="0" xr:uid="{00000000-0006-0000-0000-000011000000}">
      <text>
        <r>
          <rPr>
            <b/>
            <sz val="10"/>
            <color rgb="FF000000"/>
            <rFont val="Tahoma"/>
            <family val="2"/>
          </rPr>
          <t>EBITDA/Revenue</t>
        </r>
        <r>
          <rPr>
            <sz val="10"/>
            <color rgb="FF000000"/>
            <rFont val="Tahoma"/>
            <family val="2"/>
          </rPr>
          <t xml:space="preserve">
</t>
        </r>
      </text>
    </comment>
    <comment ref="D17" authorId="1" shapeId="0" xr:uid="{00000000-0006-0000-0000-000013000000}">
      <text>
        <r>
          <rPr>
            <b/>
            <sz val="10"/>
            <color rgb="FF000000"/>
            <rFont val="Tahoma"/>
            <family val="2"/>
          </rPr>
          <t>林伊婧</t>
        </r>
        <r>
          <rPr>
            <b/>
            <sz val="10"/>
            <color rgb="FF000000"/>
            <rFont val="Tahoma"/>
            <family val="2"/>
          </rPr>
          <t>:</t>
        </r>
        <r>
          <rPr>
            <sz val="10"/>
            <color rgb="FF000000"/>
            <rFont val="Tahoma"/>
            <family val="2"/>
          </rPr>
          <t xml:space="preserve">
</t>
        </r>
      </text>
    </comment>
    <comment ref="H24" authorId="3" shapeId="0" xr:uid="{F01FE16E-8CF9-4C53-9958-20E8FE6B3D75}">
      <text>
        <r>
          <rPr>
            <sz val="9"/>
            <color indexed="81"/>
            <rFont val="Tahoma"/>
            <family val="2"/>
          </rPr>
          <t xml:space="preserve">80% of DCF value due to high volatility
</t>
        </r>
      </text>
    </comment>
    <comment ref="I24" authorId="1" shapeId="0" xr:uid="{00000000-0006-0000-0000-000014000000}">
      <text>
        <r>
          <rPr>
            <b/>
            <sz val="10"/>
            <color rgb="FF000000"/>
            <rFont val="Tahoma"/>
            <family val="2"/>
          </rPr>
          <t>Discount rate</t>
        </r>
        <r>
          <rPr>
            <sz val="10"/>
            <color rgb="FF000000"/>
            <rFont val="Tahoma"/>
            <family val="2"/>
          </rPr>
          <t xml:space="preserve">
</t>
        </r>
      </text>
    </comment>
    <comment ref="C25" authorId="2" shapeId="0" xr:uid="{141C62EB-9F48-4D4A-8CCB-0B50DEDF8788}">
      <text>
        <r>
          <rPr>
            <b/>
            <sz val="9"/>
            <color rgb="FF000000"/>
            <rFont val="Tahoma"/>
            <family val="2"/>
          </rPr>
          <t>Patrícia Franco:</t>
        </r>
        <r>
          <rPr>
            <sz val="9"/>
            <color rgb="FF000000"/>
            <rFont val="Tahoma"/>
            <family val="2"/>
          </rPr>
          <t xml:space="preserve">
</t>
        </r>
        <r>
          <rPr>
            <sz val="9"/>
            <color rgb="FF000000"/>
            <rFont val="Tahoma"/>
            <family val="2"/>
          </rPr>
          <t xml:space="preserve">Revenue
</t>
        </r>
      </text>
    </comment>
    <comment ref="B26" authorId="2" shapeId="0" xr:uid="{61A95A17-547D-45C7-A015-1308941F8811}">
      <text>
        <r>
          <rPr>
            <b/>
            <sz val="9"/>
            <color rgb="FF000000"/>
            <rFont val="Tahoma"/>
            <family val="2"/>
          </rPr>
          <t>Patrícia Franco:</t>
        </r>
        <r>
          <rPr>
            <sz val="9"/>
            <color rgb="FF000000"/>
            <rFont val="Tahoma"/>
            <family val="2"/>
          </rPr>
          <t xml:space="preserve">
</t>
        </r>
        <r>
          <rPr>
            <sz val="9"/>
            <color rgb="FF000000"/>
            <rFont val="Tahoma"/>
            <family val="2"/>
          </rPr>
          <t>No info available</t>
        </r>
      </text>
    </comment>
    <comment ref="E27" authorId="2" shapeId="0" xr:uid="{9485821B-AD76-436D-94AE-57CC509A4DB9}">
      <text>
        <r>
          <rPr>
            <b/>
            <sz val="9"/>
            <color rgb="FF000000"/>
            <rFont val="Tahoma"/>
            <family val="2"/>
          </rPr>
          <t>Patrícia Franco:</t>
        </r>
        <r>
          <rPr>
            <sz val="9"/>
            <color rgb="FF000000"/>
            <rFont val="Tahoma"/>
            <family val="2"/>
          </rPr>
          <t xml:space="preserve">
</t>
        </r>
        <r>
          <rPr>
            <sz val="9"/>
            <color rgb="FF000000"/>
            <rFont val="Tahoma"/>
            <family val="2"/>
          </rPr>
          <t>suggests that the company reinvests most of its profits to finance its growth and technological innovation  (which is common among ad tech companies)</t>
        </r>
      </text>
    </comment>
    <comment ref="D31" authorId="2" shapeId="0" xr:uid="{4D621C22-E2C6-4357-81B1-D47575C3CAFD}">
      <text>
        <r>
          <rPr>
            <b/>
            <sz val="9"/>
            <color rgb="FF000000"/>
            <rFont val="Tahoma"/>
            <family val="2"/>
          </rPr>
          <t>Patrícia Franco:</t>
        </r>
        <r>
          <rPr>
            <sz val="9"/>
            <color rgb="FF000000"/>
            <rFont val="Tahoma"/>
            <family val="2"/>
          </rPr>
          <t xml:space="preserve">
</t>
        </r>
        <r>
          <rPr>
            <sz val="9"/>
            <color rgb="FF000000"/>
            <rFont val="Tahoma"/>
            <family val="2"/>
          </rPr>
          <t>expenses related to developing new technologies + heavy investments in market expansion + decrease in price to stay more competitive but the sales volume was the same</t>
        </r>
      </text>
    </comment>
    <comment ref="C34" authorId="2" shapeId="0" xr:uid="{8B315B1D-E195-4662-89DD-A74E33C4B75D}">
      <text>
        <r>
          <rPr>
            <b/>
            <sz val="9"/>
            <color rgb="FF000000"/>
            <rFont val="Tahoma"/>
            <family val="2"/>
          </rPr>
          <t>Patrícia Franco:</t>
        </r>
        <r>
          <rPr>
            <sz val="9"/>
            <color rgb="FF000000"/>
            <rFont val="Tahoma"/>
            <family val="2"/>
          </rPr>
          <t xml:space="preserve">
</t>
        </r>
        <r>
          <rPr>
            <sz val="9"/>
            <color rgb="FF000000"/>
            <rFont val="Tahoma"/>
            <family val="2"/>
          </rPr>
          <t xml:space="preserve">Acquisitions + rising demand for advertising and strategic partnerships </t>
        </r>
      </text>
    </comment>
    <comment ref="F35" authorId="2" shapeId="0" xr:uid="{9C916955-62B2-45DC-808D-2DC3B785F1D7}">
      <text>
        <r>
          <rPr>
            <b/>
            <sz val="9"/>
            <color rgb="FF000000"/>
            <rFont val="Tahoma"/>
            <family val="2"/>
          </rPr>
          <t>Patrícia Franco:</t>
        </r>
        <r>
          <rPr>
            <sz val="9"/>
            <color rgb="FF000000"/>
            <rFont val="Tahoma"/>
            <family val="2"/>
          </rPr>
          <t xml:space="preserve">
</t>
        </r>
        <r>
          <rPr>
            <sz val="9"/>
            <color rgb="FF000000"/>
            <rFont val="Tahoma"/>
            <family val="2"/>
          </rPr>
          <t>payments related to acquisitions</t>
        </r>
      </text>
    </comment>
    <comment ref="H35" authorId="2" shapeId="0" xr:uid="{E506176D-3D1E-4719-8C97-35DBD240FF3A}">
      <text>
        <r>
          <rPr>
            <b/>
            <sz val="9"/>
            <color rgb="FF000000"/>
            <rFont val="Tahoma"/>
            <family val="2"/>
          </rPr>
          <t>Patrícia Franco:</t>
        </r>
        <r>
          <rPr>
            <sz val="9"/>
            <color rgb="FF000000"/>
            <rFont val="Tahoma"/>
            <family val="2"/>
          </rPr>
          <t xml:space="preserve">
</t>
        </r>
        <r>
          <rPr>
            <sz val="9"/>
            <color rgb="FF000000"/>
            <rFont val="Tahoma"/>
            <family val="2"/>
          </rPr>
          <t>investments accounted for over time</t>
        </r>
      </text>
    </comment>
    <comment ref="I35" authorId="2" shapeId="0" xr:uid="{E86911A6-B370-4B73-9265-631EDA823147}">
      <text>
        <r>
          <rPr>
            <b/>
            <sz val="9"/>
            <color rgb="FF000000"/>
            <rFont val="Tahoma"/>
            <family val="2"/>
          </rPr>
          <t>Patrícia Franco:</t>
        </r>
        <r>
          <rPr>
            <sz val="9"/>
            <color rgb="FF000000"/>
            <rFont val="Tahoma"/>
            <family val="2"/>
          </rPr>
          <t xml:space="preserve">
</t>
        </r>
        <r>
          <rPr>
            <sz val="9"/>
            <color rgb="FF000000"/>
            <rFont val="Tahoma"/>
            <family val="2"/>
          </rPr>
          <t>investments in technology, digital infrastructure, and global expansion</t>
        </r>
      </text>
    </comment>
    <comment ref="B44" authorId="2" shapeId="0" xr:uid="{D83E2F15-12B5-44B0-81E0-982907E6E55A}">
      <text>
        <r>
          <rPr>
            <b/>
            <sz val="9"/>
            <color rgb="FF000000"/>
            <rFont val="Tahoma"/>
            <family val="2"/>
          </rPr>
          <t>Patrícia Franco:</t>
        </r>
        <r>
          <rPr>
            <sz val="9"/>
            <color rgb="FF000000"/>
            <rFont val="Tahoma"/>
            <family val="2"/>
          </rPr>
          <t xml:space="preserve">
</t>
        </r>
        <r>
          <rPr>
            <sz val="9"/>
            <color rgb="FF000000"/>
            <rFont val="Tahoma"/>
            <family val="2"/>
          </rPr>
          <t>+</t>
        </r>
      </text>
    </comment>
    <comment ref="B53" authorId="0" shapeId="0" xr:uid="{00000000-0006-0000-0000-000015000000}">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林伊婧</author>
    <author>tc={92A736B0-E494-2F49-AF22-AFFB37C970B7}</author>
    <author>tc={6E68EF53-F84C-0340-8953-1501ED2F0475}</author>
    <author>Luisa Ditomaso</author>
    <author>tc={6E056E02-BD8A-ED42-B1F3-D06E3B40D6B6}</author>
  </authors>
  <commentList>
    <comment ref="L2" authorId="0" shapeId="0" xr:uid="{00000000-0006-0000-0200-000001000000}">
      <text>
        <r>
          <rPr>
            <b/>
            <sz val="10"/>
            <color rgb="FF000000"/>
            <rFont val="Tahoma"/>
            <family val="2"/>
          </rPr>
          <t>Projections</t>
        </r>
      </text>
    </comment>
    <comment ref="L3" authorId="0" shapeId="0" xr:uid="{00000000-0006-0000-0200-000002000000}">
      <text>
        <r>
          <rPr>
            <b/>
            <sz val="10"/>
            <color rgb="FF000000"/>
            <rFont val="Tahoma"/>
            <family val="2"/>
          </rPr>
          <t>Revenue growth</t>
        </r>
        <r>
          <rPr>
            <sz val="10"/>
            <color rgb="FF000000"/>
            <rFont val="Tahoma"/>
            <family val="2"/>
          </rPr>
          <t xml:space="preserve">
</t>
        </r>
      </text>
    </comment>
    <comment ref="V3" authorId="0" shapeId="0" xr:uid="{00000000-0006-0000-0200-000003000000}">
      <text>
        <r>
          <rPr>
            <b/>
            <sz val="10"/>
            <color rgb="FF000000"/>
            <rFont val="Tahoma"/>
            <family val="2"/>
          </rPr>
          <t>Margins (regional)</t>
        </r>
        <r>
          <rPr>
            <sz val="10"/>
            <color rgb="FF000000"/>
            <rFont val="Tahoma"/>
            <family val="2"/>
          </rPr>
          <t xml:space="preserve">
</t>
        </r>
      </text>
    </comment>
    <comment ref="B4" authorId="1" shapeId="0" xr:uid="{92A736B0-E494-2F49-AF22-AFFB37C970B7}">
      <text>
        <t>[Threaded comment]
Your version of Excel allows you to read this threaded comment; however, any edits to it will get removed if the file is opened in a newer version of Excel. Learn more: https://go.microsoft.com/fwlink/?linkid=870924
Comment:
    Values in millions of USD</t>
      </text>
    </comment>
    <comment ref="L4" authorId="2" shapeId="0" xr:uid="{6E68EF53-F84C-0340-8953-1501ED2F0475}">
      <text>
        <t xml:space="preserve">[Threaded comment]
Your version of Excel allows you to read this threaded comment; however, any edits to it will get removed if the file is opened in a newer version of Excel. Learn more: https://go.microsoft.com/fwlink/?linkid=870924
Comment:
    Values in millions of USD
</t>
      </text>
    </comment>
    <comment ref="V9" authorId="0" shapeId="0" xr:uid="{00000000-0006-0000-0200-000004000000}">
      <text>
        <r>
          <rPr>
            <b/>
            <sz val="10"/>
            <color rgb="FF000000"/>
            <rFont val="Tahoma"/>
            <family val="2"/>
          </rPr>
          <t>Operating margin</t>
        </r>
        <r>
          <rPr>
            <sz val="10"/>
            <color rgb="FF000000"/>
            <rFont val="Tahoma"/>
            <family val="2"/>
          </rPr>
          <t xml:space="preserve">
</t>
        </r>
      </text>
    </comment>
    <comment ref="M12" authorId="3" shapeId="0" xr:uid="{24D7A7A6-F964-B74A-A9EB-C71F1CD5F4A7}">
      <text>
        <r>
          <rPr>
            <b/>
            <sz val="10"/>
            <color rgb="FF000000"/>
            <rFont val="Tahoma"/>
            <family val="2"/>
          </rPr>
          <t>Luisa Ditomaso:</t>
        </r>
        <r>
          <rPr>
            <sz val="10"/>
            <color rgb="FF000000"/>
            <rFont val="Tahoma"/>
            <family val="2"/>
          </rPr>
          <t xml:space="preserve">
</t>
        </r>
        <r>
          <rPr>
            <sz val="10"/>
            <color rgb="FF000000"/>
            <rFont val="Arial"/>
            <family val="2"/>
          </rPr>
          <t xml:space="preserve">This segment opened in 2020, in the first year was 15% of the sales.
</t>
        </r>
      </text>
    </comment>
    <comment ref="B17" authorId="4" shapeId="0" xr:uid="{6E056E02-BD8A-ED42-B1F3-D06E3B40D6B6}">
      <text>
        <t>[Threaded comment]
Your version of Excel allows you to read this threaded comment; however, any edits to it will get removed if the file is opened in a newer version of Excel. Learn more: https://go.microsoft.com/fwlink/?linkid=870924
Comment:
    Values in millions of USD</t>
      </text>
    </comment>
    <comment ref="B19" authorId="3" shapeId="0" xr:uid="{5F14857F-14FC-CE4C-8C23-3398C361E634}">
      <text>
        <r>
          <rPr>
            <b/>
            <sz val="10"/>
            <color rgb="FF000000"/>
            <rFont val="Tahoma"/>
            <family val="2"/>
          </rPr>
          <t>Luisa Ditomaso:</t>
        </r>
        <r>
          <rPr>
            <sz val="10"/>
            <color rgb="FF000000"/>
            <rFont val="Tahoma"/>
            <family val="2"/>
          </rPr>
          <t xml:space="preserve">
</t>
        </r>
        <r>
          <rPr>
            <sz val="10"/>
            <color rgb="FF000000"/>
            <rFont val="Tahoma"/>
            <family val="2"/>
          </rPr>
          <t xml:space="preserve">Connected Tv
</t>
        </r>
        <r>
          <rPr>
            <sz val="10"/>
            <color rgb="FF000000"/>
            <rFont val="Tahoma"/>
            <family val="2"/>
          </rPr>
          <t xml:space="preserve">It is the segment with more investment, and that has been growing the most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Luisa Ditomaso</author>
  </authors>
  <commentList>
    <comment ref="B2" authorId="0" shapeId="0" xr:uid="{DE9679FE-82FF-044F-B714-BDCF955D9A30}">
      <text>
        <r>
          <rPr>
            <b/>
            <sz val="10"/>
            <color rgb="FF000000"/>
            <rFont val="Tahoma"/>
            <family val="2"/>
          </rPr>
          <t>Luisa Ditomaso:</t>
        </r>
        <r>
          <rPr>
            <sz val="10"/>
            <color rgb="FF000000"/>
            <rFont val="Tahoma"/>
            <family val="2"/>
          </rPr>
          <t xml:space="preserve">
</t>
        </r>
        <r>
          <rPr>
            <sz val="10"/>
            <color rgb="FF000000"/>
            <rFont val="Tahoma"/>
            <family val="2"/>
          </rPr>
          <t xml:space="preserve">Market Capitalization: $2.5B
</t>
        </r>
      </text>
    </comment>
    <comment ref="C2" authorId="0" shapeId="0" xr:uid="{E3D93E62-D031-CE43-B96A-33156503090E}">
      <text>
        <r>
          <rPr>
            <b/>
            <sz val="10"/>
            <color rgb="FF000000"/>
            <rFont val="Tahoma"/>
            <family val="2"/>
          </rPr>
          <t>Luisa Ditomaso:</t>
        </r>
        <r>
          <rPr>
            <sz val="10"/>
            <color rgb="FF000000"/>
            <rFont val="Tahoma"/>
            <family val="2"/>
          </rPr>
          <t xml:space="preserve">
</t>
        </r>
        <r>
          <rPr>
            <sz val="10"/>
            <color rgb="FF000000"/>
            <rFont val="Arial"/>
            <family val="2"/>
          </rPr>
          <t xml:space="preserve">Market Capitalization: 
</t>
        </r>
        <r>
          <rPr>
            <sz val="10"/>
            <color rgb="FF000000"/>
            <rFont val="Tahoma"/>
            <family val="2"/>
          </rPr>
          <t xml:space="preserve">$700M
</t>
        </r>
      </text>
    </comment>
    <comment ref="D2" authorId="0" shapeId="0" xr:uid="{7164B4EB-690A-F643-BEF9-39F17915E2D9}">
      <text>
        <r>
          <rPr>
            <b/>
            <sz val="10"/>
            <color rgb="FF000000"/>
            <rFont val="Tahoma"/>
            <family val="2"/>
          </rPr>
          <t>Luisa Ditomaso:</t>
        </r>
        <r>
          <rPr>
            <sz val="10"/>
            <color rgb="FF000000"/>
            <rFont val="Tahoma"/>
            <family val="2"/>
          </rPr>
          <t xml:space="preserve">
</t>
        </r>
        <r>
          <rPr>
            <sz val="10"/>
            <color rgb="FF000000"/>
            <rFont val="Arial"/>
            <family val="2"/>
          </rPr>
          <t xml:space="preserve">Market Capitalization: 
</t>
        </r>
        <r>
          <rPr>
            <sz val="10"/>
            <color rgb="FF000000"/>
            <rFont val="Tahoma"/>
            <family val="2"/>
          </rPr>
          <t xml:space="preserve">$1.3B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borda</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 ref="B11" authorId="1" shapeId="0" xr:uid="{A34BDC9F-4603-41D7-996E-6A967DA8B878}">
      <text>
        <r>
          <rPr>
            <b/>
            <sz val="9"/>
            <color rgb="FF000000"/>
            <rFont val="Tahoma"/>
            <family val="2"/>
          </rPr>
          <t>borda:</t>
        </r>
        <r>
          <rPr>
            <sz val="9"/>
            <color rgb="FF000000"/>
            <rFont val="Tahoma"/>
            <family val="2"/>
          </rPr>
          <t xml:space="preserve">
</t>
        </r>
        <r>
          <rPr>
            <sz val="9"/>
            <color rgb="FF000000"/>
            <rFont val="Tahoma"/>
            <family val="2"/>
          </rPr>
          <t xml:space="preserve">92% retention, so 8% rotation
</t>
        </r>
      </text>
    </comment>
    <comment ref="B17" authorId="1" shapeId="0" xr:uid="{16A53F35-B54B-42E0-93B8-2AB516131872}">
      <text>
        <r>
          <rPr>
            <b/>
            <sz val="9"/>
            <color rgb="FF000000"/>
            <rFont val="Tahoma"/>
            <family val="2"/>
          </rPr>
          <t>borda:</t>
        </r>
        <r>
          <rPr>
            <sz val="9"/>
            <color rgb="FF000000"/>
            <rFont val="Tahoma"/>
            <family val="2"/>
          </rPr>
          <t xml:space="preserve">
</t>
        </r>
        <r>
          <rPr>
            <sz val="9"/>
            <color rgb="FF000000"/>
            <rFont val="Tahoma"/>
            <family val="2"/>
          </rPr>
          <t>provides retirement plans and stock benefits</t>
        </r>
      </text>
    </comment>
    <comment ref="B18" authorId="1" shapeId="0" xr:uid="{E4F718FC-671B-4669-9550-DF9C9224A38E}">
      <text>
        <r>
          <rPr>
            <b/>
            <sz val="9"/>
            <color rgb="FF000000"/>
            <rFont val="Tahoma"/>
            <family val="2"/>
          </rPr>
          <t>borda:</t>
        </r>
        <r>
          <rPr>
            <sz val="9"/>
            <color rgb="FF000000"/>
            <rFont val="Tahoma"/>
            <family val="2"/>
          </rPr>
          <t xml:space="preserve">
</t>
        </r>
        <r>
          <rPr>
            <sz val="9"/>
            <color rgb="FF000000"/>
            <rFont val="Tahoma"/>
            <family val="2"/>
          </rPr>
          <t xml:space="preserve">not a relevant aspect for Magnite Inc.
</t>
        </r>
      </text>
    </comment>
    <comment ref="B33" authorId="1" shapeId="0" xr:uid="{4CB12575-F1EF-450F-A1D5-96E6A2EBCCCF}">
      <text>
        <r>
          <rPr>
            <b/>
            <sz val="9"/>
            <color indexed="81"/>
            <rFont val="Tahoma"/>
            <family val="2"/>
          </rPr>
          <t>borda:</t>
        </r>
        <r>
          <rPr>
            <sz val="9"/>
            <color indexed="81"/>
            <rFont val="Tahoma"/>
            <family val="2"/>
          </rPr>
          <t xml:space="preserve">
share selling by CFO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Hector Yu</author>
  </authors>
  <commentList>
    <comment ref="H5" authorId="0" shapeId="0" xr:uid="{5B18C3A9-2524-4917-A107-1E34D520B061}">
      <text>
        <r>
          <rPr>
            <b/>
            <sz val="9"/>
            <color indexed="81"/>
            <rFont val="Tahoma"/>
            <family val="2"/>
          </rPr>
          <t>Hector Yu:</t>
        </r>
        <r>
          <rPr>
            <sz val="9"/>
            <color indexed="81"/>
            <rFont val="Tahoma"/>
            <family val="2"/>
          </rPr>
          <t xml:space="preserve">
2024 Q3 8K - management provided outlook: EBITDA increase 15% and EBITDA margin increase 15%. From this information, calculated 2024 revenue and 8.6% growth rate</t>
        </r>
      </text>
    </comment>
    <comment ref="I5" authorId="0" shapeId="0" xr:uid="{C2CBFEA8-490C-46EE-AB7D-BF0DCED19A2F}">
      <text>
        <r>
          <rPr>
            <b/>
            <sz val="9"/>
            <color indexed="81"/>
            <rFont val="Tahoma"/>
            <family val="2"/>
          </rPr>
          <t>Hector Yu:</t>
        </r>
        <r>
          <rPr>
            <sz val="9"/>
            <color indexed="81"/>
            <rFont val="Tahoma"/>
            <family val="2"/>
          </rPr>
          <t xml:space="preserve">
Damondaron website - industrial average 7.5% short term. 
Based on this information, 2025-2029's growth rate also has 7.5% on average, ranging from 9% to 5.5%</t>
        </r>
      </text>
    </comment>
    <comment ref="H7" authorId="0" shapeId="0" xr:uid="{486C862E-B110-4F75-941F-9B4A1952B82D}">
      <text>
        <r>
          <rPr>
            <b/>
            <sz val="9"/>
            <color rgb="FF000000"/>
            <rFont val="Tahoma"/>
            <family val="2"/>
          </rPr>
          <t>Hector Yu:</t>
        </r>
        <r>
          <rPr>
            <sz val="9"/>
            <color rgb="FF000000"/>
            <rFont val="Tahoma"/>
            <family val="2"/>
          </rPr>
          <t xml:space="preserve">
</t>
        </r>
        <r>
          <rPr>
            <sz val="9"/>
            <color rgb="FF000000"/>
            <rFont val="Tahoma"/>
            <family val="2"/>
          </rPr>
          <t xml:space="preserve">2020 - acquisition of Telaria. Rubicon Project becomes Magnite.
</t>
        </r>
        <r>
          <rPr>
            <sz val="9"/>
            <color rgb="FF000000"/>
            <rFont val="Tahoma"/>
            <family val="2"/>
          </rPr>
          <t xml:space="preserve">2021 - acquisition of CTV platform and server provider. 
</t>
        </r>
        <r>
          <rPr>
            <sz val="9"/>
            <color rgb="FF000000"/>
            <rFont val="Tahoma"/>
            <family val="2"/>
          </rPr>
          <t xml:space="preserve">2022 and 2023 - accelerate amortization of the aquired assest (intangible)
</t>
        </r>
        <r>
          <rPr>
            <sz val="9"/>
            <color rgb="FF000000"/>
            <rFont val="Tahoma"/>
            <family val="2"/>
          </rPr>
          <t xml:space="preserve">2023. 7 - aquired assets fully amotized.
</t>
        </r>
        <r>
          <rPr>
            <sz val="9"/>
            <color rgb="FF000000"/>
            <rFont val="Tahoma"/>
            <family val="2"/>
          </rPr>
          <t xml:space="preserve">
</t>
        </r>
        <r>
          <rPr>
            <sz val="9"/>
            <color rgb="FF000000"/>
            <rFont val="Tahoma"/>
            <family val="2"/>
          </rPr>
          <t>Based on these information, it is reasonable not to use the past years data as they represented either the period of acquisition or amortization. Hence, 2024's operating margin is calculated based on 2024 data only. EBIT/Revenue = 67/673=10%. It gradually rises with 1% increment each year to 15% long term rate, which is slightly higher than the average 13.6% shown on Damodaron website, considering Magnite's leading position in SSP companies</t>
        </r>
      </text>
    </comment>
    <comment ref="M7" authorId="0" shapeId="0" xr:uid="{05BC4B4E-1F92-4C95-9A0F-A5A9F2AC9757}">
      <text>
        <r>
          <rPr>
            <b/>
            <sz val="9"/>
            <color indexed="81"/>
            <rFont val="Tahoma"/>
            <family val="2"/>
          </rPr>
          <t>Hector Yu:</t>
        </r>
        <r>
          <rPr>
            <sz val="9"/>
            <color indexed="81"/>
            <rFont val="Tahoma"/>
            <family val="2"/>
          </rPr>
          <t xml:space="preserve">
industrial average</t>
        </r>
      </text>
    </comment>
    <comment ref="H9" authorId="0" shapeId="0" xr:uid="{205171F1-5BA7-46CE-820E-23F887530602}">
      <text>
        <r>
          <rPr>
            <b/>
            <sz val="9"/>
            <color indexed="81"/>
            <rFont val="Tahoma"/>
            <family val="2"/>
          </rPr>
          <t>Hector Yu:</t>
        </r>
        <r>
          <rPr>
            <sz val="9"/>
            <color indexed="81"/>
            <rFont val="Tahoma"/>
            <family val="2"/>
          </rPr>
          <t xml:space="preserve">
referred to only CapEx of 2022 and 2023, which is the only available period after acquisitions in 2020 and 2021.</t>
        </r>
      </text>
    </comment>
    <comment ref="I20" authorId="0" shapeId="0" xr:uid="{6F4E99A4-8488-43F1-BC68-7BC5A87A0D83}">
      <text>
        <r>
          <rPr>
            <b/>
            <sz val="9"/>
            <color indexed="81"/>
            <rFont val="Tahoma"/>
            <family val="2"/>
          </rPr>
          <t>Hector Yu:</t>
        </r>
        <r>
          <rPr>
            <sz val="9"/>
            <color indexed="81"/>
            <rFont val="Tahoma"/>
            <family val="2"/>
          </rPr>
          <t xml:space="preserve">
In short-term, revenue is expected to grow while the company is likely to face increase in cost of sales. Change in NWC cannot maintain a high ratio for so long and it will see a tendency to decrease</t>
        </r>
      </text>
    </comment>
    <comment ref="D51" authorId="0" shapeId="0" xr:uid="{597EA11E-6794-412C-A23A-A37037EB4989}">
      <text>
        <r>
          <rPr>
            <b/>
            <sz val="9"/>
            <color indexed="81"/>
            <rFont val="Tahoma"/>
            <family val="2"/>
          </rPr>
          <t>Hector Yu:</t>
        </r>
        <r>
          <rPr>
            <sz val="9"/>
            <color indexed="81"/>
            <rFont val="Tahoma"/>
            <family val="2"/>
          </rPr>
          <t xml:space="preserve">
average of 2020-2023 ratio</t>
        </r>
      </text>
    </comment>
    <comment ref="D52" authorId="0" shapeId="0" xr:uid="{61CD6CD5-13C8-4106-B5CA-90412C3F419B}">
      <text>
        <r>
          <rPr>
            <b/>
            <sz val="9"/>
            <color indexed="81"/>
            <rFont val="Tahoma"/>
            <family val="2"/>
          </rPr>
          <t>Hector Yu:</t>
        </r>
        <r>
          <rPr>
            <sz val="9"/>
            <color indexed="81"/>
            <rFont val="Tahoma"/>
            <family val="2"/>
          </rPr>
          <t xml:space="preserve">
2024 rate: 6.1%. Expected to see revenue growth but maintain a low rate due to deferred income tax over those years with negtive income</t>
        </r>
      </text>
    </comment>
    <comment ref="E52" authorId="0" shapeId="0" xr:uid="{46C03D45-3737-419F-8B5E-9B5EAF5DD235}">
      <text>
        <r>
          <rPr>
            <b/>
            <sz val="9"/>
            <color indexed="81"/>
            <rFont val="Tahoma"/>
            <family val="2"/>
          </rPr>
          <t>Hector Yu:</t>
        </r>
        <r>
          <rPr>
            <sz val="9"/>
            <color indexed="81"/>
            <rFont val="Tahoma"/>
            <family val="2"/>
          </rPr>
          <t xml:space="preserve">
nyu stern: 29% across money making companies. However, Magnite is a Supply-side platform and it may not have large revenues in comparison to DSPs of similar size. So 27% to be conservative.</t>
        </r>
      </text>
    </comment>
    <comment ref="D53" authorId="0" shapeId="0" xr:uid="{440ADB3A-D929-4792-9D6C-8AF455233CF4}">
      <text>
        <r>
          <rPr>
            <b/>
            <sz val="9"/>
            <color indexed="81"/>
            <rFont val="Tahoma"/>
            <family val="2"/>
          </rPr>
          <t>Hector Yu:</t>
        </r>
        <r>
          <rPr>
            <sz val="9"/>
            <color indexed="81"/>
            <rFont val="Tahoma"/>
            <family val="2"/>
          </rPr>
          <t xml:space="preserve">
US 5Y 4.04%
Default Spread 4.42% (large non-financial company) interest coverage ratio = EBIT/Total Income Expenses = 1.36</t>
        </r>
      </text>
    </comment>
    <comment ref="E53" authorId="0" shapeId="0" xr:uid="{E24EE75F-80C6-40DD-A4F2-4BA8FEF98BA6}">
      <text>
        <r>
          <rPr>
            <b/>
            <sz val="9"/>
            <color indexed="81"/>
            <rFont val="Tahoma"/>
            <family val="2"/>
          </rPr>
          <t>Hector Yu:</t>
        </r>
        <r>
          <rPr>
            <sz val="9"/>
            <color indexed="81"/>
            <rFont val="Tahoma"/>
            <family val="2"/>
          </rPr>
          <t xml:space="preserve">
US 30Y - 4.509%</t>
        </r>
      </text>
    </comment>
    <comment ref="D56" authorId="0" shapeId="0" xr:uid="{805FB4D6-891C-4F9B-A7F4-3F29E9616E2A}">
      <text>
        <r>
          <rPr>
            <b/>
            <sz val="9"/>
            <color indexed="81"/>
            <rFont val="Tahoma"/>
            <family val="2"/>
          </rPr>
          <t>Hector Yu:</t>
        </r>
        <r>
          <rPr>
            <sz val="9"/>
            <color indexed="81"/>
            <rFont val="Tahoma"/>
            <family val="2"/>
          </rPr>
          <t xml:space="preserve">
2024 - 133% but is seeing a decreasing trend since 2023, after the acquisition and acceleration of amortization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林伊婧</author>
    <author>borda</author>
    <author>Jorge</author>
  </authors>
  <commentList>
    <comment ref="A6" authorId="0" shapeId="0" xr:uid="{00000000-0006-0000-0900-000001000000}">
      <text>
        <r>
          <rPr>
            <b/>
            <sz val="10"/>
            <color rgb="FF000000"/>
            <rFont val="Tahoma"/>
            <family val="2"/>
          </rPr>
          <t>Net Sales</t>
        </r>
      </text>
    </comment>
    <comment ref="A7" authorId="0" shapeId="0" xr:uid="{00000000-0006-0000-0900-000002000000}">
      <text>
        <r>
          <rPr>
            <b/>
            <sz val="10"/>
            <color rgb="FF000000"/>
            <rFont val="Tahoma"/>
            <family val="2"/>
          </rPr>
          <t>Gross Profit</t>
        </r>
      </text>
    </comment>
    <comment ref="A8" authorId="0" shapeId="0" xr:uid="{00000000-0006-0000-0900-000003000000}">
      <text>
        <r>
          <rPr>
            <b/>
            <sz val="10"/>
            <color rgb="FF000000"/>
            <rFont val="Tahoma"/>
            <family val="2"/>
          </rPr>
          <t>Operating income</t>
        </r>
      </text>
    </comment>
    <comment ref="A9" authorId="0" shapeId="0" xr:uid="{00000000-0006-0000-0900-000004000000}">
      <text>
        <r>
          <rPr>
            <b/>
            <sz val="10"/>
            <color rgb="FF000000"/>
            <rFont val="Tahoma"/>
            <family val="2"/>
          </rPr>
          <t>Net financial cost</t>
        </r>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A12" authorId="0" shapeId="0" xr:uid="{00000000-0006-0000-0900-000007000000}">
      <text>
        <r>
          <rPr>
            <b/>
            <sz val="10"/>
            <color rgb="FF000000"/>
            <rFont val="Tahoma"/>
            <family val="2"/>
          </rPr>
          <t>Working Capital</t>
        </r>
      </text>
    </comment>
    <comment ref="A14" authorId="0" shapeId="0" xr:uid="{00000000-0006-0000-0900-000008000000}">
      <text>
        <r>
          <rPr>
            <b/>
            <sz val="10"/>
            <color rgb="FF000000"/>
            <rFont val="Tahoma"/>
            <family val="2"/>
          </rPr>
          <t>Investments</t>
        </r>
      </text>
    </comment>
    <comment ref="C14" authorId="1" shapeId="0" xr:uid="{C018280C-5E92-41C8-8C50-9B25FF7CADF0}">
      <text>
        <r>
          <rPr>
            <b/>
            <sz val="9"/>
            <color indexed="81"/>
            <rFont val="Tahoma"/>
            <family val="2"/>
          </rPr>
          <t>borda:</t>
        </r>
        <r>
          <rPr>
            <sz val="9"/>
            <color indexed="81"/>
            <rFont val="Tahoma"/>
            <family val="2"/>
          </rPr>
          <t xml:space="preserve">
purchase of intang.</t>
        </r>
      </text>
    </comment>
    <comment ref="E14" authorId="1" shapeId="0" xr:uid="{59BA514F-B094-4C4A-A809-A7BBAA75359C}">
      <text>
        <r>
          <rPr>
            <b/>
            <sz val="9"/>
            <color indexed="81"/>
            <rFont val="Tahoma"/>
            <family val="2"/>
          </rPr>
          <t>borda:</t>
        </r>
        <r>
          <rPr>
            <sz val="9"/>
            <color indexed="81"/>
            <rFont val="Tahoma"/>
            <family val="2"/>
          </rPr>
          <t xml:space="preserve">
3 acq. SpotX, SpringServe, Nth Party</t>
        </r>
      </text>
    </comment>
    <comment ref="A15" authorId="2" shapeId="0" xr:uid="{525157B1-39DD-4502-8EC9-D0E69D0C77E6}">
      <text>
        <r>
          <rPr>
            <b/>
            <sz val="9"/>
            <color indexed="81"/>
            <rFont val="Tahoma"/>
            <charset val="1"/>
          </rPr>
          <t>Taxes</t>
        </r>
      </text>
    </comment>
    <comment ref="A16" authorId="0" shapeId="0" xr:uid="{00000000-0006-0000-0900-000009000000}">
      <text>
        <r>
          <rPr>
            <b/>
            <sz val="10"/>
            <color rgb="FF000000"/>
            <rFont val="Tahoma"/>
            <family val="2"/>
          </rPr>
          <t>Net income</t>
        </r>
      </text>
    </comment>
    <comment ref="A17" authorId="0" shapeId="0" xr:uid="{00000000-0006-0000-0900-00000A000000}">
      <text>
        <r>
          <rPr>
            <b/>
            <sz val="10"/>
            <color rgb="FF000000"/>
            <rFont val="Tahoma"/>
            <family val="2"/>
          </rPr>
          <t>Dividens</t>
        </r>
      </text>
    </comment>
    <comment ref="A18" authorId="0" shapeId="0" xr:uid="{00000000-0006-0000-0900-00000B000000}">
      <text>
        <r>
          <rPr>
            <b/>
            <sz val="10"/>
            <color rgb="FF000000"/>
            <rFont val="Tahoma"/>
            <family val="2"/>
          </rPr>
          <t>Purchase of shares</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2" authorId="0" shapeId="0" xr:uid="{00000000-0006-0000-0900-000013000000}">
      <text>
        <r>
          <rPr>
            <b/>
            <sz val="10"/>
            <color rgb="FF000000"/>
            <rFont val="Tahoma"/>
            <family val="2"/>
          </rPr>
          <t>short-term debt</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A38" authorId="0" shapeId="0" xr:uid="{00000000-0006-0000-0900-000017000000}">
      <text>
        <r>
          <rPr>
            <b/>
            <sz val="10"/>
            <color rgb="FF000000"/>
            <rFont val="Tahoma"/>
            <family val="2"/>
          </rPr>
          <t>Other non-current liabilities</t>
        </r>
      </text>
    </comment>
    <comment ref="A39" authorId="0" shapeId="0" xr:uid="{00000000-0006-0000-0900-000018000000}">
      <text>
        <r>
          <rPr>
            <b/>
            <sz val="10"/>
            <color rgb="FF000000"/>
            <rFont val="Tahoma"/>
            <family val="2"/>
          </rPr>
          <t>Total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<sst xmlns="http://schemas.openxmlformats.org/spreadsheetml/2006/main" count="753" uniqueCount="519">
  <si>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</si>
  <si>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</si>
  <si>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</si>
  <si>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</si>
  <si>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</si>
  <si>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</si>
  <si>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</si>
  <si>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</si>
  <si>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</si>
  <si>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</si>
  <si>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</si>
  <si>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</si>
  <si>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</si>
  <si>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</si>
  <si>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</si>
  <si>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</si>
  <si>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</si>
  <si>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Deuda</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</si>
  <si>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</si>
  <si>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</si>
  <si>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</si>
  <si>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</si>
  <si>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</si>
  <si>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</si>
  <si>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</si>
  <si>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</si>
  <si>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</si>
  <si>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</si>
  <si>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</si>
  <si>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</si>
  <si>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</si>
  <si>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</si>
  <si>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r>
      <t>D</t>
    </r>
    <r>
      <rPr>
        <b/>
        <sz val="10"/>
        <rFont val="Arial"/>
        <family val="2"/>
      </rPr>
      <t xml:space="preserve"> Cash and Equivalents</t>
    </r>
  </si>
  <si>
    <r>
      <t>Inv/</t>
    </r>
    <r>
      <rPr>
        <sz val="10"/>
        <rFont val="Symbol"/>
        <family val="1"/>
        <charset val="2"/>
      </rPr>
      <t>D</t>
    </r>
    <r>
      <rPr>
        <sz val="10"/>
        <rFont val="Arial"/>
        <family val="2"/>
      </rPr>
      <t xml:space="preserve"> Vts</t>
    </r>
  </si>
  <si>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</si>
  <si>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</si>
  <si>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</si>
  <si>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</si>
  <si>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</si>
  <si>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</si>
  <si>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</si>
  <si>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</si>
  <si>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</si>
  <si>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</si>
  <si>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</si>
  <si>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</si>
  <si>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</si>
  <si>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</si>
  <si>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</si>
  <si>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</si>
  <si>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</si>
  <si>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</si>
  <si>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</si>
  <si>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</si>
  <si>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</si>
  <si>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</si>
  <si>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</si>
  <si>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Crec</t>
  </si>
  <si>
    <t>Ut. Op.</t>
  </si>
  <si>
    <t>Ebidta(p)</t>
  </si>
  <si>
    <t>CIF/Deuda Neta Promedio</t>
  </si>
  <si>
    <t>Supuestos de valuación</t>
  </si>
  <si>
    <t>DCF Value</t>
  </si>
  <si>
    <t>Ebidta/CIF</t>
  </si>
  <si>
    <t>Margen</t>
  </si>
  <si>
    <t>% Vts</t>
  </si>
  <si>
    <t>Div. Yield:</t>
  </si>
  <si>
    <t>Profit</t>
  </si>
  <si>
    <t>Deuda/Ebidta</t>
  </si>
  <si>
    <t xml:space="preserve">   DCF 25Y</t>
  </si>
  <si>
    <t>Impacto</t>
  </si>
  <si>
    <t>¿Reporta?</t>
  </si>
  <si>
    <t>Mitigación</t>
  </si>
  <si>
    <t>Semáforo</t>
  </si>
  <si>
    <t>Ambiental</t>
  </si>
  <si>
    <t>Emisiones directas CO2</t>
  </si>
  <si>
    <t>Uso total de agua</t>
  </si>
  <si>
    <t>"Best in class"</t>
  </si>
  <si>
    <t>Total Energy Consumption</t>
  </si>
  <si>
    <t>Waste Management</t>
  </si>
  <si>
    <t>Land Degradation/Deforestation/Biodiversity loss/Animal sufering/…</t>
  </si>
  <si>
    <t>Social</t>
  </si>
  <si>
    <t>% Rotación de empleados</t>
  </si>
  <si>
    <t>Sueldos y compensaciones</t>
  </si>
  <si>
    <t>Temas de reputación</t>
  </si>
  <si>
    <t>Temas de discriminación</t>
  </si>
  <si>
    <t>Seguridad laboral</t>
  </si>
  <si>
    <t>Daños a la salud</t>
  </si>
  <si>
    <t>PXP?</t>
  </si>
  <si>
    <t>Supply chain</t>
  </si>
  <si>
    <t>Community involvement</t>
  </si>
  <si>
    <t>Public Sector</t>
  </si>
  <si>
    <t>Litigios</t>
  </si>
  <si>
    <t>Gobierno</t>
  </si>
  <si>
    <t>Diversidad (Género, edad, industria, región)</t>
  </si>
  <si>
    <t>% independientes</t>
  </si>
  <si>
    <t>CEO/Chairman</t>
  </si>
  <si>
    <t>Auditoría/Consultoría</t>
  </si>
  <si>
    <t>Esquemas de compensación al management</t>
  </si>
  <si>
    <t>Comentarios</t>
  </si>
  <si>
    <t>MITIGACIÓN</t>
  </si>
  <si>
    <t>RANKING</t>
  </si>
  <si>
    <t>IMPACTO</t>
  </si>
  <si>
    <t>PARÁMETROS</t>
  </si>
  <si>
    <t>KSF</t>
  </si>
  <si>
    <t>Acción</t>
  </si>
  <si>
    <t>Div.+Recompra</t>
  </si>
  <si>
    <t>Tasa de descuento:</t>
  </si>
  <si>
    <t>(p) = Promedio de últimos 3 años</t>
  </si>
  <si>
    <t>Análisis ESG</t>
  </si>
  <si>
    <t>Ranking</t>
  </si>
  <si>
    <t>TOTAL</t>
  </si>
  <si>
    <t>Discounted Cash Flow</t>
  </si>
  <si>
    <r>
      <rPr>
        <b/>
        <sz val="10"/>
        <color indexed="9"/>
        <rFont val="Symbol"/>
        <family val="1"/>
        <charset val="2"/>
      </rPr>
      <t>D</t>
    </r>
    <r>
      <rPr>
        <b/>
        <sz val="10"/>
        <color indexed="9"/>
        <rFont val="Arial"/>
        <family val="2"/>
      </rPr>
      <t xml:space="preserve"> Analista</t>
    </r>
  </si>
  <si>
    <t>Múltiplos</t>
  </si>
  <si>
    <t>Año termina:</t>
  </si>
  <si>
    <t>Ut. Operativa</t>
  </si>
  <si>
    <t>Capex</t>
  </si>
  <si>
    <t>Adquisiones</t>
  </si>
  <si>
    <t>Dividends</t>
  </si>
  <si>
    <t>Stock Repurchases</t>
  </si>
  <si>
    <t>FNP (p)</t>
  </si>
  <si>
    <t>FX</t>
  </si>
  <si>
    <t>NOTES:</t>
  </si>
  <si>
    <t>t inversiones; t adq. neto dep.</t>
  </si>
  <si>
    <t>E</t>
  </si>
  <si>
    <t>S</t>
  </si>
  <si>
    <t>G</t>
  </si>
  <si>
    <t>Semáforo ESG</t>
  </si>
  <si>
    <t>ROIC</t>
  </si>
  <si>
    <t>ESG</t>
  </si>
  <si>
    <t>Riesgos claros</t>
  </si>
  <si>
    <t>Deuda/Activos</t>
  </si>
  <si>
    <t>Activos</t>
  </si>
  <si>
    <t>EPS</t>
  </si>
  <si>
    <t>E$/UN</t>
  </si>
  <si>
    <t>EEV/EBIDA</t>
  </si>
  <si>
    <t>% Short</t>
  </si>
  <si>
    <t>Participación adicional del CEO en otros consejos o excesiva del Ch.</t>
  </si>
  <si>
    <t>Salidas recientes de consejeros/C-level executives?</t>
  </si>
  <si>
    <t>t liq. (Pos prom./Vol.)</t>
  </si>
  <si>
    <t>PO / Precio Stand By</t>
  </si>
  <si>
    <t>Transparencia (segmentos, fuente de riqueza, adquisiciones, otros)</t>
  </si>
  <si>
    <t xml:space="preserve">Factor D&amp;A </t>
  </si>
  <si>
    <t>CP</t>
  </si>
  <si>
    <t>LP</t>
  </si>
  <si>
    <t>CHECKLIST</t>
  </si>
  <si>
    <t>Peer Analysis</t>
  </si>
  <si>
    <t>Consenso</t>
  </si>
  <si>
    <t>PO/Stand By</t>
  </si>
  <si>
    <t>Activo:</t>
  </si>
  <si>
    <t>Pasivo:</t>
  </si>
  <si>
    <t>CER</t>
  </si>
  <si>
    <t>Consenso EPS</t>
  </si>
  <si>
    <t>Acuerdo</t>
  </si>
  <si>
    <t>Depreciación</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</si>
  <si>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</si>
  <si>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</si>
  <si>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</si>
  <si>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</si>
  <si>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</si>
  <si>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</si>
  <si>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</si>
  <si>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</si>
  <si>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</si>
  <si>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</si>
  <si>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</si>
  <si>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</si>
  <si>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</si>
  <si>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</si>
  <si>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</si>
  <si>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Float</t>
  </si>
  <si>
    <t>(Capex + Adq.)/Revenue</t>
  </si>
  <si>
    <t>VER DCF</t>
  </si>
  <si>
    <t>SIC: Sí</t>
  </si>
  <si>
    <t>Tax (p) últ. 5a</t>
  </si>
  <si>
    <t>2019 (Real)</t>
  </si>
  <si>
    <t>CIF</t>
  </si>
  <si>
    <t>CAGR</t>
  </si>
  <si>
    <t>Deuda/EBITDA</t>
  </si>
  <si>
    <t>Millones de USD</t>
  </si>
  <si>
    <t>Inversiones y Capex</t>
  </si>
  <si>
    <r>
      <t xml:space="preserve">%Vts; %Op.Mg.; </t>
    </r>
    <r>
      <rPr>
        <b/>
        <sz val="10"/>
        <rFont val="Symbol"/>
        <family val="1"/>
        <charset val="2"/>
      </rPr>
      <t>D</t>
    </r>
  </si>
  <si>
    <r>
      <t xml:space="preserve">%Vts; </t>
    </r>
    <r>
      <rPr>
        <b/>
        <sz val="10"/>
        <rFont val="Symbol"/>
        <family val="1"/>
        <charset val="2"/>
      </rPr>
      <t>D</t>
    </r>
  </si>
  <si>
    <t>tiempo promedio como consejeros independientes</t>
  </si>
  <si>
    <t>Tiempo que tardan en reportar luego del final del trimestre/año</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</si>
  <si>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</si>
  <si>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</si>
  <si>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</si>
  <si>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</si>
  <si>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</si>
  <si>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</si>
  <si>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</si>
  <si>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</si>
  <si>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Proyectado</t>
  </si>
  <si>
    <t>% vts.</t>
  </si>
  <si>
    <t>Escenario de estrés</t>
  </si>
  <si>
    <t>Márgenes (regional)</t>
  </si>
  <si>
    <t>Ajuste R&amp;D</t>
  </si>
  <si>
    <t>Margen Operativp</t>
  </si>
  <si>
    <t>2020 (Real)</t>
  </si>
  <si>
    <t>ROA (p)</t>
  </si>
  <si>
    <t>ROIC (p)</t>
  </si>
  <si>
    <t>b</t>
  </si>
  <si>
    <t>Precio/Utilidad</t>
  </si>
  <si>
    <t>EV/Ebitda</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</si>
  <si>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</si>
  <si>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</si>
  <si>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</si>
  <si>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</si>
  <si>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</si>
  <si>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</si>
  <si>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</si>
  <si>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</si>
  <si>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</si>
  <si>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</si>
  <si>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</si>
  <si>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</si>
  <si>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</si>
  <si>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</si>
  <si>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</si>
  <si>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</si>
  <si>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</si>
  <si>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</si>
  <si>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</si>
  <si>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</si>
  <si>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</si>
  <si>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</si>
  <si>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</si>
  <si>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</si>
  <si>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</si>
  <si>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</si>
  <si>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</si>
  <si>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</si>
  <si>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</si>
  <si>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</si>
  <si>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</si>
  <si>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</si>
  <si>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</si>
  <si>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</si>
  <si>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</si>
  <si>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</si>
  <si>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</si>
  <si>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</si>
  <si>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</si>
  <si>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</si>
  <si>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Interés Minoritario</t>
  </si>
  <si>
    <t>Capital Contable</t>
  </si>
  <si>
    <t>OTROS DATOS AL FIN DE AÑO</t>
  </si>
  <si>
    <t>Numero deEmpleados</t>
  </si>
  <si>
    <t>Acciones en circulación (millones)</t>
  </si>
  <si>
    <t>Insiders Own</t>
  </si>
  <si>
    <t>S&amp;P</t>
  </si>
  <si>
    <t>Precio Medio</t>
  </si>
  <si>
    <t>Moody's</t>
  </si>
  <si>
    <t>YTM</t>
  </si>
  <si>
    <t>DIVISA</t>
  </si>
  <si>
    <t>RESULTADOS</t>
  </si>
  <si>
    <t>CIF (Poductos)</t>
  </si>
  <si>
    <t>Otros Gastos (Ingresos)</t>
  </si>
  <si>
    <t xml:space="preserve">Depreciación y amortización </t>
  </si>
  <si>
    <t>Compra de Acciones</t>
  </si>
  <si>
    <t>POSICIÓN FINANCIERA</t>
  </si>
  <si>
    <t>Activos Fijos (Net Plant)</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</si>
  <si>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</si>
  <si>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</si>
  <si>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</si>
  <si>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</si>
  <si>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</si>
  <si>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</si>
  <si>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</si>
  <si>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</si>
  <si>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</si>
  <si>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</si>
  <si>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VALUATION MODEL</t>
  </si>
  <si>
    <t>Section</t>
  </si>
  <si>
    <t>Line #</t>
  </si>
  <si>
    <t>ITEM</t>
  </si>
  <si>
    <t>2021 (Real)</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</si>
  <si>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</si>
  <si>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</si>
  <si>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</si>
  <si>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</si>
  <si>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</si>
  <si>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</si>
  <si>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</si>
  <si>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</si>
  <si>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</si>
  <si>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</si>
  <si>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</si>
  <si>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</si>
  <si>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</si>
  <si>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</si>
  <si>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</si>
  <si>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</si>
  <si>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</si>
  <si>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</si>
  <si>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</si>
  <si>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</si>
  <si>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</si>
  <si>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</si>
  <si>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</si>
  <si>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</si>
  <si>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</si>
  <si>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</si>
  <si>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</si>
  <si>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</si>
  <si>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</si>
  <si>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</si>
  <si>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</si>
  <si>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</si>
  <si>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</si>
  <si>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</si>
  <si>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</si>
  <si>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</si>
  <si>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</si>
  <si>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</si>
  <si>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</si>
  <si>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</si>
  <si>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</si>
  <si>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</si>
  <si>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</si>
  <si>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Long Term</t>
  </si>
  <si>
    <t>Reference (line)</t>
  </si>
  <si>
    <t>Modelling factors</t>
  </si>
  <si>
    <t>Depreciation factor</t>
  </si>
  <si>
    <t>% Capex/Adq (l16)</t>
  </si>
  <si>
    <t>Stock-based comp</t>
  </si>
  <si>
    <t>% revenue (l2)</t>
  </si>
  <si>
    <t>Tax Rate</t>
  </si>
  <si>
    <t>% (line 9)</t>
  </si>
  <si>
    <t>Interest Rate on debt</t>
  </si>
  <si>
    <t>% debt (l29)</t>
  </si>
  <si>
    <t>Interest Rate on cash</t>
  </si>
  <si>
    <t>% of cash (l28)</t>
  </si>
  <si>
    <t>Working capital flows</t>
  </si>
  <si>
    <t>% of change revenues (l2)</t>
  </si>
  <si>
    <t>Capex / Adq</t>
  </si>
  <si>
    <t>Growth rate</t>
  </si>
  <si>
    <t>% of debt (l29)</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</si>
  <si>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</si>
  <si>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</si>
  <si>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</si>
  <si>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</si>
  <si>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</si>
  <si>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</si>
  <si>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</si>
  <si>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</si>
  <si>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</si>
  <si>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Mkt Cap</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</si>
  <si>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</si>
  <si>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</si>
  <si>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</si>
  <si>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</si>
  <si>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USD</t>
  </si>
  <si>
    <t>Millones</t>
  </si>
  <si>
    <t>Inventories</t>
  </si>
  <si>
    <t>Por cobrar</t>
  </si>
  <si>
    <t>Por pagar</t>
  </si>
  <si>
    <t>Capital de trabajo</t>
  </si>
  <si>
    <t>Numero de Empleados</t>
  </si>
  <si>
    <t>Posicion en Corto (%)</t>
  </si>
  <si>
    <t>BONOS DE LA EMISORA A 3, 5 Y 10</t>
  </si>
  <si>
    <t>YTM (%)</t>
  </si>
  <si>
    <t>Deuda Neta</t>
  </si>
  <si>
    <t>2023 (Est)</t>
  </si>
  <si>
    <t>2022 (Real)</t>
  </si>
  <si>
    <t>Rentabilidad (2022)</t>
  </si>
  <si>
    <t>4.0%; 4.4%; 5%</t>
  </si>
  <si>
    <t>Bonos 1;5;40a (USD)</t>
  </si>
  <si>
    <t>Multiplos (USD)</t>
  </si>
  <si>
    <t>Precio/Ventas</t>
  </si>
  <si>
    <t>3Q23</t>
  </si>
  <si>
    <t>2Q23</t>
  </si>
  <si>
    <t>1Q23</t>
  </si>
  <si>
    <t>1Q22</t>
  </si>
  <si>
    <t>2Q22</t>
  </si>
  <si>
    <t>3Q22</t>
  </si>
  <si>
    <t>4Q22</t>
  </si>
  <si>
    <t>1Q21</t>
  </si>
  <si>
    <t>2Q21</t>
  </si>
  <si>
    <t>3Q21</t>
  </si>
  <si>
    <t>4Q21</t>
  </si>
  <si>
    <t>Revenue</t>
  </si>
  <si>
    <t>-Products</t>
  </si>
  <si>
    <t>-Services</t>
  </si>
  <si>
    <t>COGS</t>
  </si>
  <si>
    <t>R&amp;D</t>
  </si>
  <si>
    <t>SGA</t>
  </si>
  <si>
    <t>Other</t>
  </si>
  <si>
    <t>efore tax</t>
  </si>
  <si>
    <t>Tax</t>
  </si>
  <si>
    <t>NI</t>
  </si>
  <si>
    <t>DA</t>
  </si>
  <si>
    <t>SBC</t>
  </si>
  <si>
    <t>Other SBC</t>
  </si>
  <si>
    <t>Divs</t>
  </si>
  <si>
    <t>Repurch</t>
  </si>
  <si>
    <t>1Q20</t>
  </si>
  <si>
    <t>2Q20</t>
  </si>
  <si>
    <t>3Q20</t>
  </si>
  <si>
    <t>4Q20</t>
  </si>
  <si>
    <t>4Q19</t>
  </si>
  <si>
    <t>3Q19</t>
  </si>
  <si>
    <t>2Q19</t>
  </si>
  <si>
    <t>1Q19</t>
  </si>
  <si>
    <t>Shares</t>
  </si>
  <si>
    <t>4Q18</t>
  </si>
  <si>
    <t>3Q18</t>
  </si>
  <si>
    <t>3Q17</t>
  </si>
  <si>
    <t>4Q23e</t>
  </si>
  <si>
    <t xml:space="preserve">Growth </t>
  </si>
  <si>
    <t>Prods</t>
  </si>
  <si>
    <t>Serv</t>
  </si>
  <si>
    <t>Utiilidad oP</t>
  </si>
  <si>
    <t>Ut OP</t>
  </si>
  <si>
    <t>Net SBC</t>
  </si>
  <si>
    <t>Año fiscal de Apple cierra en septiembre</t>
  </si>
  <si>
    <t>Net SBC Factor</t>
  </si>
  <si>
    <t>2024 Est.</t>
  </si>
  <si>
    <t>Regions (2023)</t>
  </si>
  <si>
    <t>Products (2023)</t>
  </si>
  <si>
    <t>2023 (Real)</t>
  </si>
  <si>
    <t>2024 (Est)</t>
  </si>
  <si>
    <t>NONE</t>
  </si>
  <si>
    <t>LOW</t>
  </si>
  <si>
    <t>MEDIUM</t>
  </si>
  <si>
    <t>HIGH</t>
  </si>
  <si>
    <t>Medium high</t>
  </si>
  <si>
    <t>Medium</t>
  </si>
  <si>
    <t>"Villain"</t>
  </si>
  <si>
    <t>Is there evidence of progam/plan/etc…</t>
  </si>
  <si>
    <t>TRAFFIC LIGHTS</t>
  </si>
  <si>
    <t>-</t>
  </si>
  <si>
    <t>MGNI</t>
  </si>
  <si>
    <t>Magnite</t>
  </si>
  <si>
    <t>661.13M</t>
  </si>
  <si>
    <t>working capital net</t>
  </si>
  <si>
    <t>current assets</t>
  </si>
  <si>
    <t>current liabilities</t>
  </si>
  <si>
    <t>cash</t>
  </si>
  <si>
    <t xml:space="preserve">United States </t>
  </si>
  <si>
    <t xml:space="preserve">Other Internationals </t>
  </si>
  <si>
    <t>Desktop</t>
  </si>
  <si>
    <t>Mobile</t>
  </si>
  <si>
    <t>CTV</t>
  </si>
  <si>
    <t xml:space="preserve">PUBM </t>
  </si>
  <si>
    <t>PubMatic Inc</t>
  </si>
  <si>
    <t>138.33M</t>
  </si>
  <si>
    <t>290.4M</t>
  </si>
  <si>
    <t>TBLA</t>
  </si>
  <si>
    <t>Taboola</t>
  </si>
  <si>
    <t>1.69B</t>
  </si>
  <si>
    <t>199.12M</t>
  </si>
  <si>
    <t>'Villain''</t>
  </si>
  <si>
    <t>No</t>
  </si>
  <si>
    <t>'Best in class''</t>
  </si>
  <si>
    <t>There is no CEO duality</t>
  </si>
  <si>
    <t>There is some lack of transparency in ESG reporting</t>
  </si>
  <si>
    <t>The company takes about 2 months to deliver the Annual Report</t>
  </si>
  <si>
    <t>They do not participate in other boards</t>
  </si>
  <si>
    <t>Could not find relevant information</t>
  </si>
  <si>
    <t>Yes</t>
  </si>
  <si>
    <t>4 women to 7 men in Board members, and only two non-caucasian</t>
  </si>
  <si>
    <t>Most members have a tenure of less that 6 and more than 3 years</t>
  </si>
  <si>
    <t>There were no recent departures</t>
  </si>
  <si>
    <t xml:space="preserve">Medium </t>
  </si>
  <si>
    <t>Could not find any information.</t>
  </si>
  <si>
    <t>Did not find any ties to the public sector</t>
  </si>
  <si>
    <t>There is no recent record</t>
  </si>
  <si>
    <t>The company has a retention rate of 92%, a rotation of 8%</t>
  </si>
  <si>
    <t>High</t>
  </si>
  <si>
    <t>Workers report a satisfaction of 3.7 out of 5, and there does not seem to be discrimination on women's salaries</t>
  </si>
  <si>
    <t>The company strives for equality, diversity and inclusion, and does not show signs of discrimination</t>
  </si>
  <si>
    <t>The workers do not incur in any kind of labor unsafety</t>
  </si>
  <si>
    <t>The service provided does not impose a negative externality on the consumer's health</t>
  </si>
  <si>
    <t>Magnite provides retirement plans for employees and pension plans. As well as other benefits, like a 15% discount on the company shares.</t>
  </si>
  <si>
    <t>There are no community involvement programs</t>
  </si>
  <si>
    <t>Gastos de Operación</t>
    <phoneticPr fontId="0" type="noConversion"/>
  </si>
  <si>
    <t>36.65M</t>
  </si>
  <si>
    <t>NASDAQ</t>
  </si>
  <si>
    <t>Report (quarter): 26/02/2025</t>
  </si>
  <si>
    <t>PubMatic</t>
  </si>
  <si>
    <t>10yA</t>
  </si>
  <si>
    <t>5yA</t>
  </si>
  <si>
    <t>3yA</t>
  </si>
  <si>
    <t>N/A</t>
  </si>
  <si>
    <t>Innovation in Programmatic Advertising: Continuous improvement in AI-driven ad placement and real-time bidding technologies to optimize revenue generation for clients.
Strategic Partnerships: Strengthening long-term collaborations with major media players such as Disney, Roku, and other streaming platforms to maintain a competitive advantage.
Market Expansion: Increasing Magnite’s presence in high-growth regions such as Asia-Pacific and Latin America through targeted investment and strategic acquisitions.
Data-Driven Decision-Making: Utilizing big data and machine learning to enhance ad targeting, improve return on investment (ROI) for advertisers, and reduce inefficiencies.
Operational Efficiency and Cost Management: Enhancing integration between recently acquired platforms (e.g., SpotX) to streamline operations and reduce costs.
Regulatory Compliance and Data Privacy Measures: Ensuring compliance with international data protection laws while maintaining effective user data collection strategies.
Customer Retention and Satisfaction: Strengthening customer relationships through high-quality service, reliable platform performance, and personalized advertising solutions.
Cybersecurity and Infrastructure Investment: Allocating resources to strengthen security protocols and protect against potential cyber threats that could disrupt operations.</t>
  </si>
  <si>
    <r>
      <rPr>
        <b/>
        <sz val="10"/>
        <rFont val="Arial"/>
        <family val="2"/>
      </rPr>
      <t>Expansion into Emerging Markets:</t>
    </r>
    <r>
      <rPr>
        <sz val="10"/>
        <rFont val="Arial"/>
        <family val="2"/>
      </rPr>
      <t xml:space="preserve"> Regions like Asia-Pacific and Latin America are projected to experience significant growth in digital ad spending. For example, ad spending in Asia-Pacific is expected to exceed $200 billion in 2023, presenting opportunities for Magnite to expand its presence in these areas.</t>
    </r>
    <r>
      <rPr>
        <b/>
        <sz val="10"/>
        <rFont val="Arial"/>
        <family val="2"/>
      </rPr>
      <t xml:space="preserve"> Increasing Demand for Programmatic Solutions:</t>
    </r>
    <r>
      <rPr>
        <sz val="10"/>
        <rFont val="Arial"/>
        <family val="2"/>
      </rPr>
      <t xml:space="preserve"> The programmatic advertising market is projected to reach $500 billion by 2024, growing at a compound annual rate of 20.6% between 2021 and 2024. Magnite can capitalize on this growth by enhancing its programmatic offerings.</t>
    </r>
  </si>
  <si>
    <r>
      <t xml:space="preserve">Magnite positions itself as one of the </t>
    </r>
    <r>
      <rPr>
        <b/>
        <sz val="10"/>
        <rFont val="Arial"/>
        <family val="2"/>
      </rPr>
      <t>leading independent ad tech platforms</t>
    </r>
    <r>
      <rPr>
        <sz val="10"/>
        <rFont val="Arial"/>
        <family val="2"/>
      </rPr>
      <t>, particularly in the Connected TV (CTV) segment, which has shown robust growth. Its ongoing partnership with Disney and other major media companies strengthens its market position and expands its global reach. Furthermore, the growing trend toward programmatic advertising offers a favorable environment for the company’s growth. However, investors should consider the associated risks, including</t>
    </r>
    <r>
      <rPr>
        <b/>
        <sz val="10"/>
        <rFont val="Arial"/>
        <family val="2"/>
      </rPr>
      <t xml:space="preserve"> intense competition</t>
    </r>
    <r>
      <rPr>
        <sz val="10"/>
        <rFont val="Arial"/>
        <family val="2"/>
      </rPr>
      <t xml:space="preserve"> from major market players, the inherent volatility of the digital advertising sector, and challenges related to integrating recent acquisitions. Magnite’s ability to innovate, expand into new markets, and maintain strategic partnerships will be crucial for sustaining its growth and competitiveness in the sector. Financially, Magnite’s shares  are currently trading at $15.79, with a variation of -$0.76 (-4.59%) compared to the previous close. The future performance of its stock will depend on the company’s ability to navigate the aforementioned challenges and capitalize on emerging opportunities in the digital advertising market.</t>
    </r>
  </si>
  <si>
    <r>
      <rPr>
        <b/>
        <sz val="10"/>
        <rFont val="Arial"/>
        <family val="2"/>
      </rPr>
      <t>Cybersecurity Vulnerabilities</t>
    </r>
    <r>
      <rPr>
        <sz val="10"/>
        <rFont val="Arial"/>
        <family val="2"/>
      </rPr>
      <t xml:space="preserve">: Magnite's significant reliance on technology and infrastructure makes it susceptible to cyber threats. In 2022, the company allocated approximately $25 million to improve security measures, reflecting the ongoing need for investments to protect its operations.
</t>
    </r>
    <r>
      <rPr>
        <b/>
        <sz val="10"/>
        <rFont val="Arial"/>
        <family val="2"/>
      </rPr>
      <t>Challenges in Acquisition Integration</t>
    </r>
    <r>
      <rPr>
        <sz val="10"/>
        <rFont val="Arial"/>
        <family val="2"/>
      </rPr>
      <t xml:space="preserve">: After acquiring SpotX in 2021 for approximately $1.17 billion, Magnite faced integration challenges that impacted its operational synergies. Studies indicate that about 70% of mergers fail to achieve expected synergies due to integration issues
</t>
    </r>
    <r>
      <rPr>
        <b/>
        <sz val="10"/>
        <rFont val="Arial"/>
        <family val="2"/>
      </rPr>
      <t>Market Volatility</t>
    </r>
    <r>
      <rPr>
        <sz val="10"/>
        <rFont val="Arial"/>
        <family val="2"/>
      </rPr>
      <t xml:space="preserve">: The digital advertising sector is subject to economic conditions, and a downturn could negatively impact Magnite’s revenue.
</t>
    </r>
    <r>
      <rPr>
        <b/>
        <sz val="10"/>
        <rFont val="Arial"/>
        <family val="2"/>
      </rPr>
      <t>Competitive Pressure</t>
    </r>
    <r>
      <rPr>
        <sz val="10"/>
        <rFont val="Arial"/>
        <family val="2"/>
      </rPr>
      <t xml:space="preserve">: The dominance of larger players in the industry poses a constant threat to Magnite’s market share.
</t>
    </r>
    <r>
      <rPr>
        <b/>
        <sz val="10"/>
        <rFont val="Arial"/>
        <family val="2"/>
      </rPr>
      <t>Regulatory Uncertainty</t>
    </r>
    <r>
      <rPr>
        <sz val="10"/>
        <rFont val="Arial"/>
        <family val="2"/>
      </rPr>
      <t xml:space="preserve">: Changes in data privacy laws (such as GDPR and CCPA) may impact the company's ability to collect and utilize consumer data.
</t>
    </r>
    <r>
      <rPr>
        <b/>
        <sz val="10"/>
        <rFont val="Arial"/>
        <family val="2"/>
      </rPr>
      <t>Cybersecurity Threats</t>
    </r>
    <r>
      <rPr>
        <sz val="10"/>
        <rFont val="Arial"/>
        <family val="2"/>
      </rPr>
      <t xml:space="preserve">: Increased reliance on technology makes Magnite vulnerable to cyberattacks and data breaches.
</t>
    </r>
    <r>
      <rPr>
        <b/>
        <sz val="10"/>
        <rFont val="Arial"/>
        <family val="2"/>
      </rPr>
      <t>Acquisition and Integration Risks</t>
    </r>
    <r>
      <rPr>
        <sz val="10"/>
        <rFont val="Arial"/>
        <family val="2"/>
      </rPr>
      <t xml:space="preserve">: Difficulty in successfully integrating acquired companies can lead to inefficiencies and reduced profitability.
</t>
    </r>
    <r>
      <rPr>
        <b/>
        <sz val="10"/>
        <rFont val="Arial"/>
        <family val="2"/>
      </rPr>
      <t>Client Dependence</t>
    </r>
    <r>
      <rPr>
        <sz val="10"/>
        <rFont val="Arial"/>
        <family val="2"/>
      </rPr>
      <t>: A significant portion of Magnite’s revenue comes from a few major clients; losing key partnerships could be detrimental.</t>
    </r>
  </si>
  <si>
    <t>Magnite, Inc. acknowledges the energy-intensive nature of its operations, particularly due to substantial data processing requirements. The company works continuosly with experts to find solutions to reduce footprint</t>
  </si>
  <si>
    <t>The company strives to reduce CO2 emissions by 15% in 2025</t>
  </si>
  <si>
    <t>Board members are independent, except for the CEO and Chairman</t>
  </si>
  <si>
    <r>
      <t xml:space="preserve">CEO &amp; BOARD:.
</t>
    </r>
    <r>
      <rPr>
        <sz val="9.5"/>
        <rFont val="Arial"/>
        <family val="2"/>
      </rPr>
      <t>|</t>
    </r>
    <r>
      <rPr>
        <b/>
        <sz val="9.5"/>
        <rFont val="Arial"/>
        <family val="2"/>
      </rPr>
      <t xml:space="preserve"> Michael G. Barret</t>
    </r>
    <r>
      <rPr>
        <sz val="9.5"/>
        <rFont val="Arial"/>
        <family val="2"/>
      </rPr>
      <t xml:space="preserve">, 62, </t>
    </r>
    <r>
      <rPr>
        <b/>
        <sz val="9.5"/>
        <rFont val="Arial"/>
        <family val="2"/>
      </rPr>
      <t xml:space="preserve">CEO </t>
    </r>
    <r>
      <rPr>
        <sz val="9.5"/>
        <rFont val="Arial"/>
        <family val="2"/>
      </rPr>
      <t xml:space="preserve">since 2017 , </t>
    </r>
    <r>
      <rPr>
        <b/>
        <sz val="9.5"/>
        <rFont val="Arial"/>
        <family val="2"/>
      </rPr>
      <t xml:space="preserve">President </t>
    </r>
    <r>
      <rPr>
        <sz val="9.5"/>
        <rFont val="Arial"/>
        <family val="2"/>
      </rPr>
      <t>from March (except April to June 2022), previous jobs</t>
    </r>
    <r>
      <rPr>
        <b/>
        <sz val="9.5"/>
        <rFont val="Arial"/>
        <family val="2"/>
      </rPr>
      <t xml:space="preserve"> (PJ)</t>
    </r>
    <r>
      <rPr>
        <sz val="9.5"/>
        <rFont val="Arial"/>
        <family val="2"/>
      </rPr>
      <t xml:space="preserve">: President of Ichabod Farm Ventures LLC (Jan 2014 - Dec 2015). CEO of Millennial Media (Jul 2012 - Dec 2012). Global Chief Revenue Officer at Yahoo! Inc. (Jan 2012 - Jul 2012). Director at Google Inc. (Nov 2008 - Dec 2011). CEO of AdMeld. Held senior positions at AOL, Fox Interactive, and Disney Online. Board member of Media Math (Jan 2013 - Apr 2020).
| </t>
    </r>
    <r>
      <rPr>
        <b/>
        <sz val="9.5"/>
        <rFont val="Arial"/>
        <family val="2"/>
      </rPr>
      <t>Paul Caine</t>
    </r>
    <r>
      <rPr>
        <sz val="9.5"/>
        <rFont val="Arial"/>
        <family val="2"/>
      </rPr>
      <t xml:space="preserve">, 59, </t>
    </r>
    <r>
      <rPr>
        <b/>
        <sz val="9.5"/>
        <rFont val="Arial"/>
        <family val="2"/>
      </rPr>
      <t>Chairman</t>
    </r>
    <r>
      <rPr>
        <sz val="9.5"/>
        <rFont val="Arial"/>
        <family val="2"/>
      </rPr>
      <t xml:space="preserve"> since 2020, PJ: President of IMG Events (Aug 2022 - present) and On Location (Jan 2020 - present). Non-executive Chairman of Telaria (Jan 2020 - Apr 2020). CEO and Founder of PC Ventures (Aug 2017 - present). Chief Global Revenue Officer at Bloomberg Media (Jun 2014 - Jul 2016). CEO of WestwoodOne (Apr 2013 - Jan 2014).Executive roles at Time Inc. (1989-2013), including EVP, Chief Revenue Officer, and Group President.
| </t>
    </r>
    <r>
      <rPr>
        <b/>
        <sz val="9.5"/>
        <rFont val="Arial"/>
        <family val="2"/>
      </rPr>
      <t xml:space="preserve">Directors: </t>
    </r>
    <r>
      <rPr>
        <b/>
        <sz val="9.5"/>
        <color rgb="FF92D050"/>
        <rFont val="Arial"/>
        <family val="2"/>
      </rPr>
      <t>Sarah Harden</t>
    </r>
    <r>
      <rPr>
        <sz val="9.5"/>
        <rFont val="Arial"/>
        <family val="2"/>
      </rPr>
      <t xml:space="preserve">, 52, Board member since Jul 2019, PJ: Executive roles at Otter Media/The Chernin Group (2013-2018), including President and EVP. Board member of ESPN-Star Sports, Star China Media, and The Moby Group.
MBA from Harvard Business School.
| </t>
    </r>
    <r>
      <rPr>
        <b/>
        <sz val="9.5"/>
        <color rgb="FF92D050"/>
        <rFont val="Arial"/>
        <family val="2"/>
      </rPr>
      <t>Doug Knopper</t>
    </r>
    <r>
      <rPr>
        <sz val="9.5"/>
        <rFont val="Arial"/>
        <family val="2"/>
      </rPr>
      <t xml:space="preserve">, 63,  Board member since Apr 2020 , PJ: Co-Founder of FreeWheel Media, Inc. and Co-CEO (Feb 2007 - Sept 2017). CEO of BitPass Inc. (2005-2007). Senior VP at DoubleClick Inc. (2000-2005). Board member of Telaria (Oct 2018 - Apr 2020). BA from the University of Michigan, MBA from Georgetown University.
| </t>
    </r>
    <r>
      <rPr>
        <b/>
        <sz val="9.5"/>
        <color rgb="FF92D050"/>
        <rFont val="Arial"/>
        <family val="2"/>
      </rPr>
      <t>Rachel Lam</t>
    </r>
    <r>
      <rPr>
        <sz val="9.5"/>
        <rFont val="Arial"/>
        <family val="2"/>
      </rPr>
      <t xml:space="preserve">, 57, PJ: Founder of Imagination Capital. Head of Time Warner Investments (2003-2017), leading investments in over 50 companies. Board member for several companies, including Magnite (NASDAQ: MGNI) and Porch Group (NASDAQ: PRCH). Former officer at Quetzal/Chase Capital Partners and CSFB Equity Partners. B.S. from UC Berkeley, MBA from Harvard Business School. Recognized by Gold House’s A100 List (2018) and BoardProspects (2024) .
| </t>
    </r>
    <r>
      <rPr>
        <b/>
        <sz val="9.5"/>
        <color rgb="FF92D050"/>
        <rFont val="Arial"/>
        <family val="2"/>
      </rPr>
      <t>David Pearson</t>
    </r>
    <r>
      <rPr>
        <sz val="9.5"/>
        <rFont val="Arial"/>
        <family val="2"/>
      </rPr>
      <t>, 58, Board member since Mar 2022. PJ: CFO of Vonage Holdings Corp. (May 2013 - Aug 2020). Managing Director at Deutsche Bank Securities (2003-2012). Managing Director at Goldman Sachs &amp; Co. (1993-2003). Board member of Lee Enterprises Inc. (Feb 2020 - present) and Potbelly Corporation (Apr 2022 - present). MBA from Harvard Business School, AB from Brown University.
|</t>
    </r>
    <r>
      <rPr>
        <b/>
        <sz val="9.5"/>
        <rFont val="Arial"/>
        <family val="2"/>
      </rPr>
      <t xml:space="preserve"> </t>
    </r>
    <r>
      <rPr>
        <b/>
        <sz val="9.5"/>
        <color rgb="FF92D050"/>
        <rFont val="Arial"/>
        <family val="2"/>
      </rPr>
      <t>James RosSMAN</t>
    </r>
    <r>
      <rPr>
        <sz val="9.5"/>
        <rFont val="Arial"/>
        <family val="2"/>
      </rPr>
      <t xml:space="preserve">, 58, Board member since Apr 2020. PJ: Operating Partner at Silver Lake (present). Special Advisor at General Atlantic (Nov 2012 - Apr 2018). President &amp; COO at AKQA Inc. (2009-2012). Chief Operating Officer at Digitas Inc. (2001-2009). BA in Economics from Trinity College, MBA from Kellogg School of Management.
| </t>
    </r>
    <r>
      <rPr>
        <b/>
        <sz val="9.5"/>
        <color rgb="FF92D050"/>
        <rFont val="Arial"/>
        <family val="2"/>
      </rPr>
      <t>Robert F. Spillane</t>
    </r>
    <r>
      <rPr>
        <sz val="9.5"/>
        <rFont val="Arial"/>
        <family val="2"/>
      </rPr>
      <t xml:space="preserve">, 73, Board member since Apr 2014. Previous Roles: Managing Principal at DigaComm, LLC (1998-2017). CEO of Donnelley Marketing, Inc. (1991-1998). Senior VP of CBS, including for CBS Magazines (1985-1987). Early positions at Chesebrough Ponds Inc. (1972-1977).
Expertise in publishing, advertising, and M&amp;A.
| </t>
    </r>
    <r>
      <rPr>
        <b/>
        <sz val="9.5"/>
        <rFont val="Arial"/>
        <family val="2"/>
      </rPr>
      <t>Diane Yu</t>
    </r>
    <r>
      <rPr>
        <sz val="9.5"/>
        <rFont val="Arial"/>
        <family val="2"/>
      </rPr>
      <t xml:space="preserve">,  50, Board member since Mar 2022. Current Role: </t>
    </r>
    <r>
      <rPr>
        <b/>
        <sz val="9.5"/>
        <rFont val="Arial"/>
        <family val="2"/>
      </rPr>
      <t>Co-Founder and CEO</t>
    </r>
    <r>
      <rPr>
        <sz val="9.5"/>
        <rFont val="Arial"/>
        <family val="2"/>
      </rPr>
      <t xml:space="preserve"> of TidalWave Tech Inc. PJ: CTO of Better Holdco, Inc. (Jan 2021 - Apr 2022). Co-Founder and CTO of FreeWheel Media (2007-2014), later CTO of Comcast’s Advanced Advertising Division. VP of Engineering at DoubleClick (2005-2007). BA from Peking University, Master's in Mathematics from Ohio University.</t>
    </r>
  </si>
  <si>
    <t xml:space="preserve">change in net working capital </t>
    <phoneticPr fontId="84" type="noConversion"/>
  </si>
  <si>
    <t>sales</t>
    <phoneticPr fontId="84" type="noConversion"/>
  </si>
  <si>
    <t>average (total)</t>
    <phoneticPr fontId="84" type="noConversion"/>
  </si>
  <si>
    <t>average (5y)</t>
    <phoneticPr fontId="84" type="noConversion"/>
  </si>
  <si>
    <t>average (3y)</t>
    <phoneticPr fontId="84" type="noConversion"/>
  </si>
  <si>
    <t>factor</t>
    <phoneticPr fontId="84" type="noConversion"/>
  </si>
  <si>
    <t>NA</t>
  </si>
  <si>
    <t>94% of FV</t>
  </si>
  <si>
    <t>Pros</t>
  </si>
  <si>
    <t>Cons</t>
  </si>
  <si>
    <r>
      <rPr>
        <b/>
        <sz val="10"/>
        <rFont val="Arial"/>
        <family val="2"/>
      </rPr>
      <t>Strong presence in the growing CTV advertising sector. 
Long-term partnerships with major media companies like Disney. 
Positive revenue growth and expansion into new markets. 
Increasing demand for programmatic advertising solutions. 
Strong technological infrastructure and innovation capabilities</t>
    </r>
    <r>
      <rPr>
        <sz val="10"/>
        <rFont val="Arial"/>
        <family val="2"/>
      </rPr>
      <t xml:space="preserve">. 
</t>
    </r>
    <r>
      <rPr>
        <b/>
        <sz val="10"/>
        <rFont val="Arial"/>
        <family val="2"/>
      </rPr>
      <t>Global Sace and Diverse Client Base</t>
    </r>
    <r>
      <rPr>
        <sz val="10"/>
        <rFont val="Arial"/>
        <family val="2"/>
      </rPr>
      <t xml:space="preserve"> - Allows publishers to manage ad sales across multiple formats and devices. Combines multiple revenue streams (programmatic, direct sales, and private marketplaces) into a single interface, making it easier for publishers to track and optimize their ad revenue. Uses machine learning and data analytics to help publishers optimize ad revenue by improving targeting, demand matching, and price floors. Offers detailed reporting and transparency, allowing publishers to see exactly where their revenue is coming from and how their inventory is performing.  Supports various ad formats and offers flexibility for publishers to manage and integrate ad deals, providing more control over the ad experience.</t>
    </r>
  </si>
  <si>
    <t>Crecimiento Ult. Año fiscal</t>
  </si>
  <si>
    <t>Crecimiento (vs 2019)</t>
  </si>
  <si>
    <t>Margen Operativo (p)</t>
  </si>
  <si>
    <t xml:space="preserve">Margen Operativo </t>
  </si>
  <si>
    <t xml:space="preserve">Heavy reliance on digital advertising, which is highly volatile. Competition from tech giants such as Google, Facebook and Amazon, which control major ad ecosystems. Integration risks associated with acquisitions like SpotX. Potential regulatory scrutiny and changes in data privacy laws. Dependence on Technology and infrastructure. Magnite operates on a commission-based model, which means that publishers give a percentage of their ad revenue to Magnite. Depending on the scale and type of deal, these fees can add up. The platform can be difficult to set up and manage, especially for smaller publishers or those new to programmatic advertising. The interface can feel overwhelming, and it may take time to fully leverage all of its features. </t>
  </si>
  <si>
    <t>In February 2024 the Company achieved CTV Contribution ex-TAC of $218.5 million, DV+ Contribution ex-TAC of $330.7 million and Adjusted EBITDA less capex of $132.5 million, which resulted in a weighted payout percentage of 83.14% of each named executive officers’ target bonus for 2023.</t>
  </si>
  <si>
    <t>BB-</t>
  </si>
  <si>
    <t>Sell</t>
  </si>
  <si>
    <t>Cur assets</t>
  </si>
  <si>
    <t>Cash</t>
  </si>
  <si>
    <t>Cur liabilities</t>
  </si>
  <si>
    <t>Net WC</t>
  </si>
  <si>
    <t>Changes in NWC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</si>
</sst>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43" formatCode="_-* #,##0.00_-;\-* #,##0.00_-;_-* &quot;-&quot;??_-;_-@_-"/>
    <numFmt numFmtId="164" formatCode="&quot;$&quot;#,##0;[Red]\-&quot;$&quot;#,##0"/>
    <numFmt numFmtId="165" formatCode="&quot;$&quot;#,##0.00;[Red]\-&quot;$&quot;#,##0.00"/>
    <numFmt numFmtId="166" formatCode="_-&quot;$&quot;* #,##0.00_-;\-&quot;$&quot;* #,##0.00_-;_-&quot;$&quot;* &quot;-&quot;??_-;_-@_-"/>
    <numFmt numFmtId="167" formatCode="&quot;$&quot;#,##0.00"/>
    <numFmt numFmtId="168" formatCode="&quot;$&quot;#,##0.0"/>
    <numFmt numFmtId="169" formatCode="&quot;$&quot;#,##0"/>
    <numFmt numFmtId="170" formatCode="0.0%"/>
    <numFmt numFmtId="171" formatCode="0.0"/>
    <numFmt numFmtId="172" formatCode="#,##0.0"/>
    <numFmt numFmtId="173" formatCode="#,##0.000"/>
    <numFmt numFmtId="174" formatCode="0.000"/>
    <numFmt numFmtId="175" formatCode="&quot;$&quot;#,##0.000"/>
    <numFmt numFmtId="176" formatCode="0.000%"/>
    <numFmt numFmtId="177" formatCode="[$$-409]#,##0.00"/>
    <numFmt numFmtId="178" formatCode="[$$-409]#,##0"/>
    <numFmt numFmtId="179" formatCode="[$$-409]#,##0.0"/>
  </numFmts>
  <fonts count="8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8"/>
      <name val="Arial"/>
      <family val="2"/>
    </font>
    <font>
      <b/>
      <sz val="10"/>
      <color indexed="9"/>
      <name val="Symbol"/>
      <family val="1"/>
      <charset val="2"/>
    </font>
    <font>
      <sz val="10"/>
      <name val="Arial"/>
      <family val="2"/>
    </font>
    <font>
      <b/>
      <sz val="9.5"/>
      <name val="Arial"/>
      <family val="2"/>
    </font>
    <font>
      <sz val="9.5"/>
      <name val="Arial"/>
      <family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00B050"/>
      <name val="Arial"/>
      <family val="2"/>
    </font>
    <font>
      <sz val="10"/>
      <color rgb="FF92D050"/>
      <name val="Arial"/>
      <family val="2"/>
    </font>
    <font>
      <u/>
      <sz val="10"/>
      <color theme="0"/>
      <name val="Arial"/>
      <family val="2"/>
    </font>
    <font>
      <b/>
      <sz val="10"/>
      <color rgb="FF0070C0"/>
      <name val="Arial"/>
      <family val="2"/>
    </font>
    <font>
      <sz val="10"/>
      <color rgb="FF002060"/>
      <name val="Arial"/>
      <family val="2"/>
    </font>
    <font>
      <b/>
      <sz val="15"/>
      <color theme="0"/>
      <name val="Arial"/>
      <family val="2"/>
    </font>
    <font>
      <sz val="11"/>
      <color theme="0"/>
      <name val="Calibri"/>
      <family val="2"/>
      <scheme val="minor"/>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0"/>
      <color rgb="FFC00000"/>
      <name val="Arial"/>
      <family val="2"/>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1"/>
      <name val="Calibri"/>
      <family val="2"/>
    </font>
    <font>
      <sz val="16"/>
      <color theme="1"/>
      <name val="Arial"/>
      <family val="2"/>
    </font>
    <font>
      <b/>
      <sz val="11"/>
      <color theme="1"/>
      <name val="Arial"/>
      <family val="2"/>
    </font>
    <font>
      <sz val="9"/>
      <color rgb="FF000000"/>
      <name val="Tahoma"/>
      <family val="2"/>
    </font>
    <font>
      <b/>
      <sz val="8"/>
      <name val="Arial"/>
      <family val="2"/>
    </font>
    <font>
      <b/>
      <sz val="9"/>
      <color theme="0"/>
      <name val="Arial"/>
      <family val="2"/>
    </font>
    <font>
      <b/>
      <sz val="9"/>
      <color rgb="FF92D050"/>
      <name val="Arial"/>
      <family val="2"/>
    </font>
    <font>
      <b/>
      <sz val="9"/>
      <color rgb="FFFFFF00"/>
      <name val="Arial"/>
      <family val="2"/>
    </font>
    <font>
      <sz val="10"/>
      <color theme="2"/>
      <name val="Arial"/>
      <family val="2"/>
    </font>
    <font>
      <b/>
      <sz val="9.5"/>
      <color rgb="FF92D050"/>
      <name val="Arial"/>
      <family val="2"/>
    </font>
    <font>
      <sz val="9"/>
      <name val="宋体"/>
      <family val="3"/>
      <charset val="134"/>
    </font>
    <font>
      <b/>
      <sz val="9"/>
      <color indexed="81"/>
      <name val="Tahoma"/>
      <charset val="1"/>
    </font>
  </fonts>
  <fills count="27">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79998168889431442"/>
        <bgColor indexed="64"/>
      </patternFill>
    </fill>
  </fills>
  <borders count="128">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3"/>
      </left>
      <right style="thin">
        <color theme="0" tint="-0.499984740745262"/>
      </right>
      <top style="thin">
        <color theme="0" tint="-0.499984740745262"/>
      </top>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499984740745262"/>
      </left>
      <right style="thin">
        <color theme="0" tint="-0.499984740745262"/>
      </right>
      <top/>
      <bottom style="thin">
        <color indexed="64"/>
      </bottom>
      <diagonal/>
    </border>
    <border>
      <left style="thin">
        <color theme="0" tint="-0.249977111117893"/>
      </left>
      <right style="thin">
        <color theme="0" tint="-0.249977111117893"/>
      </right>
      <top/>
      <bottom/>
      <diagonal/>
    </border>
    <border>
      <left style="medium">
        <color theme="3"/>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theme="0" tint="-0.249977111117893"/>
      </left>
      <right style="medium">
        <color theme="3"/>
      </right>
      <top style="thin">
        <color theme="0" tint="-0.249977111117893"/>
      </top>
      <bottom/>
      <diagonal/>
    </border>
    <border>
      <left style="thin">
        <color theme="0" tint="-0.249977111117893"/>
      </left>
      <right style="medium">
        <color theme="3"/>
      </right>
      <top/>
      <bottom style="thin">
        <color theme="0" tint="-0.249977111117893"/>
      </bottom>
      <diagonal/>
    </border>
    <border>
      <left style="thin">
        <color theme="0" tint="-0.249977111117893"/>
      </left>
      <right style="medium">
        <color rgb="FF002060"/>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medium">
        <color theme="3"/>
      </bottom>
      <diagonal/>
    </border>
    <border>
      <left/>
      <right style="thin">
        <color theme="0" tint="-0.249977111117893"/>
      </right>
      <top style="thin">
        <color theme="0" tint="-0.249977111117893"/>
      </top>
      <bottom style="medium">
        <color theme="3"/>
      </bottom>
      <diagonal/>
    </border>
    <border>
      <left style="thin">
        <color theme="0" tint="-0.249977111117893"/>
      </left>
      <right style="medium">
        <color rgb="FF002060"/>
      </right>
      <top style="thin">
        <color theme="0" tint="-0.249977111117893"/>
      </top>
      <bottom/>
      <diagonal/>
    </border>
    <border>
      <left style="thin">
        <color theme="0" tint="-0.249977111117893"/>
      </left>
      <right style="medium">
        <color rgb="FF002060"/>
      </right>
      <top/>
      <bottom style="thin">
        <color theme="0" tint="-0.249977111117893"/>
      </bottom>
      <diagonal/>
    </border>
    <border>
      <left style="thin">
        <color theme="0" tint="-0.499984740745262"/>
      </left>
      <right/>
      <top/>
      <bottom style="medium">
        <color theme="3"/>
      </bottom>
      <diagonal/>
    </border>
    <border>
      <left style="medium">
        <color theme="3"/>
      </left>
      <right style="medium">
        <color theme="3"/>
      </right>
      <top/>
      <bottom/>
      <diagonal/>
    </border>
    <border>
      <left style="medium">
        <color theme="3"/>
      </left>
      <right style="medium">
        <color theme="3"/>
      </right>
      <top/>
      <bottom style="thin">
        <color theme="0" tint="-0.499984740745262"/>
      </bottom>
      <diagonal/>
    </border>
    <border>
      <left style="medium">
        <color theme="3"/>
      </left>
      <right style="medium">
        <color theme="3"/>
      </right>
      <top/>
      <bottom style="medium">
        <color theme="3"/>
      </bottom>
      <diagonal/>
    </border>
    <border>
      <left style="medium">
        <color theme="3"/>
      </left>
      <right style="medium">
        <color theme="3"/>
      </right>
      <top style="medium">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medium">
        <color theme="3"/>
      </left>
      <right style="medium">
        <color theme="3"/>
      </right>
      <top/>
      <bottom style="thin">
        <color theme="3"/>
      </bottom>
      <diagonal/>
    </border>
    <border>
      <left style="thin">
        <color theme="0" tint="-0.499984740745262"/>
      </left>
      <right/>
      <top/>
      <bottom style="thin">
        <color indexed="64"/>
      </bottom>
      <diagonal/>
    </border>
    <border>
      <left/>
      <right style="thin">
        <color theme="0" tint="-0.499984740745262"/>
      </right>
      <top/>
      <bottom style="thin">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s>
  <cellStyleXfs count="39">
    <xf numFmtId="0" fontId="0" fillId="0" borderId="0"/>
    <xf numFmtId="0" fontId="20" fillId="2" borderId="1" applyNumberFormat="0" applyProtection="0">
      <alignment horizontal="left" vertical="center" readingOrder="1"/>
    </xf>
    <xf numFmtId="0" fontId="21" fillId="2" borderId="2">
      <alignment horizontal="left"/>
    </xf>
    <xf numFmtId="0" fontId="21" fillId="2" borderId="3">
      <alignment horizontal="right"/>
    </xf>
    <xf numFmtId="0" fontId="21" fillId="2" borderId="3">
      <alignment horizontal="left"/>
    </xf>
    <xf numFmtId="3" fontId="22" fillId="3" borderId="4">
      <alignment horizontal="right"/>
    </xf>
    <xf numFmtId="172" fontId="13" fillId="3" borderId="4">
      <alignment horizontal="right"/>
    </xf>
    <xf numFmtId="4" fontId="13" fillId="3" borderId="4">
      <alignment horizontal="right"/>
    </xf>
    <xf numFmtId="0" fontId="22" fillId="3" borderId="5"/>
    <xf numFmtId="0" fontId="23" fillId="3" borderId="5"/>
    <xf numFmtId="0" fontId="12" fillId="0" borderId="0" applyNumberFormat="0" applyFill="0" applyBorder="0" applyAlignment="0" applyProtection="0">
      <alignment vertical="top"/>
      <protection locked="0"/>
    </xf>
    <xf numFmtId="166" fontId="31" fillId="0" borderId="0" applyFont="0" applyFill="0" applyBorder="0" applyAlignment="0" applyProtection="0"/>
    <xf numFmtId="166" fontId="14" fillId="0" borderId="0" applyFont="0" applyFill="0" applyBorder="0" applyAlignment="0" applyProtection="0"/>
    <xf numFmtId="0" fontId="35" fillId="0" borderId="0"/>
    <xf numFmtId="0" fontId="14" fillId="0" borderId="0"/>
    <xf numFmtId="9" fontId="10" fillId="0" borderId="0" applyFont="0" applyFill="0" applyBorder="0" applyAlignment="0" applyProtection="0"/>
    <xf numFmtId="9" fontId="31" fillId="0" borderId="0" applyFont="0" applyFill="0" applyBorder="0" applyAlignment="0" applyProtection="0"/>
    <xf numFmtId="9" fontId="14" fillId="0" borderId="0" applyFont="0" applyFill="0" applyBorder="0" applyAlignment="0" applyProtection="0"/>
    <xf numFmtId="9" fontId="35" fillId="0" borderId="0" applyFont="0" applyFill="0" applyBorder="0" applyAlignment="0" applyProtection="0"/>
    <xf numFmtId="0" fontId="9"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0" fontId="8" fillId="0" borderId="0"/>
    <xf numFmtId="43" fontId="10" fillId="0" borderId="0" applyFont="0" applyFill="0" applyBorder="0" applyAlignment="0" applyProtection="0"/>
    <xf numFmtId="44" fontId="10" fillId="0" borderId="0" applyFont="0" applyFill="0" applyBorder="0" applyAlignment="0" applyProtection="0"/>
    <xf numFmtId="0" fontId="7" fillId="0" borderId="0"/>
    <xf numFmtId="0" fontId="7"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3" fontId="68" fillId="0" borderId="0" applyFont="0" applyFill="0" applyBorder="0" applyAlignment="0" applyProtection="0"/>
    <xf numFmtId="0" fontId="5" fillId="0" borderId="0"/>
  </cellStyleXfs>
  <cellXfs count="711">
    <xf numFmtId="0" fontId="0" fillId="0" borderId="0" xfId="0"/>
    <xf numFmtId="169" fontId="0" fillId="0" borderId="0" xfId="0" applyNumberFormat="1" applyAlignment="1">
      <alignment horizontal="center"/>
    </xf>
    <xf numFmtId="167"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0" fontId="0" fillId="0" borderId="0" xfId="15" applyNumberFormat="1" applyFont="1" applyAlignment="1">
      <alignment horizontal="center"/>
    </xf>
    <xf numFmtId="169"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0" fontId="0" fillId="0" borderId="0" xfId="0" applyNumberFormat="1" applyAlignment="1">
      <alignment horizontal="center"/>
    </xf>
    <xf numFmtId="0" fontId="14" fillId="0" borderId="0" xfId="0" applyFont="1"/>
    <xf numFmtId="9" fontId="0" fillId="0" borderId="0" xfId="15" applyFont="1"/>
    <xf numFmtId="0" fontId="15" fillId="0" borderId="0" xfId="0" applyFont="1" applyAlignment="1">
      <alignment horizontal="center"/>
    </xf>
    <xf numFmtId="169" fontId="14" fillId="0" borderId="0" xfId="0" applyNumberFormat="1" applyFont="1"/>
    <xf numFmtId="170" fontId="0" fillId="0" borderId="0" xfId="15" applyNumberFormat="1" applyFont="1"/>
    <xf numFmtId="3" fontId="0" fillId="0" borderId="0" xfId="0" applyNumberFormat="1"/>
    <xf numFmtId="0" fontId="36" fillId="0" borderId="0" xfId="0" applyFont="1"/>
    <xf numFmtId="0" fontId="17" fillId="0" borderId="0" xfId="0" applyFont="1" applyAlignment="1">
      <alignment vertical="top" wrapText="1"/>
    </xf>
    <xf numFmtId="0" fontId="37" fillId="0" borderId="0" xfId="0" applyFont="1"/>
    <xf numFmtId="0" fontId="38" fillId="0" borderId="0" xfId="0" applyFont="1"/>
    <xf numFmtId="169" fontId="14" fillId="0" borderId="0" xfId="0" applyNumberFormat="1" applyFont="1" applyAlignment="1">
      <alignment horizontal="center"/>
    </xf>
    <xf numFmtId="0" fontId="25" fillId="0" borderId="0" xfId="0" applyFont="1"/>
    <xf numFmtId="0" fontId="21" fillId="4" borderId="6" xfId="3" applyFill="1" applyBorder="1" applyAlignment="1">
      <alignment horizontal="center" vertical="center"/>
    </xf>
    <xf numFmtId="0" fontId="39" fillId="4" borderId="6" xfId="0" applyFont="1" applyFill="1" applyBorder="1" applyAlignment="1">
      <alignment horizontal="center"/>
    </xf>
    <xf numFmtId="0" fontId="21" fillId="4" borderId="8" xfId="4" applyFill="1" applyBorder="1">
      <alignment horizontal="left"/>
    </xf>
    <xf numFmtId="0" fontId="40" fillId="0" borderId="9" xfId="8" applyFont="1" applyFill="1" applyBorder="1" applyAlignment="1">
      <alignment horizontal="center"/>
    </xf>
    <xf numFmtId="0" fontId="40" fillId="0" borderId="11" xfId="8" applyFont="1" applyFill="1" applyBorder="1" applyAlignment="1">
      <alignment horizontal="center"/>
    </xf>
    <xf numFmtId="0" fontId="39" fillId="4" borderId="12" xfId="0" applyFont="1" applyFill="1" applyBorder="1" applyAlignment="1">
      <alignment horizontal="center"/>
    </xf>
    <xf numFmtId="0" fontId="15" fillId="0" borderId="13" xfId="0" applyFont="1" applyBorder="1" applyAlignment="1">
      <alignment horizontal="center"/>
    </xf>
    <xf numFmtId="0" fontId="15" fillId="0" borderId="12" xfId="0" applyFont="1" applyBorder="1" applyAlignment="1">
      <alignment horizontal="center"/>
    </xf>
    <xf numFmtId="9" fontId="27" fillId="0" borderId="15" xfId="15" applyFont="1" applyBorder="1"/>
    <xf numFmtId="0" fontId="15" fillId="0" borderId="16" xfId="0" applyFont="1" applyBorder="1"/>
    <xf numFmtId="0" fontId="15" fillId="0" borderId="8" xfId="0" applyFont="1" applyBorder="1"/>
    <xf numFmtId="0" fontId="15" fillId="0" borderId="18" xfId="0" applyFont="1" applyBorder="1"/>
    <xf numFmtId="0" fontId="37" fillId="4" borderId="0" xfId="0" applyFont="1" applyFill="1"/>
    <xf numFmtId="169" fontId="37" fillId="4" borderId="0" xfId="0" applyNumberFormat="1" applyFont="1" applyFill="1"/>
    <xf numFmtId="169" fontId="37" fillId="4" borderId="0" xfId="0" applyNumberFormat="1" applyFont="1" applyFill="1" applyAlignment="1">
      <alignment horizontal="center"/>
    </xf>
    <xf numFmtId="170" fontId="15" fillId="0" borderId="0" xfId="0" applyNumberFormat="1" applyFont="1" applyAlignment="1">
      <alignment horizontal="center"/>
    </xf>
    <xf numFmtId="10" fontId="15" fillId="0" borderId="0" xfId="0" applyNumberFormat="1" applyFont="1" applyAlignment="1">
      <alignment horizontal="center"/>
    </xf>
    <xf numFmtId="169" fontId="39" fillId="4" borderId="0" xfId="0" applyNumberFormat="1" applyFont="1" applyFill="1" applyAlignment="1">
      <alignment horizontal="center"/>
    </xf>
    <xf numFmtId="169" fontId="14" fillId="0" borderId="0" xfId="10" applyNumberFormat="1" applyFont="1" applyAlignment="1" applyProtection="1">
      <alignment horizontal="left"/>
    </xf>
    <xf numFmtId="169" fontId="15" fillId="0" borderId="0" xfId="0" applyNumberFormat="1" applyFont="1" applyAlignment="1">
      <alignment horizontal="left"/>
    </xf>
    <xf numFmtId="167" fontId="15" fillId="0" borderId="0" xfId="0" applyNumberFormat="1" applyFont="1" applyAlignment="1">
      <alignment horizontal="center"/>
    </xf>
    <xf numFmtId="9" fontId="15" fillId="0" borderId="0" xfId="15" applyFont="1" applyAlignment="1">
      <alignment horizontal="center"/>
    </xf>
    <xf numFmtId="0" fontId="41" fillId="3" borderId="11" xfId="9" applyFont="1" applyBorder="1"/>
    <xf numFmtId="0" fontId="41" fillId="3" borderId="21" xfId="9" applyFont="1" applyBorder="1"/>
    <xf numFmtId="0" fontId="41" fillId="0" borderId="11" xfId="9" applyFont="1" applyFill="1" applyBorder="1"/>
    <xf numFmtId="0" fontId="41" fillId="3" borderId="22" xfId="9" applyFont="1" applyBorder="1"/>
    <xf numFmtId="0" fontId="41" fillId="0" borderId="11" xfId="0" applyFont="1" applyBorder="1"/>
    <xf numFmtId="0" fontId="41" fillId="0" borderId="23" xfId="0" applyFont="1" applyBorder="1" applyAlignment="1">
      <alignment horizontal="center"/>
    </xf>
    <xf numFmtId="0" fontId="41" fillId="0" borderId="24" xfId="0" applyFont="1" applyBorder="1"/>
    <xf numFmtId="0" fontId="41" fillId="0" borderId="22" xfId="0" applyFont="1" applyBorder="1"/>
    <xf numFmtId="0" fontId="41" fillId="0" borderId="25" xfId="0" applyFont="1" applyBorder="1" applyAlignment="1">
      <alignment horizontal="center"/>
    </xf>
    <xf numFmtId="0" fontId="41" fillId="0" borderId="26" xfId="0" applyFont="1" applyBorder="1"/>
    <xf numFmtId="0" fontId="30" fillId="0" borderId="0" xfId="0" applyFont="1"/>
    <xf numFmtId="170" fontId="37" fillId="4" borderId="0" xfId="0" applyNumberFormat="1" applyFont="1" applyFill="1" applyAlignment="1">
      <alignment horizontal="center"/>
    </xf>
    <xf numFmtId="0" fontId="41" fillId="3" borderId="11" xfId="9" applyFont="1" applyBorder="1" applyAlignment="1">
      <alignment vertical="center"/>
    </xf>
    <xf numFmtId="0" fontId="14" fillId="0" borderId="0" xfId="0" applyFont="1" applyAlignment="1">
      <alignment vertical="center"/>
    </xf>
    <xf numFmtId="0" fontId="41" fillId="0" borderId="11" xfId="0" applyFont="1" applyBorder="1" applyAlignment="1">
      <alignment vertical="center"/>
    </xf>
    <xf numFmtId="0" fontId="41" fillId="0" borderId="23" xfId="0" applyFont="1" applyBorder="1" applyAlignment="1">
      <alignment horizontal="center" vertical="center"/>
    </xf>
    <xf numFmtId="0" fontId="41" fillId="0" borderId="24" xfId="0" applyFont="1" applyBorder="1" applyAlignment="1">
      <alignment vertical="center"/>
    </xf>
    <xf numFmtId="0" fontId="42" fillId="0" borderId="0" xfId="10" applyFont="1" applyAlignment="1" applyProtection="1"/>
    <xf numFmtId="0" fontId="43" fillId="0" borderId="0" xfId="0" applyFont="1"/>
    <xf numFmtId="170" fontId="14" fillId="0" borderId="0" xfId="15" applyNumberFormat="1" applyFont="1" applyAlignment="1">
      <alignment horizontal="center"/>
    </xf>
    <xf numFmtId="172" fontId="0" fillId="0" borderId="0" xfId="0" applyNumberFormat="1" applyAlignment="1">
      <alignment horizontal="center"/>
    </xf>
    <xf numFmtId="167" fontId="14" fillId="0" borderId="0" xfId="0" applyNumberFormat="1" applyFont="1"/>
    <xf numFmtId="169" fontId="15" fillId="0" borderId="19" xfId="0" applyNumberFormat="1" applyFont="1" applyBorder="1" applyAlignment="1">
      <alignment horizontal="center"/>
    </xf>
    <xf numFmtId="0" fontId="15" fillId="0" borderId="0" xfId="0" applyFont="1" applyAlignment="1">
      <alignment horizontal="left"/>
    </xf>
    <xf numFmtId="0" fontId="19" fillId="0" borderId="30" xfId="0" applyFont="1" applyBorder="1"/>
    <xf numFmtId="0" fontId="39" fillId="4" borderId="30" xfId="0" applyFont="1" applyFill="1" applyBorder="1"/>
    <xf numFmtId="0" fontId="16" fillId="0" borderId="30" xfId="0" applyFont="1" applyBorder="1"/>
    <xf numFmtId="0" fontId="39" fillId="4" borderId="30" xfId="0" applyFont="1" applyFill="1" applyBorder="1" applyAlignment="1">
      <alignment horizontal="center"/>
    </xf>
    <xf numFmtId="0" fontId="15" fillId="0" borderId="34" xfId="0" applyFont="1" applyBorder="1" applyAlignment="1">
      <alignment horizontal="center"/>
    </xf>
    <xf numFmtId="0" fontId="44" fillId="4" borderId="35" xfId="0" applyFont="1" applyFill="1" applyBorder="1" applyAlignment="1">
      <alignment horizontal="center"/>
    </xf>
    <xf numFmtId="0" fontId="39" fillId="4" borderId="34" xfId="0" applyFont="1" applyFill="1" applyBorder="1" applyAlignment="1">
      <alignment horizontal="center"/>
    </xf>
    <xf numFmtId="0" fontId="0" fillId="0" borderId="34" xfId="0" applyBorder="1" applyAlignment="1">
      <alignment horizontal="center"/>
    </xf>
    <xf numFmtId="169" fontId="0" fillId="7" borderId="0" xfId="0" applyNumberFormat="1" applyFill="1" applyAlignment="1">
      <alignment horizontal="center"/>
    </xf>
    <xf numFmtId="169" fontId="14" fillId="7" borderId="0" xfId="0" applyNumberFormat="1" applyFont="1" applyFill="1" applyAlignment="1">
      <alignment horizontal="center"/>
    </xf>
    <xf numFmtId="169" fontId="14" fillId="0" borderId="36" xfId="0" applyNumberFormat="1" applyFont="1" applyBorder="1"/>
    <xf numFmtId="169" fontId="14" fillId="0" borderId="37" xfId="0" applyNumberFormat="1" applyFont="1" applyBorder="1" applyAlignment="1">
      <alignment horizontal="center"/>
    </xf>
    <xf numFmtId="169" fontId="14" fillId="0" borderId="38" xfId="0" applyNumberFormat="1" applyFont="1" applyBorder="1"/>
    <xf numFmtId="172" fontId="0" fillId="0" borderId="39" xfId="0" applyNumberFormat="1" applyBorder="1" applyAlignment="1">
      <alignment horizontal="center"/>
    </xf>
    <xf numFmtId="169" fontId="14" fillId="0" borderId="40" xfId="0" applyNumberFormat="1" applyFont="1" applyBorder="1"/>
    <xf numFmtId="169" fontId="0" fillId="0" borderId="41" xfId="0" applyNumberFormat="1" applyBorder="1" applyAlignment="1">
      <alignment horizontal="center"/>
    </xf>
    <xf numFmtId="172" fontId="0" fillId="0" borderId="41" xfId="0" applyNumberFormat="1" applyBorder="1" applyAlignment="1">
      <alignment horizontal="center"/>
    </xf>
    <xf numFmtId="172" fontId="0" fillId="0" borderId="42" xfId="0" applyNumberFormat="1" applyBorder="1" applyAlignment="1">
      <alignment horizontal="center"/>
    </xf>
    <xf numFmtId="167" fontId="0" fillId="0" borderId="37" xfId="0" applyNumberFormat="1" applyBorder="1" applyAlignment="1">
      <alignment horizontal="center"/>
    </xf>
    <xf numFmtId="0" fontId="44" fillId="4" borderId="43" xfId="0" applyFont="1" applyFill="1" applyBorder="1"/>
    <xf numFmtId="0" fontId="44" fillId="4" borderId="44" xfId="0" applyFont="1" applyFill="1" applyBorder="1"/>
    <xf numFmtId="0" fontId="44" fillId="4" borderId="45" xfId="0" applyFont="1" applyFill="1" applyBorder="1" applyAlignment="1">
      <alignment horizontal="center"/>
    </xf>
    <xf numFmtId="168" fontId="33" fillId="8" borderId="30" xfId="0" applyNumberFormat="1" applyFont="1" applyFill="1" applyBorder="1" applyAlignment="1">
      <alignment horizontal="center" vertical="center"/>
    </xf>
    <xf numFmtId="170" fontId="37" fillId="4" borderId="0" xfId="15" applyNumberFormat="1" applyFont="1" applyFill="1" applyAlignment="1">
      <alignment horizontal="center"/>
    </xf>
    <xf numFmtId="0" fontId="14" fillId="0" borderId="30" xfId="0" applyFont="1" applyBorder="1" applyAlignment="1">
      <alignment horizontal="left" vertical="center"/>
    </xf>
    <xf numFmtId="170" fontId="15" fillId="0" borderId="30" xfId="15" applyNumberFormat="1" applyFont="1" applyBorder="1" applyAlignment="1">
      <alignment horizontal="center" vertical="center"/>
    </xf>
    <xf numFmtId="167" fontId="37" fillId="4" borderId="0" xfId="0" applyNumberFormat="1" applyFont="1" applyFill="1" applyAlignment="1">
      <alignment horizontal="center"/>
    </xf>
    <xf numFmtId="170" fontId="15" fillId="0" borderId="23" xfId="17" applyNumberFormat="1" applyFont="1" applyFill="1" applyBorder="1" applyAlignment="1">
      <alignment horizontal="center"/>
    </xf>
    <xf numFmtId="0" fontId="14" fillId="0" borderId="0" xfId="0" applyFont="1" applyAlignment="1">
      <alignment horizontal="left"/>
    </xf>
    <xf numFmtId="0" fontId="10" fillId="0" borderId="32" xfId="0" applyFont="1" applyBorder="1" applyAlignment="1">
      <alignment horizontal="center" vertical="center"/>
    </xf>
    <xf numFmtId="169" fontId="10" fillId="0" borderId="30" xfId="0" applyNumberFormat="1" applyFont="1" applyBorder="1" applyAlignment="1">
      <alignment horizontal="center"/>
    </xf>
    <xf numFmtId="170" fontId="10" fillId="0" borderId="30" xfId="15" applyNumberFormat="1" applyFont="1" applyBorder="1" applyAlignment="1">
      <alignment horizontal="center"/>
    </xf>
    <xf numFmtId="14" fontId="10" fillId="0" borderId="32" xfId="0" applyNumberFormat="1" applyFont="1" applyBorder="1" applyAlignment="1">
      <alignment horizontal="center" vertical="center"/>
    </xf>
    <xf numFmtId="0" fontId="10" fillId="0" borderId="0" xfId="0" applyFont="1"/>
    <xf numFmtId="168" fontId="0" fillId="0" borderId="0" xfId="0" applyNumberFormat="1"/>
    <xf numFmtId="0" fontId="10" fillId="0" borderId="30" xfId="0" applyFont="1" applyBorder="1"/>
    <xf numFmtId="9" fontId="10" fillId="0" borderId="30" xfId="15" applyFont="1" applyBorder="1" applyAlignment="1">
      <alignment horizontal="center"/>
    </xf>
    <xf numFmtId="167" fontId="10" fillId="0" borderId="30" xfId="0" applyNumberFormat="1" applyFont="1" applyBorder="1" applyAlignment="1">
      <alignment horizontal="center"/>
    </xf>
    <xf numFmtId="0" fontId="10" fillId="0" borderId="34" xfId="0" applyFont="1" applyBorder="1"/>
    <xf numFmtId="0" fontId="10" fillId="0" borderId="30" xfId="0" applyFont="1" applyBorder="1" applyAlignment="1">
      <alignment horizontal="left"/>
    </xf>
    <xf numFmtId="0" fontId="10" fillId="0" borderId="34" xfId="0" quotePrefix="1" applyFont="1" applyBorder="1"/>
    <xf numFmtId="0" fontId="10" fillId="0" borderId="30" xfId="0" quotePrefix="1" applyFont="1" applyBorder="1"/>
    <xf numFmtId="169" fontId="10" fillId="0" borderId="30" xfId="15" applyNumberFormat="1" applyFont="1" applyBorder="1" applyAlignment="1">
      <alignment horizontal="center"/>
    </xf>
    <xf numFmtId="170" fontId="10" fillId="0" borderId="0" xfId="0" applyNumberFormat="1" applyFont="1" applyAlignment="1">
      <alignment horizontal="center"/>
    </xf>
    <xf numFmtId="0" fontId="10" fillId="0" borderId="0" xfId="0" applyFont="1" applyAlignment="1">
      <alignment horizontal="center"/>
    </xf>
    <xf numFmtId="170" fontId="10" fillId="0" borderId="30" xfId="15" applyNumberFormat="1" applyFont="1" applyFill="1" applyBorder="1" applyAlignment="1">
      <alignment horizontal="center"/>
    </xf>
    <xf numFmtId="169" fontId="14" fillId="0" borderId="0" xfId="0" quotePrefix="1" applyNumberFormat="1" applyFont="1" applyAlignment="1">
      <alignment horizontal="center"/>
    </xf>
    <xf numFmtId="167" fontId="37" fillId="0" borderId="0" xfId="0" applyNumberFormat="1" applyFont="1"/>
    <xf numFmtId="3" fontId="37" fillId="0" borderId="0" xfId="0" applyNumberFormat="1" applyFont="1"/>
    <xf numFmtId="0" fontId="46" fillId="0" borderId="0" xfId="0" applyFont="1" applyAlignment="1">
      <alignment vertical="top" wrapText="1"/>
    </xf>
    <xf numFmtId="9" fontId="37" fillId="0" borderId="0" xfId="15" applyFont="1" applyFill="1"/>
    <xf numFmtId="9" fontId="0" fillId="0" borderId="0" xfId="0" applyNumberFormat="1"/>
    <xf numFmtId="0" fontId="10" fillId="0" borderId="33" xfId="0" applyFont="1" applyBorder="1" applyAlignment="1">
      <alignment horizontal="center" vertical="center"/>
    </xf>
    <xf numFmtId="0" fontId="10" fillId="0" borderId="34" xfId="0" applyFont="1" applyBorder="1" applyAlignment="1">
      <alignment horizontal="center"/>
    </xf>
    <xf numFmtId="169" fontId="10" fillId="0" borderId="0" xfId="0" quotePrefix="1" applyNumberFormat="1" applyFont="1" applyAlignment="1">
      <alignment horizontal="center"/>
    </xf>
    <xf numFmtId="0" fontId="11" fillId="0" borderId="0" xfId="0" applyFont="1"/>
    <xf numFmtId="10" fontId="10" fillId="0" borderId="0" xfId="0" applyNumberFormat="1" applyFont="1" applyAlignment="1">
      <alignment horizontal="center"/>
    </xf>
    <xf numFmtId="168" fontId="0" fillId="0" borderId="0" xfId="0" applyNumberFormat="1" applyAlignment="1">
      <alignment horizontal="center"/>
    </xf>
    <xf numFmtId="4" fontId="10" fillId="0" borderId="30" xfId="0" applyNumberFormat="1" applyFont="1" applyBorder="1" applyAlignment="1">
      <alignment horizontal="center"/>
    </xf>
    <xf numFmtId="14" fontId="10" fillId="0" borderId="30" xfId="0" applyNumberFormat="1" applyFont="1" applyBorder="1" applyAlignment="1">
      <alignment horizontal="center"/>
    </xf>
    <xf numFmtId="171" fontId="10" fillId="0" borderId="30" xfId="15" applyNumberFormat="1" applyFont="1" applyBorder="1" applyAlignment="1">
      <alignment horizontal="center"/>
    </xf>
    <xf numFmtId="169" fontId="10" fillId="0" borderId="0" xfId="0" applyNumberFormat="1" applyFont="1"/>
    <xf numFmtId="0" fontId="51" fillId="0" borderId="0" xfId="10" applyFont="1" applyFill="1" applyAlignment="1" applyProtection="1"/>
    <xf numFmtId="169" fontId="37" fillId="0" borderId="0" xfId="0" applyNumberFormat="1" applyFont="1"/>
    <xf numFmtId="0" fontId="0" fillId="0" borderId="72" xfId="0" applyBorder="1" applyAlignment="1">
      <alignment horizontal="left"/>
    </xf>
    <xf numFmtId="2" fontId="14" fillId="7" borderId="0" xfId="0" applyNumberFormat="1" applyFont="1" applyFill="1" applyAlignment="1">
      <alignment horizontal="center"/>
    </xf>
    <xf numFmtId="2" fontId="14" fillId="0" borderId="0" xfId="0" applyNumberFormat="1" applyFont="1" applyAlignment="1">
      <alignment horizontal="center"/>
    </xf>
    <xf numFmtId="0" fontId="15" fillId="0" borderId="17" xfId="0" applyFont="1" applyBorder="1"/>
    <xf numFmtId="0" fontId="10" fillId="0" borderId="16" xfId="0" applyFont="1" applyBorder="1" applyAlignment="1">
      <alignment horizontal="left" indent="1"/>
    </xf>
    <xf numFmtId="169" fontId="15" fillId="0" borderId="0" xfId="0" applyNumberFormat="1" applyFont="1" applyAlignment="1">
      <alignment horizontal="center"/>
    </xf>
    <xf numFmtId="9" fontId="15" fillId="0" borderId="0" xfId="15" applyFont="1"/>
    <xf numFmtId="9" fontId="15" fillId="0" borderId="15" xfId="15" applyFont="1" applyBorder="1"/>
    <xf numFmtId="0" fontId="10" fillId="0" borderId="49" xfId="0" applyFont="1" applyBorder="1" applyAlignment="1">
      <alignment horizontal="left" vertical="center"/>
    </xf>
    <xf numFmtId="0" fontId="10" fillId="0" borderId="45" xfId="0" applyFont="1" applyBorder="1" applyAlignment="1">
      <alignment horizontal="left" vertical="center"/>
    </xf>
    <xf numFmtId="9" fontId="37" fillId="0" borderId="0" xfId="15" applyFont="1"/>
    <xf numFmtId="9" fontId="46" fillId="0" borderId="0" xfId="15" applyFont="1" applyAlignment="1">
      <alignment vertical="top" wrapText="1"/>
    </xf>
    <xf numFmtId="0" fontId="10" fillId="0" borderId="8" xfId="0" applyFont="1" applyBorder="1"/>
    <xf numFmtId="0" fontId="10" fillId="0" borderId="16" xfId="0" applyFont="1" applyBorder="1"/>
    <xf numFmtId="169" fontId="10" fillId="0" borderId="0" xfId="0" applyNumberFormat="1" applyFont="1" applyAlignment="1">
      <alignment horizontal="center"/>
    </xf>
    <xf numFmtId="9" fontId="10" fillId="0" borderId="0" xfId="15" applyFont="1"/>
    <xf numFmtId="9" fontId="10" fillId="0" borderId="15" xfId="15" applyFont="1" applyBorder="1"/>
    <xf numFmtId="0" fontId="10" fillId="0" borderId="14" xfId="0" applyFont="1" applyBorder="1"/>
    <xf numFmtId="170" fontId="49" fillId="0" borderId="30" xfId="15" applyNumberFormat="1" applyFont="1" applyBorder="1" applyAlignment="1">
      <alignment horizontal="center"/>
    </xf>
    <xf numFmtId="2" fontId="48" fillId="0" borderId="35" xfId="15" applyNumberFormat="1" applyFont="1" applyBorder="1" applyAlignment="1">
      <alignment horizontal="center"/>
    </xf>
    <xf numFmtId="171" fontId="48" fillId="0" borderId="35" xfId="15" applyNumberFormat="1" applyFont="1" applyBorder="1" applyAlignment="1">
      <alignment horizontal="center"/>
    </xf>
    <xf numFmtId="0" fontId="52" fillId="0" borderId="72" xfId="0" applyFont="1" applyBorder="1" applyAlignment="1">
      <alignment horizontal="left"/>
    </xf>
    <xf numFmtId="3" fontId="22" fillId="3" borderId="7" xfId="5" applyBorder="1">
      <alignment horizontal="right"/>
    </xf>
    <xf numFmtId="0" fontId="10" fillId="3" borderId="24" xfId="9" applyFont="1" applyBorder="1" applyAlignment="1">
      <alignment horizontal="right"/>
    </xf>
    <xf numFmtId="172" fontId="10" fillId="3" borderId="24" xfId="6" applyFont="1" applyBorder="1">
      <alignment horizontal="right"/>
    </xf>
    <xf numFmtId="0" fontId="10" fillId="3" borderId="7" xfId="9" applyFont="1" applyBorder="1" applyAlignment="1">
      <alignment horizontal="right"/>
    </xf>
    <xf numFmtId="3" fontId="15" fillId="3" borderId="7" xfId="5" applyFont="1" applyBorder="1">
      <alignment horizontal="right"/>
    </xf>
    <xf numFmtId="4" fontId="10" fillId="3" borderId="24" xfId="7" applyFont="1" applyBorder="1">
      <alignment horizontal="right"/>
    </xf>
    <xf numFmtId="0" fontId="10" fillId="0" borderId="24" xfId="9" applyFont="1" applyFill="1" applyBorder="1" applyAlignment="1">
      <alignment horizontal="right"/>
    </xf>
    <xf numFmtId="4" fontId="10" fillId="5" borderId="24" xfId="7" applyFont="1" applyFill="1" applyBorder="1">
      <alignment horizontal="right"/>
    </xf>
    <xf numFmtId="0" fontId="10" fillId="3" borderId="76" xfId="9" applyFont="1" applyBorder="1" applyAlignment="1">
      <alignment horizontal="right"/>
    </xf>
    <xf numFmtId="3" fontId="15" fillId="3" borderId="24" xfId="5" applyFont="1" applyBorder="1">
      <alignment horizontal="right"/>
    </xf>
    <xf numFmtId="4" fontId="10" fillId="5" borderId="26" xfId="7" applyFont="1" applyFill="1" applyBorder="1">
      <alignment horizontal="right"/>
    </xf>
    <xf numFmtId="4" fontId="10" fillId="0" borderId="26" xfId="7" applyFont="1" applyFill="1" applyBorder="1">
      <alignment horizontal="right"/>
    </xf>
    <xf numFmtId="4" fontId="10" fillId="3" borderId="26" xfId="7" applyFont="1" applyBorder="1">
      <alignment horizontal="right"/>
    </xf>
    <xf numFmtId="0" fontId="12" fillId="0" borderId="0" xfId="10" applyAlignment="1" applyProtection="1"/>
    <xf numFmtId="0" fontId="52" fillId="0" borderId="1" xfId="0" applyFont="1" applyBorder="1"/>
    <xf numFmtId="0" fontId="0" fillId="0" borderId="1" xfId="0" applyBorder="1"/>
    <xf numFmtId="0" fontId="12" fillId="0" borderId="1" xfId="10" applyBorder="1" applyAlignment="1" applyProtection="1"/>
    <xf numFmtId="0" fontId="0" fillId="0" borderId="72" xfId="0" applyBorder="1"/>
    <xf numFmtId="0" fontId="36" fillId="0" borderId="0" xfId="0" applyFont="1" applyAlignment="1">
      <alignment horizontal="center"/>
    </xf>
    <xf numFmtId="0" fontId="15" fillId="0" borderId="1" xfId="0" applyFont="1" applyBorder="1" applyAlignment="1">
      <alignment horizontal="left"/>
    </xf>
    <xf numFmtId="9" fontId="0" fillId="0" borderId="72" xfId="0" applyNumberFormat="1" applyBorder="1"/>
    <xf numFmtId="0" fontId="15" fillId="0" borderId="78" xfId="20" applyFont="1" applyBorder="1"/>
    <xf numFmtId="0" fontId="15" fillId="0" borderId="72" xfId="0" applyFont="1" applyBorder="1" applyAlignment="1">
      <alignment horizontal="left"/>
    </xf>
    <xf numFmtId="0" fontId="10" fillId="0" borderId="0" xfId="20"/>
    <xf numFmtId="0" fontId="36" fillId="0" borderId="0" xfId="20" applyFont="1"/>
    <xf numFmtId="0" fontId="15" fillId="0" borderId="16" xfId="20" applyFont="1" applyBorder="1"/>
    <xf numFmtId="0" fontId="15" fillId="0" borderId="72" xfId="20" applyFont="1" applyBorder="1" applyAlignment="1">
      <alignment horizontal="left"/>
    </xf>
    <xf numFmtId="0" fontId="15" fillId="0" borderId="72" xfId="20" applyFont="1" applyBorder="1"/>
    <xf numFmtId="9" fontId="10" fillId="0" borderId="72" xfId="20" applyNumberFormat="1" applyBorder="1"/>
    <xf numFmtId="170" fontId="39" fillId="5" borderId="0" xfId="15" applyNumberFormat="1" applyFont="1" applyFill="1"/>
    <xf numFmtId="0" fontId="15" fillId="0" borderId="78" xfId="0" applyFont="1" applyBorder="1"/>
    <xf numFmtId="2" fontId="0" fillId="0" borderId="0" xfId="0" applyNumberFormat="1"/>
    <xf numFmtId="0" fontId="10" fillId="0" borderId="0" xfId="0" applyFont="1" applyAlignment="1">
      <alignment horizontal="left" indent="1"/>
    </xf>
    <xf numFmtId="0" fontId="15" fillId="0" borderId="0" xfId="0" applyFont="1"/>
    <xf numFmtId="9" fontId="0" fillId="7" borderId="0" xfId="0" applyNumberFormat="1" applyFill="1"/>
    <xf numFmtId="170" fontId="39" fillId="5" borderId="0" xfId="0" applyNumberFormat="1" applyFont="1" applyFill="1" applyAlignment="1">
      <alignment horizontal="center"/>
    </xf>
    <xf numFmtId="0" fontId="10" fillId="0" borderId="0" xfId="24" applyAlignment="1">
      <alignment horizontal="center"/>
    </xf>
    <xf numFmtId="0" fontId="10" fillId="0" borderId="0" xfId="24"/>
    <xf numFmtId="0" fontId="15" fillId="0" borderId="0" xfId="24" applyFont="1" applyAlignment="1">
      <alignment horizontal="center"/>
    </xf>
    <xf numFmtId="0" fontId="11" fillId="0" borderId="0" xfId="24" applyFont="1"/>
    <xf numFmtId="0" fontId="57" fillId="0" borderId="0" xfId="24" applyFont="1"/>
    <xf numFmtId="0" fontId="58" fillId="0" borderId="0" xfId="24" applyFont="1"/>
    <xf numFmtId="3" fontId="58" fillId="0" borderId="0" xfId="24" applyNumberFormat="1" applyFont="1"/>
    <xf numFmtId="0" fontId="30" fillId="0" borderId="0" xfId="24" applyFont="1" applyAlignment="1">
      <alignment horizontal="left"/>
    </xf>
    <xf numFmtId="0" fontId="30" fillId="0" borderId="0" xfId="24" applyFont="1" applyAlignment="1">
      <alignment horizontal="center"/>
    </xf>
    <xf numFmtId="3" fontId="10" fillId="0" borderId="0" xfId="24" applyNumberFormat="1" applyAlignment="1">
      <alignment horizontal="center"/>
    </xf>
    <xf numFmtId="170" fontId="10" fillId="0" borderId="0" xfId="15" applyNumberFormat="1" applyFont="1" applyAlignment="1">
      <alignment horizontal="center"/>
    </xf>
    <xf numFmtId="9" fontId="10" fillId="0" borderId="0" xfId="15" applyFont="1" applyAlignment="1">
      <alignment horizontal="center"/>
    </xf>
    <xf numFmtId="9" fontId="10" fillId="0" borderId="0" xfId="15" applyFont="1" applyBorder="1" applyAlignment="1">
      <alignment horizontal="center"/>
    </xf>
    <xf numFmtId="0" fontId="59" fillId="0" borderId="0" xfId="24" applyFont="1"/>
    <xf numFmtId="9" fontId="56" fillId="0" borderId="0" xfId="15" applyFont="1" applyAlignment="1">
      <alignment horizontal="center"/>
    </xf>
    <xf numFmtId="0" fontId="58" fillId="0" borderId="84" xfId="24" applyFont="1" applyBorder="1"/>
    <xf numFmtId="3" fontId="10" fillId="0" borderId="85" xfId="24" applyNumberFormat="1" applyBorder="1" applyAlignment="1">
      <alignment horizontal="center"/>
    </xf>
    <xf numFmtId="0" fontId="58" fillId="0" borderId="86" xfId="24" applyFont="1" applyBorder="1"/>
    <xf numFmtId="3" fontId="10" fillId="0" borderId="72" xfId="24" applyNumberFormat="1" applyBorder="1" applyAlignment="1">
      <alignment horizontal="center"/>
    </xf>
    <xf numFmtId="0" fontId="58" fillId="15" borderId="0" xfId="24" applyFont="1" applyFill="1"/>
    <xf numFmtId="3" fontId="10" fillId="15" borderId="0" xfId="24" applyNumberFormat="1" applyFill="1" applyAlignment="1">
      <alignment horizontal="center"/>
    </xf>
    <xf numFmtId="0" fontId="58" fillId="16" borderId="0" xfId="24" applyFont="1" applyFill="1"/>
    <xf numFmtId="3" fontId="10" fillId="16" borderId="0" xfId="24" applyNumberFormat="1" applyFill="1" applyAlignment="1">
      <alignment horizontal="center"/>
    </xf>
    <xf numFmtId="0" fontId="58" fillId="0" borderId="0" xfId="24" applyFont="1" applyAlignment="1">
      <alignment horizontal="left"/>
    </xf>
    <xf numFmtId="0" fontId="30" fillId="0" borderId="0" xfId="24" applyFont="1"/>
    <xf numFmtId="0" fontId="15" fillId="0" borderId="0" xfId="24" applyFont="1"/>
    <xf numFmtId="3" fontId="15" fillId="0" borderId="0" xfId="24" applyNumberFormat="1" applyFont="1" applyAlignment="1">
      <alignment horizontal="center"/>
    </xf>
    <xf numFmtId="0" fontId="60" fillId="0" borderId="0" xfId="24" applyFont="1"/>
    <xf numFmtId="171" fontId="58" fillId="0" borderId="0" xfId="24" applyNumberFormat="1" applyFont="1" applyAlignment="1">
      <alignment horizontal="center"/>
    </xf>
    <xf numFmtId="171" fontId="10" fillId="0" borderId="0" xfId="24" applyNumberFormat="1" applyAlignment="1">
      <alignment horizontal="center"/>
    </xf>
    <xf numFmtId="2" fontId="10" fillId="0" borderId="0" xfId="15" applyNumberFormat="1" applyFont="1" applyAlignment="1">
      <alignment horizontal="center"/>
    </xf>
    <xf numFmtId="0" fontId="61" fillId="0" borderId="0" xfId="24" applyFont="1"/>
    <xf numFmtId="3" fontId="61" fillId="0" borderId="0" xfId="24" applyNumberFormat="1" applyFont="1" applyAlignment="1">
      <alignment horizontal="center"/>
    </xf>
    <xf numFmtId="0" fontId="32" fillId="0" borderId="0" xfId="24" applyFont="1"/>
    <xf numFmtId="0" fontId="61" fillId="17" borderId="0" xfId="24" applyFont="1" applyFill="1"/>
    <xf numFmtId="3" fontId="61" fillId="17" borderId="0" xfId="24" applyNumberFormat="1" applyFont="1" applyFill="1" applyAlignment="1">
      <alignment horizontal="center"/>
    </xf>
    <xf numFmtId="3" fontId="61" fillId="0" borderId="0" xfId="24" applyNumberFormat="1" applyFont="1"/>
    <xf numFmtId="172" fontId="32" fillId="0" borderId="0" xfId="24" applyNumberFormat="1" applyFont="1" applyAlignment="1">
      <alignment horizontal="center"/>
    </xf>
    <xf numFmtId="3" fontId="32" fillId="0" borderId="0" xfId="24" applyNumberFormat="1" applyFont="1" applyAlignment="1">
      <alignment horizontal="center"/>
    </xf>
    <xf numFmtId="3" fontId="32" fillId="0" borderId="0" xfId="24" applyNumberFormat="1" applyFont="1"/>
    <xf numFmtId="172" fontId="61" fillId="17" borderId="0" xfId="24" applyNumberFormat="1" applyFont="1" applyFill="1" applyAlignment="1">
      <alignment horizontal="left"/>
    </xf>
    <xf numFmtId="0" fontId="61" fillId="15" borderId="0" xfId="24" applyFont="1" applyFill="1"/>
    <xf numFmtId="3" fontId="32" fillId="17" borderId="0" xfId="24" applyNumberFormat="1" applyFont="1" applyFill="1" applyAlignment="1">
      <alignment horizontal="center"/>
    </xf>
    <xf numFmtId="0" fontId="32" fillId="17" borderId="0" xfId="24" applyFont="1" applyFill="1"/>
    <xf numFmtId="0" fontId="11" fillId="0" borderId="0" xfId="0" applyFont="1" applyAlignment="1">
      <alignment horizontal="center"/>
    </xf>
    <xf numFmtId="10" fontId="0" fillId="0" borderId="0" xfId="0" applyNumberFormat="1"/>
    <xf numFmtId="4" fontId="0" fillId="0" borderId="0" xfId="0" applyNumberFormat="1" applyAlignment="1">
      <alignment horizontal="center"/>
    </xf>
    <xf numFmtId="10" fontId="10" fillId="0" borderId="0" xfId="0" applyNumberFormat="1" applyFont="1"/>
    <xf numFmtId="10" fontId="0" fillId="0" borderId="85" xfId="0" applyNumberFormat="1" applyBorder="1" applyAlignment="1">
      <alignment horizontal="center"/>
    </xf>
    <xf numFmtId="10" fontId="0" fillId="0" borderId="87" xfId="0" applyNumberFormat="1" applyBorder="1" applyAlignment="1">
      <alignment horizontal="center"/>
    </xf>
    <xf numFmtId="164" fontId="0" fillId="0" borderId="0" xfId="0" applyNumberFormat="1" applyAlignment="1">
      <alignment horizontal="center"/>
    </xf>
    <xf numFmtId="164" fontId="10" fillId="0" borderId="88" xfId="0" applyNumberFormat="1" applyFont="1" applyBorder="1" applyAlignment="1">
      <alignment horizontal="center"/>
    </xf>
    <xf numFmtId="164" fontId="0" fillId="0" borderId="72" xfId="0" applyNumberFormat="1" applyBorder="1" applyAlignment="1">
      <alignment horizontal="center"/>
    </xf>
    <xf numFmtId="164" fontId="10" fillId="0" borderId="89" xfId="0" applyNumberFormat="1" applyFont="1" applyBorder="1" applyAlignment="1">
      <alignment horizontal="center"/>
    </xf>
    <xf numFmtId="165" fontId="15" fillId="0" borderId="0" xfId="0" applyNumberFormat="1" applyFont="1" applyAlignment="1">
      <alignment horizontal="center"/>
    </xf>
    <xf numFmtId="0" fontId="10" fillId="0" borderId="84" xfId="0" applyFont="1" applyBorder="1" applyAlignment="1">
      <alignment horizontal="center"/>
    </xf>
    <xf numFmtId="4" fontId="0" fillId="0" borderId="0" xfId="0" applyNumberFormat="1"/>
    <xf numFmtId="0" fontId="0" fillId="0" borderId="0" xfId="15" applyNumberFormat="1" applyFont="1" applyAlignment="1">
      <alignment horizontal="center"/>
    </xf>
    <xf numFmtId="170" fontId="0" fillId="0" borderId="0" xfId="0" applyNumberFormat="1"/>
    <xf numFmtId="3" fontId="0" fillId="0" borderId="0" xfId="15" applyNumberFormat="1" applyFont="1" applyAlignment="1">
      <alignment horizontal="center"/>
    </xf>
    <xf numFmtId="2" fontId="7" fillId="0" borderId="0" xfId="32" applyNumberFormat="1" applyAlignment="1">
      <alignment horizontal="center"/>
    </xf>
    <xf numFmtId="0" fontId="58" fillId="0" borderId="0" xfId="24" applyFont="1" applyAlignment="1">
      <alignment horizontal="center"/>
    </xf>
    <xf numFmtId="0" fontId="61" fillId="0" borderId="0" xfId="24" applyFont="1" applyAlignment="1">
      <alignment horizontal="center"/>
    </xf>
    <xf numFmtId="0" fontId="32" fillId="0" borderId="0" xfId="24" applyFont="1" applyAlignment="1">
      <alignment horizontal="center"/>
    </xf>
    <xf numFmtId="0" fontId="15" fillId="18" borderId="34" xfId="0" applyFont="1" applyFill="1" applyBorder="1" applyAlignment="1">
      <alignment horizontal="center"/>
    </xf>
    <xf numFmtId="169" fontId="10" fillId="18" borderId="30" xfId="0" applyNumberFormat="1" applyFont="1" applyFill="1" applyBorder="1" applyAlignment="1">
      <alignment horizontal="center"/>
    </xf>
    <xf numFmtId="169" fontId="48" fillId="18" borderId="30" xfId="0" applyNumberFormat="1" applyFont="1" applyFill="1" applyBorder="1" applyAlignment="1">
      <alignment horizontal="center"/>
    </xf>
    <xf numFmtId="9" fontId="48" fillId="18" borderId="30" xfId="15" applyFont="1" applyFill="1" applyBorder="1" applyAlignment="1">
      <alignment horizontal="center"/>
    </xf>
    <xf numFmtId="169" fontId="10" fillId="0" borderId="35" xfId="0" applyNumberFormat="1" applyFont="1" applyBorder="1" applyAlignment="1">
      <alignment horizontal="center"/>
    </xf>
    <xf numFmtId="169" fontId="15" fillId="0" borderId="30" xfId="0" applyNumberFormat="1" applyFont="1" applyBorder="1" applyAlignment="1">
      <alignment horizontal="center"/>
    </xf>
    <xf numFmtId="169" fontId="15" fillId="0" borderId="35" xfId="0" applyNumberFormat="1" applyFont="1" applyBorder="1" applyAlignment="1">
      <alignment horizontal="center"/>
    </xf>
    <xf numFmtId="0" fontId="0" fillId="0" borderId="30" xfId="0" applyBorder="1"/>
    <xf numFmtId="9" fontId="10" fillId="0" borderId="30" xfId="26" applyBorder="1" applyAlignment="1">
      <alignment horizontal="center"/>
    </xf>
    <xf numFmtId="170" fontId="10" fillId="0" borderId="35" xfId="26" applyNumberFormat="1" applyBorder="1" applyAlignment="1">
      <alignment horizontal="center"/>
    </xf>
    <xf numFmtId="171" fontId="0" fillId="0" borderId="30" xfId="0" applyNumberFormat="1" applyBorder="1" applyAlignment="1">
      <alignment horizontal="center"/>
    </xf>
    <xf numFmtId="171" fontId="0" fillId="0" borderId="35" xfId="0" applyNumberFormat="1" applyBorder="1" applyAlignment="1">
      <alignment horizontal="center"/>
    </xf>
    <xf numFmtId="0" fontId="45" fillId="4" borderId="0" xfId="0" applyFont="1" applyFill="1" applyAlignment="1">
      <alignment horizontal="center"/>
    </xf>
    <xf numFmtId="9" fontId="27" fillId="0" borderId="0" xfId="15" applyFont="1" applyBorder="1"/>
    <xf numFmtId="9" fontId="10" fillId="0" borderId="0" xfId="15" applyFont="1" applyBorder="1"/>
    <xf numFmtId="9" fontId="15" fillId="0" borderId="0" xfId="15" applyFont="1" applyBorder="1"/>
    <xf numFmtId="9" fontId="27" fillId="0" borderId="0" xfId="15" applyFont="1" applyBorder="1" applyAlignment="1">
      <alignment horizontal="right"/>
    </xf>
    <xf numFmtId="10" fontId="10" fillId="0" borderId="49" xfId="0" applyNumberFormat="1" applyFont="1" applyBorder="1" applyAlignment="1">
      <alignment horizontal="center" vertical="center"/>
    </xf>
    <xf numFmtId="170" fontId="10" fillId="18" borderId="30" xfId="15" applyNumberFormat="1" applyFont="1" applyFill="1" applyBorder="1" applyAlignment="1">
      <alignment horizontal="center"/>
    </xf>
    <xf numFmtId="0" fontId="6" fillId="0" borderId="0" xfId="33"/>
    <xf numFmtId="0" fontId="6" fillId="0" borderId="0" xfId="33" applyAlignment="1">
      <alignment horizontal="center"/>
    </xf>
    <xf numFmtId="0" fontId="15" fillId="0" borderId="0" xfId="33" applyFont="1" applyAlignment="1">
      <alignment horizontal="left"/>
    </xf>
    <xf numFmtId="0" fontId="62" fillId="0" borderId="90" xfId="33" applyFont="1" applyBorder="1"/>
    <xf numFmtId="0" fontId="63" fillId="0" borderId="90" xfId="33" applyFont="1" applyBorder="1"/>
    <xf numFmtId="170" fontId="15" fillId="0" borderId="90" xfId="34" applyNumberFormat="1" applyFont="1" applyBorder="1" applyAlignment="1">
      <alignment horizontal="center"/>
    </xf>
    <xf numFmtId="0" fontId="15" fillId="0" borderId="90" xfId="33" applyFont="1" applyBorder="1" applyAlignment="1">
      <alignment horizontal="center"/>
    </xf>
    <xf numFmtId="0" fontId="15" fillId="0" borderId="90" xfId="33" applyFont="1" applyBorder="1" applyAlignment="1">
      <alignment horizontal="center" vertical="center"/>
    </xf>
    <xf numFmtId="0" fontId="15" fillId="19" borderId="90" xfId="33" applyFont="1" applyFill="1" applyBorder="1"/>
    <xf numFmtId="170" fontId="37" fillId="20" borderId="90" xfId="34" applyNumberFormat="1" applyFont="1" applyFill="1" applyBorder="1" applyAlignment="1">
      <alignment horizontal="center"/>
    </xf>
    <xf numFmtId="170" fontId="10" fillId="0" borderId="90" xfId="33" applyNumberFormat="1" applyFont="1" applyBorder="1" applyAlignment="1">
      <alignment horizontal="center"/>
    </xf>
    <xf numFmtId="170" fontId="10" fillId="0" borderId="0" xfId="33" applyNumberFormat="1" applyFont="1" applyAlignment="1">
      <alignment horizontal="center"/>
    </xf>
    <xf numFmtId="0" fontId="37" fillId="0" borderId="0" xfId="33" applyFont="1"/>
    <xf numFmtId="169" fontId="10" fillId="19" borderId="90" xfId="33" applyNumberFormat="1" applyFont="1" applyFill="1" applyBorder="1"/>
    <xf numFmtId="169" fontId="6" fillId="20" borderId="90" xfId="34" applyNumberFormat="1" applyFill="1" applyBorder="1" applyAlignment="1">
      <alignment horizontal="center"/>
    </xf>
    <xf numFmtId="169" fontId="6" fillId="0" borderId="90" xfId="33" applyNumberFormat="1" applyBorder="1" applyAlignment="1">
      <alignment horizontal="center"/>
    </xf>
    <xf numFmtId="169" fontId="6" fillId="0" borderId="0" xfId="33" applyNumberFormat="1"/>
    <xf numFmtId="170" fontId="37" fillId="20" borderId="90" xfId="35" applyNumberFormat="1" applyFont="1" applyFill="1" applyBorder="1" applyAlignment="1">
      <alignment horizontal="center"/>
    </xf>
    <xf numFmtId="0" fontId="10" fillId="0" borderId="90" xfId="33" applyFont="1" applyBorder="1"/>
    <xf numFmtId="169" fontId="6" fillId="0" borderId="0" xfId="33" applyNumberFormat="1" applyAlignment="1">
      <alignment horizontal="center"/>
    </xf>
    <xf numFmtId="0" fontId="10" fillId="19" borderId="90" xfId="33" applyFont="1" applyFill="1" applyBorder="1"/>
    <xf numFmtId="169" fontId="10" fillId="0" borderId="90" xfId="33" applyNumberFormat="1" applyFont="1" applyBorder="1"/>
    <xf numFmtId="169" fontId="6" fillId="20" borderId="90" xfId="33" applyNumberFormat="1" applyFill="1" applyBorder="1" applyAlignment="1">
      <alignment horizontal="center"/>
    </xf>
    <xf numFmtId="169" fontId="10" fillId="0" borderId="90" xfId="33" applyNumberFormat="1" applyFont="1" applyBorder="1" applyAlignment="1">
      <alignment horizontal="center"/>
    </xf>
    <xf numFmtId="169" fontId="65" fillId="20" borderId="90" xfId="33" applyNumberFormat="1" applyFont="1" applyFill="1" applyBorder="1" applyAlignment="1">
      <alignment horizontal="center"/>
    </xf>
    <xf numFmtId="169" fontId="10" fillId="15" borderId="0" xfId="33" applyNumberFormat="1" applyFont="1" applyFill="1"/>
    <xf numFmtId="169" fontId="6" fillId="15" borderId="0" xfId="33" applyNumberFormat="1" applyFill="1" applyAlignment="1">
      <alignment horizontal="center"/>
    </xf>
    <xf numFmtId="169" fontId="10" fillId="15" borderId="0" xfId="33" applyNumberFormat="1" applyFont="1" applyFill="1" applyAlignment="1">
      <alignment horizontal="center"/>
    </xf>
    <xf numFmtId="169" fontId="10" fillId="19" borderId="90" xfId="33" applyNumberFormat="1" applyFont="1" applyFill="1" applyBorder="1" applyAlignment="1">
      <alignment vertical="center"/>
    </xf>
    <xf numFmtId="169" fontId="65" fillId="7" borderId="90" xfId="33" applyNumberFormat="1" applyFont="1" applyFill="1" applyBorder="1" applyAlignment="1">
      <alignment horizontal="center" vertical="center"/>
    </xf>
    <xf numFmtId="169" fontId="64" fillId="0" borderId="90" xfId="33" applyNumberFormat="1" applyFont="1" applyBorder="1" applyAlignment="1">
      <alignment horizontal="center" vertical="center"/>
    </xf>
    <xf numFmtId="169" fontId="65" fillId="7" borderId="90" xfId="33" applyNumberFormat="1" applyFont="1" applyFill="1" applyBorder="1" applyAlignment="1">
      <alignment horizontal="center"/>
    </xf>
    <xf numFmtId="169" fontId="15" fillId="16" borderId="90" xfId="33" quotePrefix="1" applyNumberFormat="1" applyFont="1" applyFill="1" applyBorder="1" applyAlignment="1">
      <alignment vertical="center"/>
    </xf>
    <xf numFmtId="169" fontId="6" fillId="16" borderId="90" xfId="33" applyNumberFormat="1" applyFill="1" applyBorder="1" applyAlignment="1">
      <alignment horizontal="center"/>
    </xf>
    <xf numFmtId="169" fontId="65" fillId="0" borderId="90" xfId="33" applyNumberFormat="1" applyFont="1" applyBorder="1" applyAlignment="1">
      <alignment horizontal="center"/>
    </xf>
    <xf numFmtId="169" fontId="65" fillId="16" borderId="90" xfId="33" applyNumberFormat="1" applyFont="1" applyFill="1" applyBorder="1" applyAlignment="1">
      <alignment horizontal="center"/>
    </xf>
    <xf numFmtId="169" fontId="6" fillId="7" borderId="90" xfId="33" applyNumberFormat="1" applyFill="1" applyBorder="1" applyAlignment="1">
      <alignment horizontal="center"/>
    </xf>
    <xf numFmtId="0" fontId="10" fillId="0" borderId="0" xfId="33" applyFont="1"/>
    <xf numFmtId="169" fontId="10" fillId="19" borderId="90" xfId="33" applyNumberFormat="1" applyFont="1" applyFill="1" applyBorder="1" applyAlignment="1">
      <alignment horizontal="left" vertical="center"/>
    </xf>
    <xf numFmtId="169" fontId="66" fillId="7" borderId="90" xfId="33" applyNumberFormat="1" applyFont="1" applyFill="1" applyBorder="1" applyAlignment="1">
      <alignment horizontal="center"/>
    </xf>
    <xf numFmtId="168" fontId="6" fillId="0" borderId="90" xfId="33" applyNumberFormat="1" applyBorder="1" applyAlignment="1">
      <alignment horizontal="center"/>
    </xf>
    <xf numFmtId="169" fontId="64" fillId="0" borderId="90" xfId="33" applyNumberFormat="1" applyFont="1" applyBorder="1" applyAlignment="1">
      <alignment horizontal="center"/>
    </xf>
    <xf numFmtId="0" fontId="62" fillId="0" borderId="90" xfId="33" applyFont="1" applyBorder="1" applyAlignment="1">
      <alignment vertical="center"/>
    </xf>
    <xf numFmtId="169" fontId="6" fillId="7" borderId="90" xfId="33" applyNumberFormat="1" applyFill="1" applyBorder="1" applyAlignment="1">
      <alignment horizontal="center" vertical="center"/>
    </xf>
    <xf numFmtId="169" fontId="66" fillId="0" borderId="90" xfId="36" applyNumberFormat="1" applyFont="1" applyBorder="1" applyAlignment="1">
      <alignment horizontal="center" vertical="center"/>
    </xf>
    <xf numFmtId="169" fontId="0" fillId="0" borderId="90" xfId="36" applyNumberFormat="1" applyFont="1" applyBorder="1" applyAlignment="1">
      <alignment horizontal="center" vertical="center"/>
    </xf>
    <xf numFmtId="169" fontId="66" fillId="7" borderId="90" xfId="33" applyNumberFormat="1" applyFont="1" applyFill="1" applyBorder="1" applyAlignment="1">
      <alignment horizontal="center" vertical="center"/>
    </xf>
    <xf numFmtId="169" fontId="65" fillId="0" borderId="90" xfId="36" applyNumberFormat="1" applyFont="1" applyBorder="1" applyAlignment="1">
      <alignment horizontal="center" vertical="center"/>
    </xf>
    <xf numFmtId="0" fontId="15" fillId="0" borderId="87" xfId="33" applyFont="1" applyBorder="1" applyAlignment="1">
      <alignment horizontal="center" vertical="center"/>
    </xf>
    <xf numFmtId="0" fontId="15" fillId="0" borderId="89" xfId="33" applyFont="1" applyBorder="1" applyAlignment="1">
      <alignment horizontal="center" vertical="center"/>
    </xf>
    <xf numFmtId="0" fontId="6" fillId="0" borderId="90" xfId="33" applyBorder="1"/>
    <xf numFmtId="0" fontId="15" fillId="0" borderId="0" xfId="33" applyFont="1" applyAlignment="1">
      <alignment horizontal="center" vertical="center"/>
    </xf>
    <xf numFmtId="4" fontId="6" fillId="0" borderId="90" xfId="33" applyNumberFormat="1" applyBorder="1" applyAlignment="1">
      <alignment horizontal="center"/>
    </xf>
    <xf numFmtId="0" fontId="6" fillId="15" borderId="0" xfId="33" applyFill="1"/>
    <xf numFmtId="169" fontId="6" fillId="15" borderId="0" xfId="33" applyNumberFormat="1" applyFill="1"/>
    <xf numFmtId="0" fontId="6" fillId="15" borderId="0" xfId="33" applyFill="1" applyAlignment="1">
      <alignment horizontal="center"/>
    </xf>
    <xf numFmtId="0" fontId="6" fillId="0" borderId="84" xfId="33" applyBorder="1"/>
    <xf numFmtId="167" fontId="6" fillId="0" borderId="85" xfId="33" applyNumberFormat="1" applyBorder="1" applyAlignment="1">
      <alignment horizontal="center"/>
    </xf>
    <xf numFmtId="169" fontId="62" fillId="0" borderId="85" xfId="33" applyNumberFormat="1" applyFont="1" applyBorder="1" applyAlignment="1">
      <alignment horizontal="center"/>
    </xf>
    <xf numFmtId="166" fontId="6" fillId="0" borderId="87" xfId="22" applyFont="1" applyBorder="1" applyAlignment="1">
      <alignment horizontal="center" vertical="center"/>
    </xf>
    <xf numFmtId="0" fontId="6" fillId="0" borderId="5" xfId="33" applyBorder="1"/>
    <xf numFmtId="167" fontId="37" fillId="4" borderId="0" xfId="24" applyNumberFormat="1" applyFont="1" applyFill="1" applyAlignment="1">
      <alignment horizontal="center"/>
    </xf>
    <xf numFmtId="167" fontId="37" fillId="4" borderId="88" xfId="24" applyNumberFormat="1" applyFont="1" applyFill="1" applyBorder="1" applyAlignment="1">
      <alignment horizontal="center"/>
    </xf>
    <xf numFmtId="0" fontId="6" fillId="0" borderId="86" xfId="33" applyBorder="1"/>
    <xf numFmtId="169" fontId="6" fillId="0" borderId="72" xfId="33" applyNumberFormat="1" applyBorder="1"/>
    <xf numFmtId="2" fontId="6" fillId="0" borderId="72" xfId="33" applyNumberFormat="1" applyBorder="1" applyAlignment="1">
      <alignment horizontal="center"/>
    </xf>
    <xf numFmtId="2" fontId="6" fillId="0" borderId="89" xfId="33" applyNumberFormat="1" applyBorder="1" applyAlignment="1">
      <alignment horizontal="center"/>
    </xf>
    <xf numFmtId="0" fontId="62" fillId="0" borderId="87" xfId="33" applyFont="1" applyBorder="1" applyAlignment="1">
      <alignment horizontal="center"/>
    </xf>
    <xf numFmtId="0" fontId="62" fillId="0" borderId="86" xfId="33" applyFont="1" applyBorder="1"/>
    <xf numFmtId="10" fontId="0" fillId="0" borderId="72" xfId="36" applyNumberFormat="1" applyFont="1" applyBorder="1" applyAlignment="1">
      <alignment horizontal="center"/>
    </xf>
    <xf numFmtId="10" fontId="0" fillId="0" borderId="89" xfId="36" applyNumberFormat="1" applyFont="1" applyBorder="1" applyAlignment="1">
      <alignment horizontal="center"/>
    </xf>
    <xf numFmtId="167" fontId="6" fillId="0" borderId="0" xfId="33" applyNumberFormat="1"/>
    <xf numFmtId="10" fontId="0" fillId="0" borderId="0" xfId="36" applyNumberFormat="1" applyFont="1"/>
    <xf numFmtId="10" fontId="10" fillId="0" borderId="0" xfId="36" applyNumberFormat="1" applyFont="1"/>
    <xf numFmtId="0" fontId="62" fillId="0" borderId="85" xfId="33" applyFont="1" applyBorder="1" applyAlignment="1">
      <alignment horizontal="center"/>
    </xf>
    <xf numFmtId="0" fontId="6" fillId="0" borderId="3" xfId="33" applyBorder="1"/>
    <xf numFmtId="10" fontId="0" fillId="0" borderId="85" xfId="36" applyNumberFormat="1" applyFont="1" applyBorder="1" applyAlignment="1">
      <alignment horizontal="center"/>
    </xf>
    <xf numFmtId="169" fontId="6" fillId="0" borderId="87" xfId="33" applyNumberFormat="1" applyBorder="1" applyAlignment="1">
      <alignment horizontal="left"/>
    </xf>
    <xf numFmtId="9" fontId="6" fillId="0" borderId="0" xfId="15" applyFont="1" applyAlignment="1">
      <alignment horizontal="center"/>
    </xf>
    <xf numFmtId="0" fontId="6" fillId="0" borderId="4" xfId="33" applyBorder="1"/>
    <xf numFmtId="10" fontId="0" fillId="0" borderId="0" xfId="36" applyNumberFormat="1" applyFont="1" applyBorder="1" applyAlignment="1">
      <alignment horizontal="center"/>
    </xf>
    <xf numFmtId="169" fontId="6" fillId="0" borderId="88" xfId="33" applyNumberFormat="1" applyBorder="1" applyAlignment="1">
      <alignment horizontal="left"/>
    </xf>
    <xf numFmtId="170" fontId="6" fillId="0" borderId="0" xfId="15" applyNumberFormat="1" applyFont="1" applyAlignment="1">
      <alignment horizontal="center"/>
    </xf>
    <xf numFmtId="0" fontId="6" fillId="0" borderId="88" xfId="33" applyBorder="1" applyAlignment="1">
      <alignment horizontal="left"/>
    </xf>
    <xf numFmtId="0" fontId="6" fillId="0" borderId="2" xfId="33" applyBorder="1"/>
    <xf numFmtId="169" fontId="6" fillId="0" borderId="89" xfId="33" applyNumberFormat="1" applyBorder="1" applyAlignment="1">
      <alignment horizontal="left"/>
    </xf>
    <xf numFmtId="0" fontId="6" fillId="0" borderId="90" xfId="33" applyBorder="1" applyAlignment="1">
      <alignment horizontal="center"/>
    </xf>
    <xf numFmtId="9" fontId="0" fillId="0" borderId="90" xfId="36" applyFont="1" applyBorder="1" applyAlignment="1">
      <alignment horizontal="center"/>
    </xf>
    <xf numFmtId="0" fontId="6" fillId="0" borderId="0" xfId="33" applyAlignment="1">
      <alignment horizontal="left"/>
    </xf>
    <xf numFmtId="0" fontId="62" fillId="0" borderId="91" xfId="33" applyFont="1" applyBorder="1"/>
    <xf numFmtId="0" fontId="62" fillId="0" borderId="92" xfId="33" applyFont="1" applyBorder="1"/>
    <xf numFmtId="167" fontId="62" fillId="0" borderId="1" xfId="33" applyNumberFormat="1" applyFont="1" applyBorder="1" applyAlignment="1">
      <alignment horizontal="center"/>
    </xf>
    <xf numFmtId="0" fontId="6" fillId="0" borderId="92" xfId="33" applyBorder="1"/>
    <xf numFmtId="10" fontId="6" fillId="0" borderId="0" xfId="33" applyNumberFormat="1"/>
    <xf numFmtId="170" fontId="6" fillId="0" borderId="0" xfId="15" applyNumberFormat="1" applyFont="1"/>
    <xf numFmtId="2" fontId="6" fillId="0" borderId="0" xfId="33" applyNumberFormat="1" applyAlignment="1">
      <alignment horizontal="center"/>
    </xf>
    <xf numFmtId="167" fontId="6" fillId="0" borderId="0" xfId="33" applyNumberFormat="1" applyAlignment="1">
      <alignment horizontal="center"/>
    </xf>
    <xf numFmtId="169" fontId="65" fillId="20" borderId="90" xfId="34" applyNumberFormat="1" applyFont="1" applyFill="1" applyBorder="1" applyAlignment="1">
      <alignment horizontal="center"/>
    </xf>
    <xf numFmtId="169" fontId="10" fillId="20" borderId="90" xfId="33" applyNumberFormat="1" applyFont="1" applyFill="1" applyBorder="1" applyAlignment="1">
      <alignment horizontal="center"/>
    </xf>
    <xf numFmtId="0" fontId="58" fillId="0" borderId="5" xfId="24" applyFont="1" applyBorder="1"/>
    <xf numFmtId="170" fontId="10" fillId="0" borderId="0" xfId="15" applyNumberFormat="1" applyFont="1" applyBorder="1" applyAlignment="1">
      <alignment horizontal="center"/>
    </xf>
    <xf numFmtId="165" fontId="61" fillId="0" borderId="0" xfId="24" applyNumberFormat="1" applyFont="1"/>
    <xf numFmtId="3" fontId="67" fillId="0" borderId="0" xfId="24" applyNumberFormat="1" applyFont="1"/>
    <xf numFmtId="9" fontId="61" fillId="0" borderId="0" xfId="24" applyNumberFormat="1" applyFont="1"/>
    <xf numFmtId="173" fontId="61" fillId="0" borderId="0" xfId="24" applyNumberFormat="1" applyFont="1" applyAlignment="1">
      <alignment horizontal="center"/>
    </xf>
    <xf numFmtId="4" fontId="61" fillId="0" borderId="0" xfId="24" applyNumberFormat="1" applyFont="1"/>
    <xf numFmtId="170" fontId="61" fillId="17" borderId="0" xfId="15" applyNumberFormat="1" applyFont="1" applyFill="1" applyAlignment="1">
      <alignment horizontal="center"/>
    </xf>
    <xf numFmtId="9" fontId="61" fillId="0" borderId="0" xfId="15" applyFont="1" applyFill="1" applyBorder="1" applyAlignment="1">
      <alignment horizontal="center"/>
    </xf>
    <xf numFmtId="9" fontId="32" fillId="0" borderId="0" xfId="15" applyFont="1" applyFill="1" applyBorder="1" applyAlignment="1">
      <alignment horizontal="center"/>
    </xf>
    <xf numFmtId="170" fontId="32" fillId="0" borderId="0" xfId="15" applyNumberFormat="1" applyFont="1" applyFill="1" applyBorder="1" applyAlignment="1">
      <alignment horizontal="center"/>
    </xf>
    <xf numFmtId="170" fontId="61" fillId="0" borderId="0" xfId="15" applyNumberFormat="1" applyFont="1" applyFill="1" applyBorder="1" applyAlignment="1">
      <alignment horizontal="center"/>
    </xf>
    <xf numFmtId="172" fontId="61" fillId="17" borderId="0" xfId="24" applyNumberFormat="1" applyFont="1" applyFill="1" applyAlignment="1">
      <alignment horizontal="center"/>
    </xf>
    <xf numFmtId="172" fontId="61" fillId="0" borderId="0" xfId="24" applyNumberFormat="1" applyFont="1" applyAlignment="1">
      <alignment horizontal="center"/>
    </xf>
    <xf numFmtId="4" fontId="61" fillId="17" borderId="0" xfId="24" applyNumberFormat="1" applyFont="1" applyFill="1" applyAlignment="1">
      <alignment horizontal="center"/>
    </xf>
    <xf numFmtId="170" fontId="61" fillId="17" borderId="0" xfId="24" applyNumberFormat="1" applyFont="1" applyFill="1" applyAlignment="1">
      <alignment horizontal="center"/>
    </xf>
    <xf numFmtId="43" fontId="6" fillId="0" borderId="0" xfId="37" applyFont="1"/>
    <xf numFmtId="0" fontId="5" fillId="0" borderId="0" xfId="32" applyFont="1"/>
    <xf numFmtId="167" fontId="7" fillId="0" borderId="0" xfId="32" applyNumberFormat="1"/>
    <xf numFmtId="170" fontId="5" fillId="0" borderId="0" xfId="15" applyNumberFormat="1" applyFont="1"/>
    <xf numFmtId="4" fontId="5" fillId="0" borderId="90" xfId="38" applyNumberFormat="1" applyBorder="1" applyAlignment="1">
      <alignment horizontal="center"/>
    </xf>
    <xf numFmtId="4" fontId="5" fillId="0" borderId="85" xfId="38" applyNumberFormat="1" applyBorder="1" applyAlignment="1">
      <alignment horizontal="center"/>
    </xf>
    <xf numFmtId="4" fontId="5" fillId="0" borderId="87" xfId="38" applyNumberFormat="1" applyBorder="1" applyAlignment="1">
      <alignment horizontal="center"/>
    </xf>
    <xf numFmtId="4" fontId="5" fillId="0" borderId="0" xfId="38" applyNumberFormat="1" applyAlignment="1">
      <alignment horizontal="center"/>
    </xf>
    <xf numFmtId="170" fontId="0" fillId="0" borderId="72" xfId="15" applyNumberFormat="1" applyFont="1" applyBorder="1"/>
    <xf numFmtId="170" fontId="39" fillId="5" borderId="1" xfId="15" applyNumberFormat="1" applyFont="1" applyFill="1" applyBorder="1"/>
    <xf numFmtId="170" fontId="10" fillId="0" borderId="0" xfId="15" applyNumberFormat="1" applyFont="1"/>
    <xf numFmtId="170" fontId="10" fillId="0" borderId="0" xfId="20" applyNumberFormat="1"/>
    <xf numFmtId="170" fontId="0" fillId="0" borderId="72" xfId="0" applyNumberFormat="1" applyBorder="1"/>
    <xf numFmtId="170" fontId="10" fillId="0" borderId="0" xfId="0" applyNumberFormat="1" applyFont="1"/>
    <xf numFmtId="0" fontId="4" fillId="0" borderId="0" xfId="33" applyFont="1"/>
    <xf numFmtId="0" fontId="3" fillId="0" borderId="0" xfId="33" applyFont="1"/>
    <xf numFmtId="0" fontId="0" fillId="0" borderId="0" xfId="0" quotePrefix="1"/>
    <xf numFmtId="0" fontId="2" fillId="0" borderId="4" xfId="33" applyFont="1" applyBorder="1"/>
    <xf numFmtId="174" fontId="0" fillId="0" borderId="0" xfId="0" applyNumberFormat="1"/>
    <xf numFmtId="2" fontId="1" fillId="0" borderId="72" xfId="33" applyNumberFormat="1" applyFont="1" applyBorder="1" applyAlignment="1">
      <alignment horizontal="center"/>
    </xf>
    <xf numFmtId="167" fontId="1" fillId="0" borderId="85" xfId="33" applyNumberFormat="1" applyFont="1" applyBorder="1" applyAlignment="1">
      <alignment horizontal="center"/>
    </xf>
    <xf numFmtId="9" fontId="10" fillId="0" borderId="30" xfId="15" applyFont="1" applyFill="1" applyBorder="1" applyAlignment="1">
      <alignment horizontal="center"/>
    </xf>
    <xf numFmtId="0" fontId="14" fillId="0" borderId="46" xfId="0" applyFont="1" applyBorder="1" applyAlignment="1">
      <alignment horizontal="center" vertical="center" wrapText="1"/>
    </xf>
    <xf numFmtId="0" fontId="14" fillId="0" borderId="47" xfId="0" applyFont="1" applyBorder="1" applyAlignment="1">
      <alignment horizontal="center" vertical="center" wrapText="1"/>
    </xf>
    <xf numFmtId="10" fontId="10" fillId="24" borderId="0" xfId="0" applyNumberFormat="1" applyFont="1" applyFill="1"/>
    <xf numFmtId="0" fontId="74" fillId="0" borderId="0" xfId="20" applyFont="1" applyAlignment="1">
      <alignment horizontal="left" wrapText="1" readingOrder="1"/>
    </xf>
    <xf numFmtId="0" fontId="75" fillId="0" borderId="0" xfId="0" applyFont="1" applyAlignment="1">
      <alignment vertical="top" wrapText="1"/>
    </xf>
    <xf numFmtId="0" fontId="70" fillId="0" borderId="0" xfId="0" applyFont="1"/>
    <xf numFmtId="3" fontId="75" fillId="0" borderId="0" xfId="0" applyNumberFormat="1" applyFont="1" applyAlignment="1">
      <alignment vertical="top" wrapText="1"/>
    </xf>
    <xf numFmtId="0" fontId="76" fillId="0" borderId="0" xfId="0" applyFont="1"/>
    <xf numFmtId="0" fontId="76" fillId="0" borderId="0" xfId="0" applyFont="1" applyAlignment="1">
      <alignment horizontal="center"/>
    </xf>
    <xf numFmtId="14" fontId="10" fillId="0" borderId="31" xfId="0" applyNumberFormat="1" applyFont="1" applyBorder="1" applyAlignment="1">
      <alignment horizontal="center" vertical="center" wrapText="1"/>
    </xf>
    <xf numFmtId="3" fontId="6" fillId="0" borderId="90" xfId="33" applyNumberFormat="1" applyBorder="1" applyAlignment="1">
      <alignment horizontal="center"/>
    </xf>
    <xf numFmtId="10" fontId="0" fillId="13" borderId="0" xfId="15" applyNumberFormat="1" applyFont="1" applyFill="1" applyBorder="1" applyAlignment="1">
      <alignment horizontal="center"/>
    </xf>
    <xf numFmtId="10" fontId="0" fillId="14" borderId="0" xfId="15" applyNumberFormat="1" applyFont="1" applyFill="1" applyBorder="1" applyAlignment="1">
      <alignment horizontal="center"/>
    </xf>
    <xf numFmtId="10" fontId="10" fillId="14" borderId="0" xfId="15" applyNumberFormat="1" applyFont="1" applyFill="1" applyBorder="1" applyAlignment="1">
      <alignment horizontal="center"/>
    </xf>
    <xf numFmtId="3" fontId="61" fillId="9" borderId="0" xfId="24" applyNumberFormat="1" applyFont="1" applyFill="1" applyAlignment="1">
      <alignment horizontal="center"/>
    </xf>
    <xf numFmtId="168" fontId="10" fillId="0" borderId="0" xfId="0" applyNumberFormat="1" applyFont="1" applyAlignment="1">
      <alignment horizontal="center"/>
    </xf>
    <xf numFmtId="10" fontId="0" fillId="0" borderId="0" xfId="15" applyNumberFormat="1" applyFont="1" applyAlignment="1">
      <alignment horizontal="center"/>
    </xf>
    <xf numFmtId="10" fontId="10" fillId="0" borderId="0" xfId="15" applyNumberFormat="1" applyFont="1" applyAlignment="1">
      <alignment horizontal="center"/>
    </xf>
    <xf numFmtId="10" fontId="10" fillId="0" borderId="72" xfId="15" applyNumberFormat="1" applyFont="1" applyBorder="1" applyAlignment="1">
      <alignment horizontal="center"/>
    </xf>
    <xf numFmtId="10" fontId="10" fillId="0" borderId="72" xfId="0" applyNumberFormat="1" applyFont="1" applyBorder="1" applyAlignment="1">
      <alignment horizontal="center"/>
    </xf>
    <xf numFmtId="3" fontId="61" fillId="17" borderId="0" xfId="24" quotePrefix="1" applyNumberFormat="1" applyFont="1" applyFill="1" applyAlignment="1">
      <alignment horizontal="center"/>
    </xf>
    <xf numFmtId="167" fontId="66" fillId="7" borderId="90" xfId="33" applyNumberFormat="1" applyFont="1" applyFill="1" applyBorder="1" applyAlignment="1">
      <alignment horizontal="center"/>
    </xf>
    <xf numFmtId="175" fontId="66" fillId="7" borderId="90" xfId="33" applyNumberFormat="1" applyFont="1" applyFill="1" applyBorder="1" applyAlignment="1">
      <alignment horizontal="center"/>
    </xf>
    <xf numFmtId="0" fontId="15" fillId="0" borderId="72" xfId="20" applyFont="1" applyBorder="1" applyAlignment="1">
      <alignment horizontal="center"/>
    </xf>
    <xf numFmtId="9" fontId="10" fillId="0" borderId="0" xfId="0" applyNumberFormat="1" applyFont="1" applyAlignment="1">
      <alignment horizontal="center"/>
    </xf>
    <xf numFmtId="9" fontId="10" fillId="0" borderId="0" xfId="20" applyNumberFormat="1" applyAlignment="1">
      <alignment horizontal="center"/>
    </xf>
    <xf numFmtId="168" fontId="10" fillId="0" borderId="0" xfId="20" applyNumberFormat="1" applyAlignment="1">
      <alignment horizontal="center"/>
    </xf>
    <xf numFmtId="168" fontId="10" fillId="0" borderId="0" xfId="15" applyNumberFormat="1" applyFont="1" applyAlignment="1">
      <alignment horizontal="center"/>
    </xf>
    <xf numFmtId="3" fontId="0" fillId="3" borderId="24" xfId="7" applyNumberFormat="1" applyFont="1" applyBorder="1">
      <alignment horizontal="right"/>
    </xf>
    <xf numFmtId="4" fontId="0" fillId="5" borderId="24" xfId="7" applyFont="1" applyFill="1" applyBorder="1">
      <alignment horizontal="right"/>
    </xf>
    <xf numFmtId="0" fontId="0" fillId="3" borderId="24" xfId="9" applyFont="1" applyBorder="1" applyAlignment="1">
      <alignment horizontal="right"/>
    </xf>
    <xf numFmtId="3" fontId="0" fillId="3" borderId="24" xfId="7" quotePrefix="1" applyNumberFormat="1" applyFont="1" applyBorder="1">
      <alignment horizontal="right"/>
    </xf>
    <xf numFmtId="4" fontId="0" fillId="3" borderId="24" xfId="7" applyFont="1" applyBorder="1">
      <alignment horizontal="right"/>
    </xf>
    <xf numFmtId="172" fontId="0" fillId="3" borderId="24" xfId="6" applyFont="1" applyBorder="1">
      <alignment horizontal="right"/>
    </xf>
    <xf numFmtId="4" fontId="0" fillId="9" borderId="24" xfId="7" applyFont="1" applyFill="1" applyBorder="1">
      <alignment horizontal="right"/>
    </xf>
    <xf numFmtId="167" fontId="0" fillId="0" borderId="30" xfId="0" applyNumberFormat="1" applyBorder="1" applyAlignment="1">
      <alignment horizontal="center"/>
    </xf>
    <xf numFmtId="2" fontId="0" fillId="0" borderId="30" xfId="15" applyNumberFormat="1" applyFont="1" applyBorder="1" applyAlignment="1">
      <alignment horizontal="center"/>
    </xf>
    <xf numFmtId="170" fontId="0" fillId="0" borderId="30" xfId="15" applyNumberFormat="1" applyFont="1" applyBorder="1" applyAlignment="1">
      <alignment horizontal="center"/>
    </xf>
    <xf numFmtId="169" fontId="10" fillId="0" borderId="60" xfId="0" applyNumberFormat="1" applyFont="1" applyBorder="1" applyAlignment="1">
      <alignment horizontal="center"/>
    </xf>
    <xf numFmtId="169" fontId="10" fillId="0" borderId="100" xfId="0" applyNumberFormat="1" applyFont="1" applyBorder="1" applyAlignment="1">
      <alignment horizontal="center"/>
    </xf>
    <xf numFmtId="0" fontId="10" fillId="0" borderId="49" xfId="0" applyFont="1" applyBorder="1"/>
    <xf numFmtId="0" fontId="10" fillId="0" borderId="49" xfId="0" applyFont="1" applyBorder="1" applyAlignment="1">
      <alignment horizontal="left" indent="1"/>
    </xf>
    <xf numFmtId="0" fontId="10" fillId="0" borderId="49" xfId="0" applyFont="1" applyBorder="1" applyAlignment="1">
      <alignment horizontal="left"/>
    </xf>
    <xf numFmtId="0" fontId="15" fillId="0" borderId="49" xfId="0" applyFont="1" applyBorder="1" applyAlignment="1">
      <alignment horizontal="center"/>
    </xf>
    <xf numFmtId="0" fontId="15" fillId="0" borderId="101" xfId="0" applyFont="1" applyBorder="1" applyAlignment="1">
      <alignment horizontal="center"/>
    </xf>
    <xf numFmtId="169" fontId="10" fillId="15" borderId="30" xfId="0" applyNumberFormat="1" applyFont="1" applyFill="1" applyBorder="1" applyAlignment="1">
      <alignment horizontal="center"/>
    </xf>
    <xf numFmtId="169" fontId="10" fillId="6" borderId="30" xfId="0" applyNumberFormat="1" applyFont="1" applyFill="1" applyBorder="1" applyAlignment="1">
      <alignment horizontal="center"/>
    </xf>
    <xf numFmtId="169" fontId="28" fillId="0" borderId="30" xfId="15" applyNumberFormat="1" applyFont="1" applyFill="1" applyBorder="1" applyAlignment="1">
      <alignment horizontal="center"/>
    </xf>
    <xf numFmtId="0" fontId="10" fillId="0" borderId="43" xfId="0" applyFont="1" applyBorder="1"/>
    <xf numFmtId="0" fontId="10" fillId="0" borderId="45" xfId="0" applyFont="1" applyBorder="1" applyAlignment="1">
      <alignment horizontal="left"/>
    </xf>
    <xf numFmtId="0" fontId="10" fillId="0" borderId="45" xfId="0" applyFont="1" applyBorder="1"/>
    <xf numFmtId="0" fontId="10" fillId="0" borderId="48" xfId="0" applyFont="1" applyBorder="1" applyAlignment="1">
      <alignment horizontal="center" vertical="center"/>
    </xf>
    <xf numFmtId="176" fontId="0" fillId="0" borderId="0" xfId="15" applyNumberFormat="1" applyFont="1"/>
    <xf numFmtId="176" fontId="0" fillId="0" borderId="0" xfId="0" applyNumberFormat="1"/>
    <xf numFmtId="167" fontId="10" fillId="0" borderId="90" xfId="33" applyNumberFormat="1" applyFont="1" applyBorder="1" applyAlignment="1">
      <alignment horizontal="center"/>
    </xf>
    <xf numFmtId="0" fontId="80" fillId="11" borderId="61" xfId="0" applyFont="1" applyFill="1" applyBorder="1" applyAlignment="1">
      <alignment horizontal="center" vertical="center" wrapText="1"/>
    </xf>
    <xf numFmtId="0" fontId="81" fillId="11" borderId="62" xfId="0" applyFont="1" applyFill="1" applyBorder="1" applyAlignment="1">
      <alignment horizontal="center" vertical="center" wrapText="1"/>
    </xf>
    <xf numFmtId="177" fontId="0" fillId="0" borderId="102" xfId="0" applyNumberFormat="1" applyBorder="1" applyAlignment="1">
      <alignment horizontal="center"/>
    </xf>
    <xf numFmtId="0" fontId="82" fillId="0" borderId="0" xfId="0" applyFont="1"/>
    <xf numFmtId="9" fontId="82" fillId="0" borderId="0" xfId="15" applyFont="1"/>
    <xf numFmtId="170" fontId="82" fillId="0" borderId="0" xfId="15" applyNumberFormat="1" applyFont="1" applyFill="1"/>
    <xf numFmtId="0" fontId="15" fillId="0" borderId="0" xfId="0" applyFont="1" applyAlignment="1">
      <alignment horizontal="center" vertical="center"/>
    </xf>
    <xf numFmtId="9" fontId="10" fillId="0" borderId="35" xfId="15" applyFont="1" applyBorder="1" applyAlignment="1">
      <alignment horizontal="center"/>
    </xf>
    <xf numFmtId="9" fontId="48" fillId="0" borderId="35" xfId="15" applyFont="1" applyBorder="1" applyAlignment="1">
      <alignment horizontal="center"/>
    </xf>
    <xf numFmtId="9" fontId="10" fillId="0" borderId="35" xfId="15" applyFont="1" applyFill="1" applyBorder="1" applyAlignment="1">
      <alignment horizontal="center"/>
    </xf>
    <xf numFmtId="9" fontId="49" fillId="0" borderId="35" xfId="15" applyFont="1" applyBorder="1" applyAlignment="1">
      <alignment horizontal="center"/>
    </xf>
    <xf numFmtId="9" fontId="10" fillId="0" borderId="35" xfId="15" quotePrefix="1" applyFont="1" applyFill="1" applyBorder="1" applyAlignment="1">
      <alignment horizontal="center"/>
    </xf>
    <xf numFmtId="0" fontId="48" fillId="0" borderId="35" xfId="15" applyNumberFormat="1" applyFont="1" applyBorder="1" applyAlignment="1">
      <alignment horizontal="center"/>
    </xf>
    <xf numFmtId="171" fontId="49" fillId="0" borderId="35" xfId="15" applyNumberFormat="1" applyFont="1" applyBorder="1" applyAlignment="1">
      <alignment horizontal="center"/>
    </xf>
    <xf numFmtId="9" fontId="78" fillId="0" borderId="101" xfId="15" applyFont="1" applyBorder="1" applyAlignment="1">
      <alignment horizontal="center"/>
    </xf>
    <xf numFmtId="177" fontId="0" fillId="0" borderId="49" xfId="0" applyNumberFormat="1" applyBorder="1" applyAlignment="1">
      <alignment horizontal="center"/>
    </xf>
    <xf numFmtId="177" fontId="0" fillId="0" borderId="105" xfId="0" applyNumberFormat="1" applyBorder="1" applyAlignment="1">
      <alignment horizontal="center"/>
    </xf>
    <xf numFmtId="177" fontId="0" fillId="0" borderId="101" xfId="0" applyNumberFormat="1" applyBorder="1" applyAlignment="1">
      <alignment horizontal="center"/>
    </xf>
    <xf numFmtId="177" fontId="0" fillId="0" borderId="71" xfId="24" applyNumberFormat="1" applyFont="1" applyBorder="1" applyAlignment="1">
      <alignment horizontal="center"/>
    </xf>
    <xf numFmtId="177" fontId="0" fillId="0" borderId="101" xfId="24" applyNumberFormat="1" applyFont="1" applyBorder="1" applyAlignment="1">
      <alignment horizontal="center"/>
    </xf>
    <xf numFmtId="177" fontId="0" fillId="0" borderId="106" xfId="0" applyNumberFormat="1" applyBorder="1" applyAlignment="1">
      <alignment horizontal="center"/>
    </xf>
    <xf numFmtId="169" fontId="0" fillId="6" borderId="30" xfId="0" applyNumberFormat="1" applyFill="1" applyBorder="1" applyAlignment="1">
      <alignment horizontal="center"/>
    </xf>
    <xf numFmtId="2" fontId="0" fillId="9" borderId="0" xfId="15" applyNumberFormat="1" applyFont="1" applyFill="1" applyBorder="1" applyAlignment="1">
      <alignment horizontal="center"/>
    </xf>
    <xf numFmtId="10" fontId="0" fillId="9" borderId="0" xfId="15" applyNumberFormat="1" applyFont="1" applyFill="1" applyBorder="1" applyAlignment="1">
      <alignment horizontal="center"/>
    </xf>
    <xf numFmtId="10" fontId="10" fillId="9" borderId="0" xfId="15" applyNumberFormat="1" applyFont="1" applyFill="1" applyBorder="1" applyAlignment="1">
      <alignment horizontal="center"/>
    </xf>
    <xf numFmtId="170" fontId="0" fillId="9" borderId="0" xfId="15" applyNumberFormat="1" applyFont="1" applyFill="1" applyBorder="1" applyAlignment="1">
      <alignment horizontal="center"/>
    </xf>
    <xf numFmtId="0" fontId="10" fillId="9" borderId="0" xfId="15" applyNumberFormat="1" applyFont="1" applyFill="1" applyBorder="1" applyAlignment="1">
      <alignment horizontal="center"/>
    </xf>
    <xf numFmtId="170" fontId="10" fillId="9" borderId="0" xfId="15" applyNumberFormat="1" applyFont="1" applyFill="1" applyBorder="1" applyAlignment="1">
      <alignment horizontal="center"/>
    </xf>
    <xf numFmtId="10" fontId="0" fillId="23" borderId="0" xfId="15" applyNumberFormat="1" applyFont="1" applyFill="1" applyBorder="1" applyAlignment="1">
      <alignment horizontal="center"/>
    </xf>
    <xf numFmtId="10" fontId="10" fillId="23" borderId="0" xfId="15" applyNumberFormat="1" applyFont="1" applyFill="1" applyBorder="1" applyAlignment="1">
      <alignment horizontal="center"/>
    </xf>
    <xf numFmtId="10" fontId="0" fillId="22" borderId="0" xfId="15" applyNumberFormat="1" applyFont="1" applyFill="1" applyBorder="1" applyAlignment="1">
      <alignment horizontal="center"/>
    </xf>
    <xf numFmtId="2" fontId="0" fillId="22" borderId="0" xfId="15" applyNumberFormat="1" applyFont="1" applyFill="1" applyBorder="1" applyAlignment="1">
      <alignment horizontal="center"/>
    </xf>
    <xf numFmtId="168" fontId="10" fillId="0" borderId="0" xfId="0" applyNumberFormat="1" applyFont="1" applyAlignment="1">
      <alignment horizontal="center" vertical="center"/>
    </xf>
    <xf numFmtId="0" fontId="0" fillId="0" borderId="0" xfId="0" applyAlignment="1">
      <alignment wrapText="1"/>
    </xf>
    <xf numFmtId="173" fontId="61" fillId="0" borderId="0" xfId="24" applyNumberFormat="1" applyFont="1"/>
    <xf numFmtId="9" fontId="61" fillId="0" borderId="0" xfId="15" applyFont="1"/>
    <xf numFmtId="170" fontId="62" fillId="6" borderId="1" xfId="36" applyNumberFormat="1" applyFont="1" applyFill="1" applyBorder="1" applyAlignment="1">
      <alignment horizontal="center"/>
    </xf>
    <xf numFmtId="2" fontId="61" fillId="17" borderId="0" xfId="15" applyNumberFormat="1" applyFont="1" applyFill="1" applyAlignment="1">
      <alignment horizontal="center"/>
    </xf>
    <xf numFmtId="10" fontId="27" fillId="0" borderId="15" xfId="15" applyNumberFormat="1" applyFont="1" applyBorder="1" applyAlignment="1">
      <alignment horizontal="center"/>
    </xf>
    <xf numFmtId="10" fontId="10" fillId="0" borderId="30" xfId="0" applyNumberFormat="1" applyFont="1" applyBorder="1" applyAlignment="1">
      <alignment horizontal="center"/>
    </xf>
    <xf numFmtId="0" fontId="10" fillId="25" borderId="49" xfId="0" applyFont="1" applyFill="1" applyBorder="1" applyAlignment="1">
      <alignment horizontal="left" vertical="center"/>
    </xf>
    <xf numFmtId="0" fontId="10" fillId="25" borderId="45" xfId="0" applyFont="1" applyFill="1" applyBorder="1" applyAlignment="1">
      <alignment horizontal="left" vertical="center"/>
    </xf>
    <xf numFmtId="170" fontId="10" fillId="25" borderId="30" xfId="15" applyNumberFormat="1" applyFont="1" applyFill="1" applyBorder="1" applyAlignment="1">
      <alignment horizontal="center"/>
    </xf>
    <xf numFmtId="0" fontId="10" fillId="25" borderId="45" xfId="0" applyFont="1" applyFill="1" applyBorder="1" applyAlignment="1">
      <alignment vertical="center"/>
    </xf>
    <xf numFmtId="10" fontId="10" fillId="25" borderId="49" xfId="0" applyNumberFormat="1" applyFont="1" applyFill="1" applyBorder="1" applyAlignment="1">
      <alignment horizontal="center" vertical="center"/>
    </xf>
    <xf numFmtId="0" fontId="10" fillId="25" borderId="30" xfId="0" applyFont="1" applyFill="1" applyBorder="1"/>
    <xf numFmtId="170" fontId="48" fillId="25" borderId="30" xfId="15" applyNumberFormat="1" applyFont="1" applyFill="1" applyBorder="1" applyAlignment="1">
      <alignment horizontal="center"/>
    </xf>
    <xf numFmtId="167" fontId="10" fillId="25" borderId="77" xfId="0" applyNumberFormat="1" applyFont="1" applyFill="1" applyBorder="1"/>
    <xf numFmtId="9" fontId="0" fillId="25" borderId="0" xfId="15" applyFont="1" applyFill="1" applyAlignment="1">
      <alignment horizontal="center"/>
    </xf>
    <xf numFmtId="4" fontId="0" fillId="6" borderId="70" xfId="7" applyFont="1" applyFill="1" applyBorder="1">
      <alignment horizontal="right"/>
    </xf>
    <xf numFmtId="4" fontId="53" fillId="8" borderId="70" xfId="7" applyFont="1" applyFill="1" applyBorder="1">
      <alignment horizontal="right"/>
    </xf>
    <xf numFmtId="4" fontId="10" fillId="0" borderId="70" xfId="7" applyFont="1" applyFill="1" applyBorder="1">
      <alignment horizontal="right"/>
    </xf>
    <xf numFmtId="4" fontId="0" fillId="5" borderId="70" xfId="7" applyFont="1" applyFill="1" applyBorder="1">
      <alignment horizontal="right"/>
    </xf>
    <xf numFmtId="4" fontId="10" fillId="10" borderId="70" xfId="7" applyFont="1" applyFill="1" applyBorder="1">
      <alignment horizontal="right"/>
    </xf>
    <xf numFmtId="4" fontId="10" fillId="6" borderId="70" xfId="7" applyFont="1" applyFill="1" applyBorder="1">
      <alignment horizontal="right"/>
    </xf>
    <xf numFmtId="4" fontId="53" fillId="0" borderId="70" xfId="7" applyFont="1" applyFill="1" applyBorder="1">
      <alignment horizontal="right"/>
    </xf>
    <xf numFmtId="4" fontId="36" fillId="0" borderId="107" xfId="7" applyFont="1" applyFill="1" applyBorder="1">
      <alignment horizontal="right"/>
    </xf>
    <xf numFmtId="0" fontId="21" fillId="4" borderId="10" xfId="3" applyFill="1" applyBorder="1" applyAlignment="1">
      <alignment horizontal="center" vertical="center"/>
    </xf>
    <xf numFmtId="4" fontId="10" fillId="9" borderId="108" xfId="7" applyFont="1" applyFill="1" applyBorder="1" applyAlignment="1">
      <alignment horizontal="right" wrapText="1"/>
    </xf>
    <xf numFmtId="4" fontId="10" fillId="3" borderId="108" xfId="7" applyFont="1" applyBorder="1" applyAlignment="1">
      <alignment horizontal="right" wrapText="1"/>
    </xf>
    <xf numFmtId="4" fontId="0" fillId="3" borderId="108" xfId="7" applyFont="1" applyBorder="1" applyAlignment="1">
      <alignment horizontal="right" wrapText="1"/>
    </xf>
    <xf numFmtId="0" fontId="10" fillId="0" borderId="108" xfId="19" applyFont="1" applyBorder="1" applyAlignment="1">
      <alignment horizontal="right" wrapText="1"/>
    </xf>
    <xf numFmtId="4" fontId="0" fillId="5" borderId="108" xfId="7" applyFont="1" applyFill="1" applyBorder="1">
      <alignment horizontal="right"/>
    </xf>
    <xf numFmtId="172" fontId="10" fillId="3" borderId="109" xfId="6" applyFont="1" applyBorder="1" applyAlignment="1">
      <alignment horizontal="right" vertical="center" wrapText="1"/>
    </xf>
    <xf numFmtId="3" fontId="15" fillId="3" borderId="108" xfId="5" applyFont="1" applyBorder="1" applyAlignment="1">
      <alignment horizontal="right" wrapText="1"/>
    </xf>
    <xf numFmtId="4" fontId="10" fillId="0" borderId="108" xfId="7" applyFont="1" applyFill="1" applyBorder="1" applyAlignment="1">
      <alignment horizontal="right" wrapText="1"/>
    </xf>
    <xf numFmtId="172" fontId="0" fillId="3" borderId="111" xfId="6" applyFont="1" applyBorder="1" applyAlignment="1">
      <alignment horizontal="right" vertical="center" wrapText="1"/>
    </xf>
    <xf numFmtId="172" fontId="0" fillId="3" borderId="108" xfId="6" applyFont="1" applyBorder="1" applyAlignment="1">
      <alignment horizontal="right" vertical="center" wrapText="1"/>
    </xf>
    <xf numFmtId="172" fontId="0" fillId="3" borderId="115" xfId="6" applyFont="1" applyBorder="1" applyAlignment="1">
      <alignment horizontal="right" vertical="center" wrapText="1"/>
    </xf>
    <xf numFmtId="0" fontId="0" fillId="3" borderId="70" xfId="9" applyFont="1" applyBorder="1" applyAlignment="1">
      <alignment horizontal="right"/>
    </xf>
    <xf numFmtId="0" fontId="10" fillId="3" borderId="70" xfId="9" applyFont="1" applyBorder="1" applyAlignment="1">
      <alignment horizontal="right"/>
    </xf>
    <xf numFmtId="4" fontId="0" fillId="9" borderId="23" xfId="7" applyFont="1" applyFill="1" applyBorder="1">
      <alignment horizontal="right"/>
    </xf>
    <xf numFmtId="0" fontId="10" fillId="3" borderId="23" xfId="9" applyFont="1" applyBorder="1" applyAlignment="1">
      <alignment horizontal="right"/>
    </xf>
    <xf numFmtId="0" fontId="21" fillId="4" borderId="7" xfId="3" applyFill="1" applyBorder="1" applyAlignment="1">
      <alignment horizontal="center" vertical="center"/>
    </xf>
    <xf numFmtId="3" fontId="0" fillId="3" borderId="112" xfId="7" quotePrefix="1" applyNumberFormat="1" applyFont="1" applyBorder="1">
      <alignment horizontal="right"/>
    </xf>
    <xf numFmtId="3" fontId="0" fillId="3" borderId="113" xfId="7" quotePrefix="1" applyNumberFormat="1" applyFont="1" applyBorder="1">
      <alignment horizontal="right"/>
    </xf>
    <xf numFmtId="0" fontId="10" fillId="3" borderId="114" xfId="9" applyFont="1" applyBorder="1" applyAlignment="1">
      <alignment horizontal="right"/>
    </xf>
    <xf numFmtId="0" fontId="10" fillId="3" borderId="116" xfId="9" applyFont="1" applyBorder="1" applyAlignment="1">
      <alignment horizontal="right"/>
    </xf>
    <xf numFmtId="172" fontId="10" fillId="3" borderId="23" xfId="6" applyFont="1" applyBorder="1">
      <alignment horizontal="right"/>
    </xf>
    <xf numFmtId="172" fontId="10" fillId="3" borderId="117" xfId="6" applyFont="1" applyBorder="1">
      <alignment horizontal="right"/>
    </xf>
    <xf numFmtId="3" fontId="0" fillId="3" borderId="114" xfId="7" quotePrefix="1" applyNumberFormat="1" applyFont="1" applyBorder="1">
      <alignment horizontal="right"/>
    </xf>
    <xf numFmtId="0" fontId="55" fillId="12" borderId="119" xfId="0" applyFont="1" applyFill="1" applyBorder="1" applyAlignment="1">
      <alignment horizontal="center" vertical="center"/>
    </xf>
    <xf numFmtId="0" fontId="55" fillId="12" borderId="120" xfId="0" applyFont="1" applyFill="1" applyBorder="1" applyAlignment="1">
      <alignment horizontal="center" vertical="center"/>
    </xf>
    <xf numFmtId="0" fontId="55" fillId="12" borderId="0" xfId="0" applyFont="1" applyFill="1" applyAlignment="1">
      <alignment horizontal="center" vertical="center"/>
    </xf>
    <xf numFmtId="0" fontId="55" fillId="12" borderId="122" xfId="0" applyFont="1" applyFill="1" applyBorder="1" applyAlignment="1">
      <alignment horizontal="center" vertical="center"/>
    </xf>
    <xf numFmtId="0" fontId="10" fillId="0" borderId="121" xfId="0" applyFont="1" applyBorder="1" applyAlignment="1">
      <alignment horizontal="left" vertical="center"/>
    </xf>
    <xf numFmtId="167" fontId="10" fillId="0" borderId="0" xfId="0" applyNumberFormat="1" applyFont="1" applyAlignment="1">
      <alignment horizontal="center"/>
    </xf>
    <xf numFmtId="3" fontId="10" fillId="0" borderId="122" xfId="0" applyNumberFormat="1" applyFont="1" applyBorder="1" applyAlignment="1">
      <alignment horizontal="center"/>
    </xf>
    <xf numFmtId="10" fontId="0" fillId="16" borderId="122" xfId="15" applyNumberFormat="1" applyFont="1" applyFill="1" applyBorder="1" applyAlignment="1">
      <alignment horizontal="center"/>
    </xf>
    <xf numFmtId="10" fontId="0" fillId="23" borderId="122" xfId="15" applyNumberFormat="1" applyFont="1" applyFill="1" applyBorder="1" applyAlignment="1">
      <alignment horizontal="center"/>
    </xf>
    <xf numFmtId="0" fontId="0" fillId="0" borderId="121" xfId="0" applyBorder="1" applyAlignment="1">
      <alignment horizontal="left" vertical="center"/>
    </xf>
    <xf numFmtId="10" fontId="0" fillId="9" borderId="0" xfId="0" applyNumberFormat="1" applyFill="1" applyAlignment="1">
      <alignment horizontal="center"/>
    </xf>
    <xf numFmtId="3" fontId="0" fillId="9" borderId="0" xfId="0" applyNumberFormat="1" applyFill="1" applyAlignment="1">
      <alignment horizontal="center"/>
    </xf>
    <xf numFmtId="10" fontId="0" fillId="9" borderId="122" xfId="0" applyNumberFormat="1" applyFill="1" applyBorder="1" applyAlignment="1">
      <alignment horizontal="center"/>
    </xf>
    <xf numFmtId="170" fontId="0" fillId="9" borderId="122" xfId="15" applyNumberFormat="1" applyFont="1" applyFill="1" applyBorder="1" applyAlignment="1">
      <alignment horizontal="center"/>
    </xf>
    <xf numFmtId="2" fontId="0" fillId="9" borderId="122" xfId="15" applyNumberFormat="1" applyFont="1" applyFill="1" applyBorder="1" applyAlignment="1">
      <alignment horizontal="center"/>
    </xf>
    <xf numFmtId="10" fontId="0" fillId="9" borderId="122" xfId="15" applyNumberFormat="1" applyFont="1" applyFill="1" applyBorder="1" applyAlignment="1">
      <alignment horizontal="center"/>
    </xf>
    <xf numFmtId="10" fontId="10" fillId="16" borderId="122" xfId="15" applyNumberFormat="1" applyFont="1" applyFill="1" applyBorder="1" applyAlignment="1">
      <alignment horizontal="center"/>
    </xf>
    <xf numFmtId="10" fontId="0" fillId="22" borderId="122" xfId="15" applyNumberFormat="1" applyFont="1" applyFill="1" applyBorder="1" applyAlignment="1">
      <alignment horizontal="center"/>
    </xf>
    <xf numFmtId="10" fontId="10" fillId="9" borderId="122" xfId="15" applyNumberFormat="1" applyFont="1" applyFill="1" applyBorder="1" applyAlignment="1">
      <alignment horizontal="center"/>
    </xf>
    <xf numFmtId="0" fontId="19" fillId="0" borderId="121" xfId="0" applyFont="1" applyBorder="1" applyAlignment="1">
      <alignment horizontal="left" vertical="center"/>
    </xf>
    <xf numFmtId="2" fontId="0" fillId="23" borderId="0" xfId="0" applyNumberFormat="1" applyFill="1" applyAlignment="1">
      <alignment horizontal="center"/>
    </xf>
    <xf numFmtId="2" fontId="0" fillId="23" borderId="122" xfId="0" applyNumberFormat="1" applyFill="1" applyBorder="1" applyAlignment="1">
      <alignment horizontal="center"/>
    </xf>
    <xf numFmtId="2" fontId="0" fillId="21" borderId="0" xfId="0" applyNumberFormat="1" applyFill="1" applyAlignment="1">
      <alignment horizontal="center"/>
    </xf>
    <xf numFmtId="2" fontId="0" fillId="14" borderId="0" xfId="0" applyNumberFormat="1" applyFill="1" applyAlignment="1">
      <alignment horizontal="center"/>
    </xf>
    <xf numFmtId="2" fontId="0" fillId="16" borderId="122" xfId="0" applyNumberFormat="1" applyFill="1" applyBorder="1" applyAlignment="1">
      <alignment horizontal="center"/>
    </xf>
    <xf numFmtId="2" fontId="0" fillId="9" borderId="0" xfId="0" applyNumberFormat="1" applyFill="1" applyAlignment="1">
      <alignment horizontal="center"/>
    </xf>
    <xf numFmtId="2" fontId="0" fillId="9" borderId="122" xfId="0" applyNumberFormat="1" applyFill="1" applyBorder="1" applyAlignment="1">
      <alignment horizontal="center"/>
    </xf>
    <xf numFmtId="2" fontId="10" fillId="22" borderId="0" xfId="0" applyNumberFormat="1" applyFont="1" applyFill="1" applyAlignment="1">
      <alignment horizontal="center"/>
    </xf>
    <xf numFmtId="171" fontId="0" fillId="14" borderId="0" xfId="0" applyNumberFormat="1" applyFill="1" applyAlignment="1">
      <alignment horizontal="center"/>
    </xf>
    <xf numFmtId="2" fontId="10" fillId="14" borderId="122" xfId="0" applyNumberFormat="1" applyFont="1" applyFill="1" applyBorder="1" applyAlignment="1">
      <alignment horizontal="center"/>
    </xf>
    <xf numFmtId="2" fontId="10" fillId="13" borderId="0" xfId="0" applyNumberFormat="1" applyFont="1" applyFill="1" applyAlignment="1">
      <alignment horizontal="center"/>
    </xf>
    <xf numFmtId="171" fontId="0" fillId="21" borderId="122" xfId="0" applyNumberFormat="1" applyFill="1" applyBorder="1" applyAlignment="1">
      <alignment horizontal="center"/>
    </xf>
    <xf numFmtId="0" fontId="0" fillId="0" borderId="123" xfId="0" applyBorder="1" applyAlignment="1">
      <alignment horizontal="left" vertical="center"/>
    </xf>
    <xf numFmtId="170" fontId="10" fillId="9" borderId="124" xfId="15" applyNumberFormat="1" applyFont="1" applyFill="1" applyBorder="1" applyAlignment="1">
      <alignment horizontal="center"/>
    </xf>
    <xf numFmtId="170" fontId="10" fillId="9" borderId="125" xfId="15" applyNumberFormat="1" applyFont="1" applyFill="1" applyBorder="1" applyAlignment="1">
      <alignment horizontal="center"/>
    </xf>
    <xf numFmtId="179" fontId="10" fillId="0" borderId="102" xfId="0" applyNumberFormat="1" applyFont="1" applyBorder="1" applyAlignment="1">
      <alignment horizontal="center"/>
    </xf>
    <xf numFmtId="178" fontId="10" fillId="9" borderId="126" xfId="0" applyNumberFormat="1" applyFont="1" applyFill="1" applyBorder="1" applyAlignment="1">
      <alignment horizontal="center"/>
    </xf>
    <xf numFmtId="9" fontId="10" fillId="9" borderId="126" xfId="15" applyFont="1" applyFill="1" applyBorder="1" applyAlignment="1">
      <alignment horizontal="center"/>
    </xf>
    <xf numFmtId="178" fontId="70" fillId="9" borderId="126" xfId="15" applyNumberFormat="1" applyFont="1" applyFill="1" applyBorder="1" applyAlignment="1">
      <alignment horizontal="center"/>
    </xf>
    <xf numFmtId="9" fontId="70" fillId="9" borderId="126" xfId="15" applyFont="1" applyFill="1" applyBorder="1" applyAlignment="1">
      <alignment horizontal="center"/>
    </xf>
    <xf numFmtId="170" fontId="70" fillId="26" borderId="126" xfId="15" applyNumberFormat="1" applyFont="1" applyFill="1" applyBorder="1" applyAlignment="1">
      <alignment horizontal="center"/>
    </xf>
    <xf numFmtId="9" fontId="70" fillId="7" borderId="126" xfId="15" applyFont="1" applyFill="1" applyBorder="1" applyAlignment="1">
      <alignment horizontal="center"/>
    </xf>
    <xf numFmtId="9" fontId="70" fillId="7" borderId="127" xfId="15" applyFont="1" applyFill="1" applyBorder="1" applyAlignment="1">
      <alignment horizontal="center"/>
    </xf>
    <xf numFmtId="169" fontId="15" fillId="0" borderId="13" xfId="0" applyNumberFormat="1" applyFont="1" applyBorder="1" applyAlignment="1">
      <alignment horizontal="center" vertical="center"/>
    </xf>
    <xf numFmtId="9" fontId="15" fillId="0" borderId="13" xfId="15" applyFont="1" applyBorder="1" applyAlignment="1">
      <alignment horizontal="center" vertical="center"/>
    </xf>
    <xf numFmtId="170" fontId="15" fillId="9" borderId="13" xfId="15" applyNumberFormat="1" applyFont="1" applyFill="1" applyBorder="1" applyAlignment="1">
      <alignment horizontal="center" vertical="center"/>
    </xf>
    <xf numFmtId="9" fontId="15" fillId="0" borderId="12" xfId="15" applyFont="1" applyBorder="1" applyAlignment="1">
      <alignment horizontal="center" vertical="center"/>
    </xf>
    <xf numFmtId="9" fontId="15" fillId="0" borderId="19" xfId="15" applyFont="1" applyBorder="1" applyAlignment="1">
      <alignment horizontal="center"/>
    </xf>
    <xf numFmtId="170" fontId="15" fillId="0" borderId="19" xfId="15" applyNumberFormat="1" applyFont="1" applyBorder="1" applyAlignment="1">
      <alignment horizontal="center"/>
    </xf>
    <xf numFmtId="9" fontId="15" fillId="0" borderId="20" xfId="15" applyFont="1" applyBorder="1" applyAlignment="1">
      <alignment horizontal="center"/>
    </xf>
    <xf numFmtId="4" fontId="0" fillId="3" borderId="110" xfId="7" applyFont="1" applyBorder="1" applyAlignment="1">
      <alignment horizontal="right" vertical="center" wrapText="1"/>
    </xf>
    <xf numFmtId="0" fontId="44" fillId="4" borderId="30" xfId="0" applyFont="1" applyFill="1" applyBorder="1" applyAlignment="1">
      <alignment horizontal="center"/>
    </xf>
    <xf numFmtId="0" fontId="10" fillId="0" borderId="34" xfId="0" applyFont="1" applyBorder="1" applyAlignment="1">
      <alignment horizontal="left" vertical="center" wrapText="1"/>
    </xf>
    <xf numFmtId="0" fontId="14" fillId="0" borderId="30" xfId="0" applyFont="1" applyBorder="1" applyAlignment="1">
      <alignment horizontal="left" vertical="center" wrapText="1"/>
    </xf>
    <xf numFmtId="0" fontId="39" fillId="4" borderId="43" xfId="0" applyFont="1" applyFill="1" applyBorder="1" applyAlignment="1">
      <alignment horizontal="left"/>
    </xf>
    <xf numFmtId="0" fontId="39" fillId="4" borderId="44" xfId="0" applyFont="1" applyFill="1" applyBorder="1" applyAlignment="1">
      <alignment horizontal="left"/>
    </xf>
    <xf numFmtId="0" fontId="39" fillId="4" borderId="45" xfId="0" applyFont="1" applyFill="1" applyBorder="1" applyAlignment="1">
      <alignment horizontal="left"/>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11" fillId="0" borderId="52" xfId="0" applyFont="1" applyBorder="1" applyAlignment="1">
      <alignment horizontal="center" vertical="center"/>
    </xf>
    <xf numFmtId="0" fontId="28" fillId="0" borderId="30" xfId="0" applyFont="1" applyBorder="1" applyAlignment="1">
      <alignment horizontal="left" vertical="center" wrapText="1"/>
    </xf>
    <xf numFmtId="0" fontId="28" fillId="0" borderId="35" xfId="0" applyFont="1" applyBorder="1" applyAlignment="1">
      <alignment horizontal="left" vertical="center" wrapText="1"/>
    </xf>
    <xf numFmtId="0" fontId="24" fillId="0" borderId="34" xfId="0" applyFont="1" applyBorder="1" applyAlignment="1">
      <alignment horizontal="center" wrapText="1"/>
    </xf>
    <xf numFmtId="0" fontId="24" fillId="0" borderId="30" xfId="0" applyFont="1" applyBorder="1" applyAlignment="1">
      <alignment horizontal="center" wrapText="1"/>
    </xf>
    <xf numFmtId="170" fontId="11" fillId="0" borderId="35" xfId="15" applyNumberFormat="1" applyFont="1" applyBorder="1" applyAlignment="1">
      <alignment horizontal="center" vertical="center"/>
    </xf>
    <xf numFmtId="0" fontId="24" fillId="0" borderId="34" xfId="0" applyFont="1" applyBorder="1" applyAlignment="1">
      <alignment horizontal="center" vertical="center" wrapText="1"/>
    </xf>
    <xf numFmtId="0" fontId="24" fillId="0" borderId="30" xfId="0" applyFont="1" applyBorder="1" applyAlignment="1">
      <alignment horizontal="center" vertical="center" wrapText="1"/>
    </xf>
    <xf numFmtId="0" fontId="29" fillId="0" borderId="30" xfId="0" applyFont="1" applyBorder="1" applyAlignment="1">
      <alignment horizontal="left" vertical="center" wrapText="1"/>
    </xf>
    <xf numFmtId="0" fontId="29" fillId="0" borderId="35" xfId="0" applyFont="1" applyBorder="1" applyAlignment="1">
      <alignment horizontal="left" vertical="center" wrapText="1"/>
    </xf>
    <xf numFmtId="0" fontId="39" fillId="4" borderId="30" xfId="0" applyFont="1" applyFill="1" applyBorder="1" applyAlignment="1">
      <alignment horizontal="center"/>
    </xf>
    <xf numFmtId="0" fontId="39" fillId="4" borderId="35" xfId="0" applyFont="1" applyFill="1" applyBorder="1" applyAlignment="1">
      <alignment horizontal="center"/>
    </xf>
    <xf numFmtId="0" fontId="39" fillId="4" borderId="34" xfId="0" applyFont="1" applyFill="1" applyBorder="1" applyAlignment="1">
      <alignment horizontal="center"/>
    </xf>
    <xf numFmtId="0" fontId="39" fillId="4" borderId="59" xfId="0" applyFont="1" applyFill="1" applyBorder="1" applyAlignment="1">
      <alignment horizontal="center"/>
    </xf>
    <xf numFmtId="0" fontId="10" fillId="0" borderId="43" xfId="0" applyFont="1" applyBorder="1" applyAlignment="1">
      <alignment horizontal="left" vertical="center" wrapText="1"/>
    </xf>
    <xf numFmtId="0" fontId="14" fillId="0" borderId="44" xfId="0" applyFont="1" applyBorder="1" applyAlignment="1">
      <alignment horizontal="left" vertical="center" wrapText="1"/>
    </xf>
    <xf numFmtId="0" fontId="14" fillId="0" borderId="45" xfId="0" applyFont="1" applyBorder="1" applyAlignment="1">
      <alignment horizontal="left" vertical="center" wrapText="1"/>
    </xf>
    <xf numFmtId="0" fontId="10" fillId="0" borderId="53" xfId="0" applyFont="1" applyBorder="1" applyAlignment="1">
      <alignment horizontal="left" vertical="center" wrapText="1"/>
    </xf>
    <xf numFmtId="0" fontId="14" fillId="0" borderId="54" xfId="0" applyFont="1" applyBorder="1" applyAlignment="1">
      <alignment horizontal="left" vertical="center" wrapText="1"/>
    </xf>
    <xf numFmtId="0" fontId="14" fillId="0" borderId="55" xfId="0" applyFont="1" applyBorder="1" applyAlignment="1">
      <alignment horizontal="left" vertical="center" wrapText="1"/>
    </xf>
    <xf numFmtId="0" fontId="14" fillId="0" borderId="56" xfId="0" applyFont="1" applyBorder="1" applyAlignment="1">
      <alignment horizontal="left" vertical="center" wrapText="1"/>
    </xf>
    <xf numFmtId="0" fontId="14" fillId="0" borderId="57" xfId="0" applyFont="1" applyBorder="1" applyAlignment="1">
      <alignment horizontal="left" vertical="center" wrapText="1"/>
    </xf>
    <xf numFmtId="0" fontId="14" fillId="0" borderId="58" xfId="0" applyFont="1" applyBorder="1" applyAlignment="1">
      <alignment horizontal="left" vertical="center" wrapText="1"/>
    </xf>
    <xf numFmtId="0" fontId="10" fillId="0" borderId="59" xfId="0" applyFont="1" applyBorder="1" applyAlignment="1">
      <alignment horizontal="center" vertical="center" wrapText="1"/>
    </xf>
    <xf numFmtId="0" fontId="14" fillId="0" borderId="60" xfId="0" applyFont="1" applyBorder="1" applyAlignment="1">
      <alignment horizontal="center" vertical="center" wrapText="1"/>
    </xf>
    <xf numFmtId="0" fontId="15" fillId="0" borderId="70" xfId="0" applyFont="1" applyBorder="1" applyAlignment="1">
      <alignment horizontal="center"/>
    </xf>
    <xf numFmtId="0" fontId="15" fillId="0" borderId="0" xfId="0" applyFont="1" applyAlignment="1">
      <alignment horizontal="center"/>
    </xf>
    <xf numFmtId="0" fontId="10" fillId="0" borderId="1" xfId="0" applyFont="1" applyBorder="1" applyAlignment="1">
      <alignment horizontal="left" vertical="top" wrapText="1"/>
    </xf>
    <xf numFmtId="0" fontId="0" fillId="0" borderId="1" xfId="0" applyBorder="1" applyAlignment="1">
      <alignment horizontal="left" vertical="top"/>
    </xf>
    <xf numFmtId="0" fontId="15" fillId="0" borderId="71" xfId="0" applyFont="1" applyBorder="1" applyAlignment="1">
      <alignment horizontal="center" vertical="center" wrapText="1"/>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73" xfId="0" applyFont="1" applyBorder="1" applyAlignment="1">
      <alignment horizontal="center" vertical="center"/>
    </xf>
    <xf numFmtId="0" fontId="15" fillId="0" borderId="0" xfId="0" applyFont="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0" borderId="57" xfId="0" applyFont="1" applyBorder="1" applyAlignment="1">
      <alignment horizontal="center" vertical="center"/>
    </xf>
    <xf numFmtId="0" fontId="15" fillId="0" borderId="58" xfId="0" applyFont="1" applyBorder="1" applyAlignment="1">
      <alignment horizontal="center" vertical="center"/>
    </xf>
    <xf numFmtId="0" fontId="39" fillId="4" borderId="63" xfId="0" applyFont="1" applyFill="1" applyBorder="1" applyAlignment="1">
      <alignment horizontal="left"/>
    </xf>
    <xf numFmtId="0" fontId="39" fillId="4" borderId="64" xfId="0" applyFont="1" applyFill="1" applyBorder="1" applyAlignment="1">
      <alignment horizontal="left"/>
    </xf>
    <xf numFmtId="0" fontId="18" fillId="0" borderId="30" xfId="0" applyFont="1" applyBorder="1" applyAlignment="1">
      <alignment horizontal="center" vertical="center" wrapText="1"/>
    </xf>
    <xf numFmtId="0" fontId="18" fillId="0" borderId="35" xfId="0" applyFont="1" applyBorder="1" applyAlignment="1">
      <alignment horizontal="center" vertical="center" wrapText="1"/>
    </xf>
    <xf numFmtId="168" fontId="11" fillId="0" borderId="35" xfId="0" applyNumberFormat="1" applyFont="1" applyBorder="1" applyAlignment="1">
      <alignment horizontal="center" vertical="center"/>
    </xf>
    <xf numFmtId="0" fontId="39" fillId="4" borderId="99" xfId="0" applyFont="1" applyFill="1" applyBorder="1" applyAlignment="1">
      <alignment horizontal="center"/>
    </xf>
    <xf numFmtId="0" fontId="39" fillId="4" borderId="34" xfId="0" applyFont="1" applyFill="1" applyBorder="1" applyAlignment="1">
      <alignment horizontal="left"/>
    </xf>
    <xf numFmtId="0" fontId="39" fillId="4" borderId="30" xfId="0" applyFont="1" applyFill="1" applyBorder="1" applyAlignment="1">
      <alignment horizontal="left"/>
    </xf>
    <xf numFmtId="0" fontId="79" fillId="11" borderId="103" xfId="0" applyFont="1" applyFill="1" applyBorder="1" applyAlignment="1">
      <alignment horizontal="center" vertical="center" wrapText="1"/>
    </xf>
    <xf numFmtId="0" fontId="79" fillId="11" borderId="104" xfId="0" applyFont="1" applyFill="1" applyBorder="1" applyAlignment="1">
      <alignment horizontal="center" vertical="center" wrapText="1"/>
    </xf>
    <xf numFmtId="0" fontId="10" fillId="0" borderId="43" xfId="0" applyFont="1" applyBorder="1" applyAlignment="1">
      <alignment horizontal="left" vertical="top" wrapText="1"/>
    </xf>
    <xf numFmtId="0" fontId="10" fillId="0" borderId="44" xfId="0" applyFont="1" applyBorder="1" applyAlignment="1">
      <alignment horizontal="left" vertical="top" wrapText="1"/>
    </xf>
    <xf numFmtId="0" fontId="10" fillId="0" borderId="45" xfId="0" applyFont="1" applyBorder="1" applyAlignment="1">
      <alignment horizontal="left" vertical="top" wrapText="1"/>
    </xf>
    <xf numFmtId="0" fontId="11" fillId="0" borderId="0" xfId="0" applyFont="1" applyAlignment="1">
      <alignment horizontal="center"/>
    </xf>
    <xf numFmtId="0" fontId="45" fillId="4" borderId="65" xfId="0" applyFont="1" applyFill="1" applyBorder="1" applyAlignment="1">
      <alignment horizontal="center"/>
    </xf>
    <xf numFmtId="0" fontId="45" fillId="4" borderId="66" xfId="0" applyFont="1" applyFill="1" applyBorder="1" applyAlignment="1">
      <alignment horizontal="center"/>
    </xf>
    <xf numFmtId="0" fontId="45" fillId="4" borderId="67" xfId="0" applyFont="1" applyFill="1" applyBorder="1" applyAlignment="1">
      <alignment horizontal="center"/>
    </xf>
    <xf numFmtId="0" fontId="45" fillId="4" borderId="8" xfId="0" applyFont="1" applyFill="1" applyBorder="1" applyAlignment="1">
      <alignment horizontal="center"/>
    </xf>
    <xf numFmtId="0" fontId="45" fillId="4" borderId="13" xfId="0" applyFont="1" applyFill="1" applyBorder="1" applyAlignment="1">
      <alignment horizontal="center"/>
    </xf>
    <xf numFmtId="0" fontId="45" fillId="4" borderId="12" xfId="0" applyFont="1" applyFill="1" applyBorder="1" applyAlignment="1">
      <alignment horizontal="center"/>
    </xf>
    <xf numFmtId="0" fontId="54" fillId="4" borderId="0" xfId="20" applyFont="1" applyFill="1" applyAlignment="1">
      <alignment horizontal="center"/>
    </xf>
    <xf numFmtId="0" fontId="55" fillId="12" borderId="118" xfId="0" applyFont="1" applyFill="1" applyBorder="1" applyAlignment="1">
      <alignment horizontal="center" vertical="center"/>
    </xf>
    <xf numFmtId="0" fontId="55" fillId="12" borderId="121" xfId="0" applyFont="1" applyFill="1" applyBorder="1" applyAlignment="1">
      <alignment horizontal="center" vertical="center"/>
    </xf>
    <xf numFmtId="4" fontId="50" fillId="10" borderId="97" xfId="7" applyFont="1" applyFill="1" applyBorder="1" applyAlignment="1">
      <alignment horizontal="center"/>
    </xf>
    <xf numFmtId="4" fontId="50" fillId="10" borderId="93" xfId="7" applyFont="1" applyFill="1" applyBorder="1" applyAlignment="1">
      <alignment horizontal="center"/>
    </xf>
    <xf numFmtId="4" fontId="50" fillId="10" borderId="98" xfId="7" applyFont="1" applyFill="1" applyBorder="1" applyAlignment="1">
      <alignment horizontal="center"/>
    </xf>
    <xf numFmtId="4" fontId="50" fillId="8" borderId="79" xfId="7" applyFont="1" applyFill="1" applyBorder="1" applyAlignment="1">
      <alignment horizontal="center"/>
    </xf>
    <xf numFmtId="4" fontId="50" fillId="8" borderId="0" xfId="7" applyFont="1" applyFill="1" applyBorder="1" applyAlignment="1">
      <alignment horizontal="center"/>
    </xf>
    <xf numFmtId="4" fontId="50" fillId="8" borderId="80" xfId="7" applyFont="1" applyFill="1" applyBorder="1" applyAlignment="1">
      <alignment horizontal="center"/>
    </xf>
    <xf numFmtId="4" fontId="10" fillId="6" borderId="81" xfId="7" applyFont="1" applyFill="1" applyBorder="1" applyAlignment="1">
      <alignment horizontal="center"/>
    </xf>
    <xf numFmtId="4" fontId="10" fillId="6" borderId="82" xfId="7" applyFont="1" applyFill="1" applyBorder="1" applyAlignment="1">
      <alignment horizontal="center"/>
    </xf>
    <xf numFmtId="4" fontId="10" fillId="6" borderId="83" xfId="7" applyFont="1" applyFill="1" applyBorder="1" applyAlignment="1">
      <alignment horizontal="center"/>
    </xf>
    <xf numFmtId="0" fontId="39" fillId="4" borderId="65" xfId="0" applyFont="1" applyFill="1" applyBorder="1" applyAlignment="1">
      <alignment horizontal="center" vertical="center"/>
    </xf>
    <xf numFmtId="0" fontId="39" fillId="4" borderId="66" xfId="0" applyFont="1" applyFill="1" applyBorder="1" applyAlignment="1">
      <alignment horizontal="center" vertical="center"/>
    </xf>
    <xf numFmtId="0" fontId="39" fillId="4" borderId="67" xfId="0" applyFont="1" applyFill="1" applyBorder="1" applyAlignment="1">
      <alignment horizontal="center" vertical="center"/>
    </xf>
    <xf numFmtId="0" fontId="20" fillId="4" borderId="27" xfId="1" applyFill="1" applyBorder="1" applyAlignment="1">
      <alignment horizontal="center" vertical="center" readingOrder="1"/>
    </xf>
    <xf numFmtId="0" fontId="20" fillId="4" borderId="28" xfId="1" applyFill="1" applyBorder="1" applyAlignment="1">
      <alignment horizontal="center" vertical="center" readingOrder="1"/>
    </xf>
    <xf numFmtId="0" fontId="20" fillId="4" borderId="29" xfId="1" applyFill="1" applyBorder="1" applyAlignment="1">
      <alignment horizontal="center" vertical="center" readingOrder="1"/>
    </xf>
    <xf numFmtId="0" fontId="39" fillId="4" borderId="8" xfId="0" applyFont="1" applyFill="1" applyBorder="1" applyAlignment="1">
      <alignment horizontal="center"/>
    </xf>
    <xf numFmtId="0" fontId="39" fillId="4" borderId="68" xfId="0" applyFont="1" applyFill="1" applyBorder="1" applyAlignment="1">
      <alignment horizontal="center"/>
    </xf>
    <xf numFmtId="0" fontId="41" fillId="0" borderId="15" xfId="0" applyFont="1" applyBorder="1" applyAlignment="1">
      <alignment horizontal="center" vertical="center" wrapText="1"/>
    </xf>
    <xf numFmtId="0" fontId="41" fillId="0" borderId="69" xfId="0" applyFont="1" applyBorder="1" applyAlignment="1">
      <alignment horizontal="center" vertical="center" wrapText="1"/>
    </xf>
    <xf numFmtId="0" fontId="39" fillId="4" borderId="94" xfId="0" applyFont="1" applyFill="1" applyBorder="1" applyAlignment="1">
      <alignment horizontal="center" vertical="center"/>
    </xf>
    <xf numFmtId="0" fontId="39" fillId="4" borderId="95" xfId="0" applyFont="1" applyFill="1" applyBorder="1" applyAlignment="1">
      <alignment horizontal="center" vertical="center"/>
    </xf>
    <xf numFmtId="0" fontId="39" fillId="4" borderId="96" xfId="0" applyFont="1" applyFill="1" applyBorder="1" applyAlignment="1">
      <alignment horizontal="center" vertical="center"/>
    </xf>
    <xf numFmtId="169" fontId="0" fillId="0" borderId="0" xfId="0" applyNumberFormat="1" applyAlignment="1">
      <alignment horizontal="center"/>
    </xf>
    <xf numFmtId="0" fontId="45" fillId="4" borderId="0" xfId="0" applyFont="1" applyFill="1" applyAlignment="1">
      <alignment horizontal="center"/>
    </xf>
    <xf numFmtId="170" fontId="0" fillId="0" borderId="0" xfId="0" applyNumberFormat="1" applyAlignment="1">
      <alignment horizontal="center"/>
    </xf>
    <xf numFmtId="0" fontId="0" fillId="0" borderId="0" xfId="0" applyAlignment="1">
      <alignment horizontal="center"/>
    </xf>
    <xf numFmtId="0" fontId="62" fillId="0" borderId="3" xfId="33" applyFont="1" applyBorder="1" applyAlignment="1">
      <alignment horizontal="center" vertical="center" wrapText="1"/>
    </xf>
    <xf numFmtId="0" fontId="62" fillId="0" borderId="4" xfId="33" applyFont="1" applyBorder="1" applyAlignment="1">
      <alignment horizontal="center" vertical="center" wrapText="1"/>
    </xf>
    <xf numFmtId="0" fontId="62" fillId="0" borderId="2" xfId="33" applyFont="1" applyBorder="1" applyAlignment="1">
      <alignment horizontal="center" vertical="center" wrapText="1"/>
    </xf>
    <xf numFmtId="0" fontId="62" fillId="0" borderId="3" xfId="33" applyFont="1" applyBorder="1" applyAlignment="1">
      <alignment horizontal="left" vertical="center"/>
    </xf>
    <xf numFmtId="0" fontId="62" fillId="0" borderId="4" xfId="33" applyFont="1" applyBorder="1" applyAlignment="1">
      <alignment horizontal="left" vertical="center"/>
    </xf>
    <xf numFmtId="0" fontId="62" fillId="0" borderId="2" xfId="33" applyFont="1" applyBorder="1" applyAlignment="1">
      <alignment horizontal="left" vertical="center"/>
    </xf>
    <xf numFmtId="0" fontId="45" fillId="4" borderId="0" xfId="33" applyFont="1" applyFill="1" applyAlignment="1">
      <alignment horizontal="center"/>
    </xf>
    <xf numFmtId="0" fontId="15" fillId="0" borderId="90" xfId="33" applyFont="1" applyBorder="1" applyAlignment="1">
      <alignment horizontal="center" vertical="center" wrapText="1"/>
    </xf>
    <xf numFmtId="0" fontId="62" fillId="0" borderId="3" xfId="33" applyFont="1" applyBorder="1" applyAlignment="1">
      <alignment horizontal="center" vertical="center"/>
    </xf>
    <xf numFmtId="0" fontId="62" fillId="0" borderId="4" xfId="33" applyFont="1" applyBorder="1" applyAlignment="1">
      <alignment horizontal="center" vertical="center"/>
    </xf>
    <xf numFmtId="0" fontId="62" fillId="0" borderId="2" xfId="33" applyFont="1" applyBorder="1" applyAlignment="1">
      <alignment horizontal="center" vertical="center"/>
    </xf>
    <xf numFmtId="0" fontId="62" fillId="0" borderId="90" xfId="33" applyFont="1" applyBorder="1" applyAlignment="1">
      <alignment horizontal="left" vertical="center" wrapText="1"/>
    </xf>
    <xf numFmtId="0" fontId="11" fillId="0" borderId="0" xfId="24" applyFont="1" applyAlignment="1">
      <alignment horizontal="center"/>
    </xf>
    <xf numFmtId="0" fontId="58" fillId="0" borderId="0" xfId="24" applyFont="1" applyAlignment="1">
      <alignment horizontal="center"/>
    </xf>
    <xf numFmtId="0" fontId="61" fillId="0" borderId="0" xfId="24" applyFont="1" applyAlignment="1">
      <alignment horizontal="center"/>
    </xf>
    <xf numFmtId="3" fontId="32" fillId="0" borderId="0" xfId="24" applyNumberFormat="1" applyFont="1" applyAlignment="1">
      <alignment horizontal="center" vertical="center"/>
    </xf>
    <xf numFmtId="0" fontId="32" fillId="17" borderId="0" xfId="24" applyFont="1" applyFill="1" applyAlignment="1">
      <alignment horizontal="center" vertical="center"/>
    </xf>
    <xf numFmtId="0" fontId="61" fillId="17" borderId="0" xfId="24" applyFont="1" applyFill="1" applyAlignment="1">
      <alignment horizontal="center"/>
    </xf>
  </cellXfs>
  <cellStyles count="39">
    <cellStyle name="blp_title_header_row_left" xfId="1" xr:uid="{00000000-0005-0000-0000-000000000000}"/>
    <cellStyle name="Comma" xfId="37" builtinId="3"/>
    <cellStyle name="fa_column_header_bottom_left 2" xfId="2" xr:uid="{00000000-0005-0000-0000-000002000000}"/>
    <cellStyle name="fa_column_header_top 2" xfId="3" xr:uid="{00000000-0005-0000-0000-000003000000}"/>
    <cellStyle name="fa_column_header_top_left 2" xfId="4" xr:uid="{00000000-0005-0000-0000-000004000000}"/>
    <cellStyle name="fa_data_bold_0_grouped" xfId="5" xr:uid="{00000000-0005-0000-0000-000005000000}"/>
    <cellStyle name="fa_data_standard_1_grouped" xfId="6" xr:uid="{00000000-0005-0000-0000-000006000000}"/>
    <cellStyle name="fa_data_standard_2_grouped" xfId="7" xr:uid="{00000000-0005-0000-0000-000007000000}"/>
    <cellStyle name="fa_row_header_bold 2" xfId="8" xr:uid="{00000000-0005-0000-0000-000008000000}"/>
    <cellStyle name="fa_row_header_standard 2" xfId="9" xr:uid="{00000000-0005-0000-0000-000009000000}"/>
    <cellStyle name="Hyperlink" xfId="10" builtinId="8"/>
    <cellStyle name="Millares 2" xfId="29" xr:uid="{00000000-0005-0000-0000-00000B000000}"/>
    <cellStyle name="Moneda 2" xfId="11" xr:uid="{00000000-0005-0000-0000-00000C000000}"/>
    <cellStyle name="Moneda 2 2" xfId="12" xr:uid="{00000000-0005-0000-0000-00000D000000}"/>
    <cellStyle name="Moneda 2 2 2" xfId="22" xr:uid="{00000000-0005-0000-0000-00000E000000}"/>
    <cellStyle name="Moneda 2 3" xfId="21" xr:uid="{00000000-0005-0000-0000-00000F000000}"/>
    <cellStyle name="Moneda 3" xfId="30" xr:uid="{00000000-0005-0000-0000-000010000000}"/>
    <cellStyle name="Normal" xfId="0" builtinId="0"/>
    <cellStyle name="Normal 2" xfId="13" xr:uid="{00000000-0005-0000-0000-000012000000}"/>
    <cellStyle name="Normal 2 2" xfId="14" xr:uid="{00000000-0005-0000-0000-000013000000}"/>
    <cellStyle name="Normal 2 2 2" xfId="24" xr:uid="{00000000-0005-0000-0000-000014000000}"/>
    <cellStyle name="Normal 2 3" xfId="19" xr:uid="{00000000-0005-0000-0000-000015000000}"/>
    <cellStyle name="Normal 2 3 2" xfId="28" xr:uid="{00000000-0005-0000-0000-000016000000}"/>
    <cellStyle name="Normal 2 4" xfId="23" xr:uid="{00000000-0005-0000-0000-000017000000}"/>
    <cellStyle name="Normal 2 4 2" xfId="31" xr:uid="{00000000-0005-0000-0000-000018000000}"/>
    <cellStyle name="Normal 3" xfId="38" xr:uid="{00000000-0005-0000-0000-000019000000}"/>
    <cellStyle name="Normal 3 2" xfId="20" xr:uid="{00000000-0005-0000-0000-00001A000000}"/>
    <cellStyle name="Normal 3 3" xfId="32" xr:uid="{00000000-0005-0000-0000-00001B000000}"/>
    <cellStyle name="Normal 3 3 2" xfId="33" xr:uid="{00000000-0005-0000-0000-00001C000000}"/>
    <cellStyle name="Normal 5" xfId="34" xr:uid="{00000000-0005-0000-0000-00001D000000}"/>
    <cellStyle name="Per cent" xfId="15" builtinId="5"/>
    <cellStyle name="Porcentaje 2" xfId="16" xr:uid="{00000000-0005-0000-0000-00001F000000}"/>
    <cellStyle name="Porcentaje 2 2" xfId="17" xr:uid="{00000000-0005-0000-0000-000020000000}"/>
    <cellStyle name="Porcentaje 2 2 2" xfId="26" xr:uid="{00000000-0005-0000-0000-000021000000}"/>
    <cellStyle name="Porcentaje 2 3" xfId="25" xr:uid="{00000000-0005-0000-0000-000022000000}"/>
    <cellStyle name="Porcentaje 3" xfId="18" xr:uid="{00000000-0005-0000-0000-000023000000}"/>
    <cellStyle name="Porcentaje 3 2" xfId="27" xr:uid="{00000000-0005-0000-0000-000024000000}"/>
    <cellStyle name="Porcentaje 4 2" xfId="36" xr:uid="{00000000-0005-0000-0000-000025000000}"/>
    <cellStyle name="Porcentaje 5" xfId="35" xr:uid="{00000000-0005-0000-0000-000026000000}"/>
  </cellStyles>
  <dxfs count="1">
    <dxf>
      <font>
        <color theme="0" tint="-0.499984740745262"/>
      </font>
      <fill>
        <patternFill>
          <bgColor theme="0" tint="-0.499984740745262"/>
        </patternFill>
      </fill>
    </dxf>
  </dxfs>
  <tableStyles count="0" defaultTableStyle="TableStyleMedium9" defaultPivotStyle="PivotStyleLight16"/>
  <colors>
    <mruColors>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22/10/relationships/richValueRel" Target="richData/richValueRel.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 ##0</c:formatCode>
                <c:ptCount val="5"/>
                <c:pt idx="0">
                  <c:v>221.6</c:v>
                </c:pt>
                <c:pt idx="1">
                  <c:v>468.4</c:v>
                </c:pt>
                <c:pt idx="2">
                  <c:v>299.16000000000003</c:v>
                </c:pt>
                <c:pt idx="3">
                  <c:v>309.33144000000004</c:v>
                </c:pt>
                <c:pt idx="4">
                  <c:v>338.71792680000004</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-0.24368231046931407</c:v>
                </c:pt>
                <c:pt idx="1">
                  <c:v>-0.17292912040990607</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 ##0</c:formatCode>
                <c:ptCount val="5"/>
                <c:pt idx="0">
                  <c:v>-35.299999999999997</c:v>
                </c:pt>
                <c:pt idx="1">
                  <c:v>-708.7</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 ##0</c:formatCode>
                <c:ptCount val="5"/>
                <c:pt idx="0">
                  <c:v>58073</c:v>
                </c:pt>
                <c:pt idx="1">
                  <c:v>61045</c:v>
                </c:pt>
                <c:pt idx="2">
                  <c:v>-2824.6920182460176</c:v>
                </c:pt>
                <c:pt idx="3">
                  <c:v>-2897.8892171533935</c:v>
                </c:pt>
                <c:pt idx="4">
                  <c:v>-3078.3151519298099</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43</xdr:row>
      <xdr:rowOff>0</xdr:rowOff>
    </xdr:from>
    <xdr:to>
      <xdr:col>15</xdr:col>
      <xdr:colOff>304800</xdr:colOff>
      <xdr:row>43</xdr:row>
      <xdr:rowOff>304800</xdr:rowOff>
    </xdr:to>
    <xdr:sp macro="" textlink="">
      <xdr:nvSpPr>
        <xdr:cNvPr id="2147" name="AutoShape 99">
          <a:extLst>
            <a:ext uri="{FF2B5EF4-FFF2-40B4-BE49-F238E27FC236}">
              <a16:creationId xmlns:a16="http://schemas.microsoft.com/office/drawing/2014/main" id="{0DA54981-B28F-88AE-6023-12F6090F693F}"/>
            </a:ext>
          </a:extLst>
        </xdr:cNvPr>
        <xdr:cNvSpPr>
          <a:spLocks noChangeAspect="1" noChangeArrowheads="1"/>
        </xdr:cNvSpPr>
      </xdr:nvSpPr>
      <xdr:spPr bwMode="auto">
        <a:xfrm>
          <a:off x="16436340" y="12016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49</xdr:row>
      <xdr:rowOff>0</xdr:rowOff>
    </xdr:from>
    <xdr:to>
      <xdr:col>15</xdr:col>
      <xdr:colOff>304800</xdr:colOff>
      <xdr:row>49</xdr:row>
      <xdr:rowOff>305052</xdr:rowOff>
    </xdr:to>
    <xdr:sp macro="" textlink="">
      <xdr:nvSpPr>
        <xdr:cNvPr id="2148" name="AutoShape 100">
          <a:extLst>
            <a:ext uri="{FF2B5EF4-FFF2-40B4-BE49-F238E27FC236}">
              <a16:creationId xmlns:a16="http://schemas.microsoft.com/office/drawing/2014/main" id="{2EA9BE5E-1285-3F5C-A184-B98D529AC7D8}"/>
            </a:ext>
          </a:extLst>
        </xdr:cNvPr>
        <xdr:cNvSpPr>
          <a:spLocks noChangeAspect="1" noChangeArrowheads="1"/>
        </xdr:cNvSpPr>
      </xdr:nvSpPr>
      <xdr:spPr bwMode="auto">
        <a:xfrm>
          <a:off x="16436340" y="1378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7</xdr:col>
      <xdr:colOff>608320</xdr:colOff>
      <xdr:row>15</xdr:row>
      <xdr:rowOff>85378</xdr:rowOff>
    </xdr:from>
    <xdr:ext cx="184731" cy="264560"/>
    <xdr:sp macro="" textlink="">
      <xdr:nvSpPr>
        <xdr:cNvPr id="2" name="TextBox 1">
          <a:extLst>
            <a:ext uri="{FF2B5EF4-FFF2-40B4-BE49-F238E27FC236}">
              <a16:creationId xmlns:a16="http://schemas.microsoft.com/office/drawing/2014/main" id="{DEE11371-4C30-EA0F-E36B-F58BD8F6408F}"/>
            </a:ext>
          </a:extLst>
        </xdr:cNvPr>
        <xdr:cNvSpPr txBox="1"/>
      </xdr:nvSpPr>
      <xdr:spPr>
        <a:xfrm>
          <a:off x="11814202" y="24119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437564</xdr:colOff>
      <xdr:row>1</xdr:row>
      <xdr:rowOff>0</xdr:rowOff>
    </xdr:from>
    <xdr:to>
      <xdr:col>9</xdr:col>
      <xdr:colOff>149413</xdr:colOff>
      <xdr:row>5</xdr:row>
      <xdr:rowOff>160084</xdr:rowOff>
    </xdr:to>
    <xdr:sp macro="" textlink="">
      <xdr:nvSpPr>
        <xdr:cNvPr id="914880" name="TextBox 2">
          <a:extLst>
            <a:ext uri="{FF2B5EF4-FFF2-40B4-BE49-F238E27FC236}">
              <a16:creationId xmlns:a16="http://schemas.microsoft.com/office/drawing/2014/main" id="{266403F7-5082-5240-449F-F435797FE4E8}"/>
            </a:ext>
          </a:extLst>
        </xdr:cNvPr>
        <xdr:cNvSpPr txBox="1"/>
      </xdr:nvSpPr>
      <xdr:spPr>
        <a:xfrm>
          <a:off x="9018068" y="64034"/>
          <a:ext cx="4087479" cy="885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Magnite</a:t>
          </a:r>
          <a:r>
            <a:rPr lang="en-US" sz="1100" baseline="0"/>
            <a:t> Inc: </a:t>
          </a:r>
          <a:r>
            <a:rPr lang="en-US" sz="1100">
              <a:solidFill>
                <a:schemeClr val="dk1"/>
              </a:solidFill>
              <a:effectLst/>
              <a:latin typeface="+mn-lt"/>
              <a:ea typeface="+mn-ea"/>
              <a:cs typeface="+mn-cs"/>
            </a:rPr>
            <a:t>is a sell-side advertising technology company that provides a platform for publishers to monetize digital advertising inventory across multiple channels. </a:t>
          </a: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Industry: </a:t>
          </a:r>
          <a:r>
            <a:rPr lang="en-US" sz="1100">
              <a:solidFill>
                <a:schemeClr val="dk1"/>
              </a:solidFill>
              <a:effectLst/>
              <a:latin typeface="+mn-lt"/>
              <a:ea typeface="+mn-ea"/>
              <a:cs typeface="+mn-cs"/>
            </a:rPr>
            <a:t>AdTech (Supply-Side Platform)</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endParaRPr lang="en-US" sz="1100"/>
        </a:p>
      </xdr:txBody>
    </xdr:sp>
    <xdr:clientData/>
  </xdr:twoCellAnchor>
  <xdr:twoCellAnchor>
    <xdr:from>
      <xdr:col>4</xdr:col>
      <xdr:colOff>437563</xdr:colOff>
      <xdr:row>8</xdr:row>
      <xdr:rowOff>128068</xdr:rowOff>
    </xdr:from>
    <xdr:to>
      <xdr:col>9</xdr:col>
      <xdr:colOff>138739</xdr:colOff>
      <xdr:row>11</xdr:row>
      <xdr:rowOff>21346</xdr:rowOff>
    </xdr:to>
    <xdr:sp macro="" textlink="">
      <xdr:nvSpPr>
        <xdr:cNvPr id="914881" name="TextBox 914880">
          <a:extLst>
            <a:ext uri="{FF2B5EF4-FFF2-40B4-BE49-F238E27FC236}">
              <a16:creationId xmlns:a16="http://schemas.microsoft.com/office/drawing/2014/main" id="{15FB6026-B7AE-7428-832E-EB597C7398F1}"/>
            </a:ext>
          </a:extLst>
        </xdr:cNvPr>
        <xdr:cNvSpPr txBox="1"/>
      </xdr:nvSpPr>
      <xdr:spPr>
        <a:xfrm>
          <a:off x="9018067" y="1109917"/>
          <a:ext cx="4076806" cy="46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PubMatic: </a:t>
          </a:r>
          <a:r>
            <a:rPr lang="en-US" sz="1100">
              <a:solidFill>
                <a:schemeClr val="dk1"/>
              </a:solidFill>
              <a:effectLst/>
              <a:latin typeface="+mn-lt"/>
              <a:ea typeface="+mn-ea"/>
              <a:cs typeface="+mn-cs"/>
            </a:rPr>
            <a:t>Is the closest competitor.</a:t>
          </a:r>
          <a:r>
            <a:rPr lang="en-US" sz="1100" baseline="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Industry: </a:t>
          </a:r>
          <a:r>
            <a:rPr lang="en-US" sz="1100">
              <a:solidFill>
                <a:schemeClr val="dk1"/>
              </a:solidFill>
              <a:effectLst/>
              <a:latin typeface="+mn-lt"/>
              <a:ea typeface="+mn-ea"/>
              <a:cs typeface="+mn-cs"/>
            </a:rPr>
            <a:t>AdTech (Supply-Side Platform)</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endParaRPr lang="en-US" sz="1100"/>
        </a:p>
      </xdr:txBody>
    </xdr:sp>
    <xdr:clientData/>
  </xdr:twoCellAnchor>
  <xdr:twoCellAnchor>
    <xdr:from>
      <xdr:col>4</xdr:col>
      <xdr:colOff>437562</xdr:colOff>
      <xdr:row>11</xdr:row>
      <xdr:rowOff>181429</xdr:rowOff>
    </xdr:from>
    <xdr:to>
      <xdr:col>9</xdr:col>
      <xdr:colOff>128067</xdr:colOff>
      <xdr:row>15</xdr:row>
      <xdr:rowOff>42689</xdr:rowOff>
    </xdr:to>
    <xdr:sp macro="" textlink="">
      <xdr:nvSpPr>
        <xdr:cNvPr id="914882" name="TextBox 914881">
          <a:extLst>
            <a:ext uri="{FF2B5EF4-FFF2-40B4-BE49-F238E27FC236}">
              <a16:creationId xmlns:a16="http://schemas.microsoft.com/office/drawing/2014/main" id="{4A2AD3F6-0DF2-4040-C9A7-7AA7701D845C}"/>
            </a:ext>
          </a:extLst>
        </xdr:cNvPr>
        <xdr:cNvSpPr txBox="1"/>
      </xdr:nvSpPr>
      <xdr:spPr>
        <a:xfrm>
          <a:off x="9018066" y="1739580"/>
          <a:ext cx="4066135" cy="6296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Taboola: Operates in</a:t>
          </a:r>
          <a:r>
            <a:rPr lang="en-US" sz="1100" baseline="0"/>
            <a:t> a similar industry, the main difference being that they work with the customs ads.</a:t>
          </a: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Industry: Content Discovery &amp; Native Advertising</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206375</xdr:colOff>
      <xdr:row>32</xdr:row>
      <xdr:rowOff>111125</xdr:rowOff>
    </xdr:from>
    <xdr:to>
      <xdr:col>8</xdr:col>
      <xdr:colOff>5521</xdr:colOff>
      <xdr:row>50</xdr:row>
      <xdr:rowOff>29660</xdr:rowOff>
    </xdr:to>
    <xdr:pic>
      <xdr:nvPicPr>
        <xdr:cNvPr id="2" name="Picture 1">
          <a:extLst>
            <a:ext uri="{FF2B5EF4-FFF2-40B4-BE49-F238E27FC236}">
              <a16:creationId xmlns:a16="http://schemas.microsoft.com/office/drawing/2014/main" id="{FDF41AAA-59A1-E540-6ADB-0CED6C28B52D}"/>
            </a:ext>
          </a:extLst>
        </xdr:cNvPr>
        <xdr:cNvPicPr>
          <a:picLocks noChangeAspect="1"/>
        </xdr:cNvPicPr>
      </xdr:nvPicPr>
      <xdr:blipFill>
        <a:blip xmlns:r="http://schemas.openxmlformats.org/officeDocument/2006/relationships" r:embed="rId1"/>
        <a:stretch>
          <a:fillRect/>
        </a:stretch>
      </xdr:blipFill>
      <xdr:spPr>
        <a:xfrm>
          <a:off x="7318375" y="5494821"/>
          <a:ext cx="8959711" cy="2839534"/>
        </a:xfrm>
        <a:prstGeom prst="rect">
          <a:avLst/>
        </a:prstGeom>
        <a:ln w="12700">
          <a:solidFill>
            <a:srgbClr val="002060"/>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Luisa Ditomaso Ferreira da Costa" id="{E6BCA87E-7169-D744-BB46-344F3A7A516A}" userId="S::luisa.ditomaso@aln.iseg.ulisboa.pt::273961bf-3a6f-46ae-94dd-cb3fc29e3911"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https://www.bing.com/financeapi/forcetrigger?t=a22b4c&amp;q=XNAS%3aMGNI&amp;form=skydnc</v>
    <v>Learn more on Bing</v>
  </rv>
  <rv s="1">
    <v>en-GB</v>
    <v>a22b4c</v>
    <v>268435456</v>
    <v>1</v>
    <v>Powered by Refinitiv</v>
    <v>0</v>
    <v>MAGNITE, INC. (XNAS:MGNI)</v>
    <v>2</v>
    <v>3</v>
    <v>Finance</v>
    <v>4</v>
    <v>21.29</v>
    <v>8.2200000000000006</v>
    <v>2.7555999999999998</v>
    <v>0</v>
    <v>0</v>
    <v>USD</v>
    <v>Magnite, Inc. is an independent sell-side advertising company. The Company provides technology solutions to automate the purchase and sale of digital advertising inventory. Its platform features applications and services for sellers of digital advertising inventory, or publishers, that own and operate connected television (CTV) channels, applications, websites and other digital media properties, to manage and monetize their inventory; applications and services for buyers, including advertisers, agencies, agency trading desks, and demand side platforms, (DSPs), to buy digital advertising inventory; and a transparent, independent marketplace that brings buyers and sellers together and facilitates intelligent decision making and automated transaction execution at scale. The Company's streaming sell-side advertising platform (SSP) and ad server offers CTV sellers a holistic solution for workflow, yield management and monetization, across both programmatic and direct-sold video inventory.</v>
    <v>905</v>
    <v>Nasdaq Stock Market</v>
    <v>XNAS</v>
    <v>XNAS</v>
    <v>1250 Broadway, 15Th Floor, NEW YORK, NY, 10001 US</v>
    <v>10.255000000000001</v>
    <v>Media &amp; Publishing</v>
    <v>Stock</v>
    <v>45761.991492407033</v>
    <v>0</v>
    <v>9.5399999999999991</v>
    <v>1383769000</v>
    <v>MAGNITE, INC.</v>
    <v>MAGNITE, INC.</v>
    <v>10.029999999999999</v>
    <v>81.276200000000003</v>
    <v>9.68</v>
    <v>9.68</v>
    <v>142951400</v>
    <v>MGNI</v>
    <v>MAGNITE, INC. (XNAS:MGNI)</v>
    <v>1066</v>
    <v>2739973</v>
    <v>2007</v>
  </rv>
  <rv s="2">
    <v>1</v>
  </rv>
  <rv s="3">
    <v>0</v>
    <v>5</v>
  </rv>
  <rv s="3">
    <v>1</v>
    <v>5</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27" formatCode="dd/mm/yyyy\ hh:mm"/>
    </x:dxf>
    <x:dxf>
      <x:numFmt numFmtId="14" formatCode="0.00%"/>
    </x:dxf>
    <x:dxf>
      <x:numFmt numFmtId="2"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5">
      <rpv i="0">#,##0.00</rpv>
    </rSty>
    <rSty>
      <rpv i="1">1</rpv>
    </rSty>
    <rSty dxfid="4">
      <rpv i="0">#,##0</rpv>
    </rSty>
    <rSty dxfid="2"/>
    <rSty dxfid="0">
      <rpv i="0">_([$$-en-US]* #,##0_);_([$$-en-US]* (#,##0);_([$$-en-US]* "-"_);_(@_)</rpv>
    </rSty>
    <rSty dxfid="1"/>
    <rSty dxfid="6">
      <rpv i="0">0</rpv>
    </rSty>
    <rSty dxfid="3">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 dT="2025-02-21T17:50:00.43" personId="{E6BCA87E-7169-D744-BB46-344F3A7A516A}" id="{92A736B0-E494-2F49-AF22-AFFB37C970B7}">
    <text>Values in millions of USD</text>
  </threadedComment>
  <threadedComment ref="L4" dT="2025-02-21T17:49:45.16" personId="{E6BCA87E-7169-D744-BB46-344F3A7A516A}" id="{6E68EF53-F84C-0340-8953-1501ED2F0475}">
    <text xml:space="preserve">Values in millions of USD
</text>
  </threadedComment>
  <threadedComment ref="B17" dT="2025-02-21T17:50:11.89" personId="{E6BCA87E-7169-D744-BB46-344F3A7A516A}" id="{6E056E02-BD8A-ED42-B1F3-D06E3B40D6B6}">
    <text>Values in millions of USD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2.xml"/><Relationship Id="rId4" Type="http://schemas.openxmlformats.org/officeDocument/2006/relationships/hyperlink" Target="https://www.cnbc.com/2020/02/18/the-significance-of-apples-coronavirus-warning.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mailto:VPN*@i%25"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BT60"/>
  <sheetViews>
    <sheetView showGridLines="0" topLeftCell="A4" zoomScale="85" zoomScaleNormal="85" workbookViewId="0">
      <selection activeCell="L10" sqref="L10"/>
    </sheetView>
  </sheetViews>
  <sheetFormatPr defaultColWidth="11.453125" defaultRowHeight="12.5"/>
  <cols>
    <col min="1" max="1" width="0.7265625" customWidth="1"/>
    <col min="2" max="2" width="19.1796875" customWidth="1"/>
    <col min="3" max="3" width="29.7265625" customWidth="1"/>
    <col min="4" max="4" width="23.26953125" customWidth="1"/>
    <col min="5" max="5" width="21.7265625" customWidth="1"/>
    <col min="6" max="6" width="13.7265625" customWidth="1"/>
    <col min="7" max="7" width="14.453125" customWidth="1"/>
    <col min="8" max="8" width="20.453125" customWidth="1"/>
    <col min="9" max="9" width="17.7265625" customWidth="1"/>
    <col min="10" max="10" width="24.453125" customWidth="1"/>
    <col min="11" max="11" width="20.1796875" customWidth="1"/>
    <col min="12" max="12" width="29.7265625" customWidth="1"/>
    <col min="13" max="13" width="1" customWidth="1"/>
    <col min="14" max="14" width="7.7265625" style="19" customWidth="1"/>
    <col min="15" max="15" width="15.453125" style="143" bestFit="1" customWidth="1"/>
    <col min="16" max="16" width="11.453125" style="19"/>
    <col min="21" max="30" width="11.453125" style="11" customWidth="1"/>
  </cols>
  <sheetData>
    <row r="1" spans="2:17" ht="3.75" customHeight="1" thickBot="1"/>
    <row r="2" spans="2:17" ht="31.5" customHeight="1">
      <c r="B2" s="420">
        <v>45761</v>
      </c>
      <c r="C2" s="101" t="s">
        <v>264</v>
      </c>
      <c r="D2" s="462" t="s">
        <v>481</v>
      </c>
      <c r="E2" s="604" t="e" vm="1">
        <v>#VALUE!</v>
      </c>
      <c r="F2" s="605"/>
      <c r="G2" s="605"/>
      <c r="H2" s="605"/>
      <c r="I2" s="605"/>
      <c r="J2" s="606"/>
      <c r="K2" s="98" t="s">
        <v>480</v>
      </c>
      <c r="L2" s="121" t="s">
        <v>174</v>
      </c>
    </row>
    <row r="3" spans="2:17" ht="72" customHeight="1">
      <c r="B3" s="612" t="e" vm="2">
        <v>#VALUE!</v>
      </c>
      <c r="C3" s="613"/>
      <c r="D3" s="614" t="str" cm="1">
        <f t="array" aca="1" ref="D3" ca="1">_FV(E2,"Description")</f>
        <v>Magnite, Inc. is an independent sell-side advertising company. The Company provides technology solutions to automate the purchase and sale of digital advertising inventory. Its platform features applications and services for sellers of digital advertising inventory, or publishers, that own and operate connected television (CTV) channels, applications, websites and other digital media properties, to manage and monetize their inventory; applications and services for buyers, including advertisers, agencies, agency trading desks, and demand side platforms, (DSPs), to buy digital advertising inventory; and a transparent, independent marketplace that brings buyers and sellers together and facilitates intelligent decision making and automated transaction execution at scale. The Company's streaming sell-side advertising platform (SSP) and ad server offers CTV sellers a holistic solution for workflow, yield management and monetization, across both programmatic and direct-sold video inventory.</v>
      </c>
      <c r="E3" s="614"/>
      <c r="F3" s="614"/>
      <c r="G3" s="614"/>
      <c r="H3" s="614"/>
      <c r="I3" s="614"/>
      <c r="J3" s="614"/>
      <c r="K3" s="614"/>
      <c r="L3" s="615"/>
      <c r="O3" s="19"/>
    </row>
    <row r="4" spans="2:17" ht="273" customHeight="1">
      <c r="B4" s="612"/>
      <c r="C4" s="613"/>
      <c r="D4" s="607" t="s">
        <v>494</v>
      </c>
      <c r="E4" s="607"/>
      <c r="F4" s="607"/>
      <c r="G4" s="607"/>
      <c r="H4" s="607"/>
      <c r="I4" s="607"/>
      <c r="J4" s="607"/>
      <c r="K4" s="607"/>
      <c r="L4" s="608"/>
    </row>
    <row r="5" spans="2:17" ht="25.5" customHeight="1">
      <c r="B5" s="609" t="s">
        <v>180</v>
      </c>
      <c r="C5" s="610"/>
      <c r="D5" s="607"/>
      <c r="E5" s="607"/>
      <c r="F5" s="607"/>
      <c r="G5" s="607"/>
      <c r="H5" s="607"/>
      <c r="I5" s="607"/>
      <c r="J5" s="607"/>
      <c r="K5" s="607"/>
      <c r="L5" s="608"/>
      <c r="N5" s="131"/>
    </row>
    <row r="6" spans="2:17" ht="13">
      <c r="B6" s="618" t="s">
        <v>105</v>
      </c>
      <c r="C6" s="619"/>
      <c r="D6" s="616" t="s">
        <v>170</v>
      </c>
      <c r="E6" s="616"/>
      <c r="F6" s="616" t="str">
        <f>Segments!B2</f>
        <v>Regions (2023)</v>
      </c>
      <c r="G6" s="616"/>
      <c r="H6" s="616"/>
      <c r="I6" s="616" t="s">
        <v>367</v>
      </c>
      <c r="J6" s="616"/>
      <c r="K6" s="616" t="s">
        <v>114</v>
      </c>
      <c r="L6" s="617"/>
    </row>
    <row r="7" spans="2:17" ht="13">
      <c r="B7" s="459" t="s">
        <v>35</v>
      </c>
      <c r="C7" s="582" cm="1">
        <f t="array" aca="1" ref="C7" ca="1">_FV(E2,"Price")</f>
        <v>9.68</v>
      </c>
      <c r="D7" s="460" t="s">
        <v>150</v>
      </c>
      <c r="E7" s="99">
        <f>Cifras_en_Millones!C45</f>
        <v>2689</v>
      </c>
      <c r="F7" s="631"/>
      <c r="G7" s="632"/>
      <c r="H7" s="96" t="s">
        <v>182</v>
      </c>
      <c r="I7" s="104" t="s">
        <v>115</v>
      </c>
      <c r="J7" s="128">
        <v>44926</v>
      </c>
      <c r="K7" s="104" t="s">
        <v>26</v>
      </c>
      <c r="L7" s="480">
        <f ca="1">138160000/C8</f>
        <v>0.96648231496858372</v>
      </c>
      <c r="Q7" s="102"/>
    </row>
    <row r="8" spans="2:17" ht="12.75" customHeight="1">
      <c r="B8" s="459" t="s">
        <v>28</v>
      </c>
      <c r="C8" s="468" cm="1">
        <f t="array" aca="1" ref="C8" ca="1">_FV(E2,"Shares outstanding",TRUE)</f>
        <v>142951400</v>
      </c>
      <c r="D8" s="461" t="s">
        <v>151</v>
      </c>
      <c r="E8" s="99">
        <f>Cifras_en_Millones!C57</f>
        <v>1987</v>
      </c>
      <c r="F8" s="141" t="str">
        <f>Segments!B4</f>
        <v xml:space="preserve">United States </v>
      </c>
      <c r="G8" s="142"/>
      <c r="H8" s="114" t="str">
        <f>+Segments!J4</f>
        <v>75%; N/A; 1%</v>
      </c>
      <c r="I8" s="104"/>
      <c r="J8" s="102"/>
      <c r="K8" s="104" t="s">
        <v>2</v>
      </c>
      <c r="L8" s="473">
        <v>2.3300000000000001E-2</v>
      </c>
      <c r="M8" s="11"/>
      <c r="O8" s="119"/>
      <c r="Q8" s="102"/>
    </row>
    <row r="9" spans="2:17" ht="12.75" customHeight="1">
      <c r="B9" s="107" t="s">
        <v>29</v>
      </c>
      <c r="C9" s="449">
        <f ca="1">C8*C7/1000000</f>
        <v>1383.769552</v>
      </c>
      <c r="D9" s="104" t="s">
        <v>37</v>
      </c>
      <c r="E9" s="446">
        <f ca="1">1000000*C11/C8</f>
        <v>2.280495329181806</v>
      </c>
      <c r="F9" s="141" t="str">
        <f>Segments!B5</f>
        <v xml:space="preserve">Other Internationals </v>
      </c>
      <c r="G9" s="142"/>
      <c r="H9" s="114" t="str">
        <f>+Segments!J5</f>
        <v>25%; N/A; 1%</v>
      </c>
      <c r="I9" s="104" t="s">
        <v>3</v>
      </c>
      <c r="J9" s="99">
        <f>Cifras_Originales!D8</f>
        <v>-112</v>
      </c>
      <c r="K9" s="69" t="s">
        <v>269</v>
      </c>
      <c r="L9" s="478">
        <v>2.52</v>
      </c>
      <c r="O9" s="119"/>
      <c r="Q9" s="102"/>
    </row>
    <row r="10" spans="2:17" ht="12.75" customHeight="1">
      <c r="B10" s="109" t="s">
        <v>36</v>
      </c>
      <c r="C10" s="99">
        <f>Cifras_Originales!D32+Cifras_Originales!D36</f>
        <v>726.30000000000007</v>
      </c>
      <c r="D10" s="104" t="s">
        <v>63</v>
      </c>
      <c r="E10" s="129">
        <f>Cifras_en_Millones!C19/Cifras_en_Millones!C14</f>
        <v>13.389166666666666</v>
      </c>
      <c r="F10" s="506"/>
      <c r="G10" s="507"/>
      <c r="H10" s="508"/>
      <c r="I10" s="110" t="s">
        <v>4</v>
      </c>
      <c r="J10" s="99">
        <f>Cifras_Originales!D11</f>
        <v>-216.1</v>
      </c>
      <c r="K10" s="104" t="s">
        <v>16</v>
      </c>
      <c r="L10" s="475" t="s">
        <v>512</v>
      </c>
      <c r="O10" s="119"/>
      <c r="Q10" s="102"/>
    </row>
    <row r="11" spans="2:17" ht="12.75" customHeight="1">
      <c r="B11" s="109" t="s">
        <v>48</v>
      </c>
      <c r="C11" s="99">
        <f>Cifras_Originales!D22</f>
        <v>326</v>
      </c>
      <c r="D11" s="104" t="s">
        <v>68</v>
      </c>
      <c r="E11" s="447">
        <f>OP!C10/Cifras_en_Millones!C19</f>
        <v>-1.6742391236696337</v>
      </c>
      <c r="F11" s="506"/>
      <c r="G11" s="507"/>
      <c r="H11" s="508"/>
      <c r="I11" s="110" t="s">
        <v>5</v>
      </c>
      <c r="J11" s="99">
        <f>J9+J10</f>
        <v>-328.1</v>
      </c>
      <c r="K11" s="104" t="s">
        <v>7</v>
      </c>
      <c r="L11" s="152">
        <f ca="1">((C7*C8)/1000000)/(E7-E8)</f>
        <v>1.971181698005698</v>
      </c>
      <c r="Q11" s="102"/>
    </row>
    <row r="12" spans="2:17" ht="12.75" customHeight="1">
      <c r="B12" s="109" t="s">
        <v>47</v>
      </c>
      <c r="C12" s="99">
        <f ca="1">C9+C10-C11</f>
        <v>1784.0695519999999</v>
      </c>
      <c r="D12" s="104" t="s">
        <v>50</v>
      </c>
      <c r="E12" s="105">
        <f>Cifras_en_Millones!C44/Cifras_en_Millones!C45</f>
        <v>0.42380066939382666</v>
      </c>
      <c r="F12" s="506"/>
      <c r="G12" s="507"/>
      <c r="H12" s="508"/>
      <c r="I12" s="104" t="s">
        <v>41</v>
      </c>
      <c r="J12" s="111">
        <f>Cifras_Originales!D16</f>
        <v>-130</v>
      </c>
      <c r="K12" s="104" t="s">
        <v>46</v>
      </c>
      <c r="L12" s="476">
        <f>J18/E7</f>
        <v>2.5784058509978926E-2</v>
      </c>
      <c r="Q12" s="102"/>
    </row>
    <row r="13" spans="2:17" ht="12.75" customHeight="1">
      <c r="B13" s="109" t="s">
        <v>163</v>
      </c>
      <c r="C13" s="410">
        <f ca="1">L8/C8</f>
        <v>1.6299245757649103E-10</v>
      </c>
      <c r="D13" s="104" t="s">
        <v>6</v>
      </c>
      <c r="E13" s="100">
        <f>C10/E7</f>
        <v>0.27010040907400523</v>
      </c>
      <c r="F13" s="616" t="str">
        <f>Segments!B15</f>
        <v>Products (2023)</v>
      </c>
      <c r="G13" s="616"/>
      <c r="H13" s="616"/>
      <c r="I13" s="104" t="s">
        <v>42</v>
      </c>
      <c r="J13" s="106">
        <f ca="1">1000000*J12/C7</f>
        <v>-13429752.066115703</v>
      </c>
      <c r="K13" s="104" t="s">
        <v>24</v>
      </c>
      <c r="L13" s="153">
        <f ca="1">C9/J17</f>
        <v>-15.593878068020464</v>
      </c>
      <c r="N13" s="19">
        <f>C10/J11</f>
        <v>-2.2136543736665653</v>
      </c>
      <c r="Q13" s="102"/>
    </row>
    <row r="14" spans="2:17" ht="12.75" customHeight="1">
      <c r="B14" s="107" t="s">
        <v>140</v>
      </c>
      <c r="C14" s="127">
        <f>C11-C10</f>
        <v>-400.30000000000007</v>
      </c>
      <c r="D14" s="104" t="s">
        <v>55</v>
      </c>
      <c r="E14" s="448">
        <f>AVERAGE(Cifras_en_Millones!C11/Cifras_en_Millones!C5,Cifras_en_Millones!D11/Cifras_en_Millones!D5,Cifras_en_Millones!E11/Cifras_en_Millones!E5)</f>
        <v>-0.20571282907733243</v>
      </c>
      <c r="G14" s="142"/>
      <c r="H14" s="96" t="s">
        <v>183</v>
      </c>
      <c r="I14" s="104" t="s">
        <v>56</v>
      </c>
      <c r="J14" s="151">
        <f>J12/E7</f>
        <v>-4.834510970621049E-2</v>
      </c>
      <c r="K14" s="104" t="s">
        <v>49</v>
      </c>
      <c r="L14" s="153">
        <f ca="1">C12/E7</f>
        <v>0.66346952473038301</v>
      </c>
      <c r="Q14" s="102"/>
    </row>
    <row r="15" spans="2:17" ht="12.75" customHeight="1">
      <c r="B15" s="107" t="s">
        <v>137</v>
      </c>
      <c r="C15" s="505">
        <v>7.5700000000000003E-2</v>
      </c>
      <c r="D15" s="104" t="s">
        <v>38</v>
      </c>
      <c r="E15" s="448">
        <f>AVERAGE(Cifras_en_Millones!C23/C37,Cifras_en_Millones!E23/C35)</f>
        <v>-0.12821849609194938</v>
      </c>
      <c r="F15" s="141" t="str">
        <f>Segments!B17</f>
        <v>Desktop</v>
      </c>
      <c r="G15" s="142"/>
      <c r="H15" s="272" t="str">
        <f>+Segments!J17</f>
        <v>17%; N/A; 1%</v>
      </c>
      <c r="I15" s="104" t="s">
        <v>129</v>
      </c>
      <c r="J15" s="151">
        <f>J12/(E7-(E8-C10))</f>
        <v>-9.1017293285724277E-2</v>
      </c>
      <c r="K15" s="104" t="s">
        <v>51</v>
      </c>
      <c r="L15" s="479">
        <f ca="1">C12/J16</f>
        <v>-6.149398189031472</v>
      </c>
      <c r="Q15" s="102"/>
    </row>
    <row r="16" spans="2:17" ht="12.75" customHeight="1">
      <c r="B16" s="618" t="s">
        <v>128</v>
      </c>
      <c r="C16" s="616"/>
      <c r="D16" s="104" t="s">
        <v>39</v>
      </c>
      <c r="E16" s="100">
        <f>AVERAGE(Cifras_en_Millones!C19/C37,Cifras_en_Millones!D19/C36,Cifras_en_Millones!E19/C35)</f>
        <v>-0.49783942807489595</v>
      </c>
      <c r="F16" s="141" t="str">
        <f>Segments!B18</f>
        <v>Mobile</v>
      </c>
      <c r="G16" s="142"/>
      <c r="H16" s="272" t="str">
        <f>+Segments!J18</f>
        <v>38%; N/A; 1%</v>
      </c>
      <c r="I16" s="104" t="s">
        <v>59</v>
      </c>
      <c r="J16" s="458">
        <f>AVERAGE(Cifras_en_Millones!B19:D19)</f>
        <v>-290.12100000000004</v>
      </c>
      <c r="K16" s="104" t="s">
        <v>25</v>
      </c>
      <c r="L16" s="153">
        <f ca="1">C9/J18</f>
        <v>19.958214692307692</v>
      </c>
      <c r="N16" s="116"/>
      <c r="Q16" s="102"/>
    </row>
    <row r="17" spans="1:72" ht="12.75" customHeight="1">
      <c r="B17" s="73" t="s">
        <v>125</v>
      </c>
      <c r="C17" s="487"/>
      <c r="D17" s="104" t="s">
        <v>60</v>
      </c>
      <c r="E17" s="100">
        <f>Cifras_en_Millones!C14/AVERAGE(Cifras_en_Millones!C59:M59)</f>
        <v>-0.5404995526168126</v>
      </c>
      <c r="F17" s="141" t="str">
        <f>Segments!B19</f>
        <v>CTV</v>
      </c>
      <c r="G17" s="142"/>
      <c r="H17" s="272" t="str">
        <f>+Segments!J19</f>
        <v>46%; N/A; 1%</v>
      </c>
      <c r="I17" s="104" t="s">
        <v>40</v>
      </c>
      <c r="J17" s="99">
        <f>AVERAGE(Cifras_en_Millones!B23:D23)</f>
        <v>-88.738</v>
      </c>
      <c r="K17" s="104" t="s">
        <v>369</v>
      </c>
      <c r="L17" s="477" t="s">
        <v>368</v>
      </c>
      <c r="N17" s="19">
        <v>12</v>
      </c>
      <c r="Q17" s="102"/>
    </row>
    <row r="18" spans="1:72" ht="12.75" customHeight="1">
      <c r="B18" s="73" t="s">
        <v>126</v>
      </c>
      <c r="C18" s="456"/>
      <c r="D18" s="511"/>
      <c r="E18" s="512"/>
      <c r="F18" s="506"/>
      <c r="G18" s="509"/>
      <c r="H18" s="510"/>
      <c r="I18" s="104" t="s">
        <v>121</v>
      </c>
      <c r="J18" s="99">
        <f>SUM(F35:F37)/3</f>
        <v>69.333333333333329</v>
      </c>
      <c r="K18" s="104" t="s">
        <v>52</v>
      </c>
      <c r="L18" s="474">
        <f ca="1">SUM(E35:E37)/(3*C9)</f>
        <v>0</v>
      </c>
      <c r="Q18" s="102"/>
    </row>
    <row r="19" spans="1:72" ht="12.75" customHeight="1">
      <c r="B19" s="73" t="s">
        <v>127</v>
      </c>
      <c r="C19" s="457"/>
      <c r="D19" s="513" t="s">
        <v>266</v>
      </c>
      <c r="E19" s="514"/>
      <c r="F19" s="506"/>
      <c r="G19" s="509"/>
      <c r="H19" s="510"/>
      <c r="I19" s="104" t="s">
        <v>175</v>
      </c>
      <c r="J19" s="105">
        <v>0.16</v>
      </c>
      <c r="K19" s="104" t="s">
        <v>66</v>
      </c>
      <c r="L19" s="474">
        <f ca="1">K33/C9</f>
        <v>0</v>
      </c>
      <c r="Q19" s="102"/>
      <c r="R19" s="19"/>
    </row>
    <row r="20" spans="1:72" ht="14">
      <c r="B20" s="88" t="s">
        <v>45</v>
      </c>
      <c r="C20" s="89"/>
      <c r="D20" s="89"/>
      <c r="E20" s="89"/>
      <c r="F20" s="89"/>
      <c r="G20" s="89"/>
      <c r="H20" s="90" t="s">
        <v>154</v>
      </c>
      <c r="I20" s="598" t="s">
        <v>61</v>
      </c>
      <c r="J20" s="598"/>
      <c r="K20" s="598"/>
      <c r="L20" s="74" t="s">
        <v>62</v>
      </c>
      <c r="M20" s="18"/>
      <c r="N20" s="117"/>
      <c r="O20" s="144"/>
      <c r="P20" s="118"/>
      <c r="Q20" s="18"/>
      <c r="R20" s="18"/>
    </row>
    <row r="21" spans="1:72" ht="35.25" customHeight="1">
      <c r="A21" s="102"/>
      <c r="B21" s="623" t="s">
        <v>489</v>
      </c>
      <c r="C21" s="624"/>
      <c r="D21" s="624"/>
      <c r="E21" s="624"/>
      <c r="F21" s="624"/>
      <c r="G21" s="625"/>
      <c r="H21" s="629" t="s">
        <v>158</v>
      </c>
      <c r="I21" s="635" t="s">
        <v>173</v>
      </c>
      <c r="J21" s="636"/>
      <c r="K21" s="637"/>
      <c r="L21" s="648">
        <f ca="1">DCFF!D66</f>
        <v>5.9849732986648325</v>
      </c>
      <c r="M21" s="18"/>
      <c r="N21" s="118"/>
      <c r="O21" s="144"/>
      <c r="P21" s="118"/>
      <c r="Q21" s="18"/>
      <c r="R21" s="18"/>
    </row>
    <row r="22" spans="1:72" ht="87" customHeight="1">
      <c r="B22" s="626"/>
      <c r="C22" s="627"/>
      <c r="D22" s="627"/>
      <c r="E22" s="627"/>
      <c r="F22" s="627"/>
      <c r="G22" s="628"/>
      <c r="H22" s="630"/>
      <c r="I22" s="638"/>
      <c r="J22" s="639"/>
      <c r="K22" s="640"/>
      <c r="L22" s="648"/>
      <c r="M22" s="18"/>
      <c r="N22" s="118"/>
      <c r="O22" s="144"/>
      <c r="P22" s="118"/>
      <c r="Q22" s="18"/>
      <c r="R22" s="18"/>
    </row>
    <row r="23" spans="1:72" ht="13">
      <c r="B23" s="601" t="s">
        <v>104</v>
      </c>
      <c r="C23" s="602"/>
      <c r="D23" s="602"/>
      <c r="E23" s="602"/>
      <c r="F23" s="602"/>
      <c r="G23" s="603"/>
      <c r="H23" s="70" t="s">
        <v>141</v>
      </c>
      <c r="I23" s="641"/>
      <c r="J23" s="642"/>
      <c r="K23" s="643"/>
      <c r="L23" s="611">
        <f ca="1">DCFF!D65</f>
        <v>-0.38171763443545115</v>
      </c>
      <c r="M23" s="18"/>
      <c r="N23" s="118"/>
      <c r="O23" s="144"/>
      <c r="P23" s="118"/>
      <c r="Q23" s="18"/>
      <c r="R23" s="18"/>
    </row>
    <row r="24" spans="1:72" ht="24.75" customHeight="1">
      <c r="B24" s="620" t="s">
        <v>487</v>
      </c>
      <c r="C24" s="621"/>
      <c r="D24" s="621"/>
      <c r="E24" s="621"/>
      <c r="F24" s="621"/>
      <c r="G24" s="622"/>
      <c r="H24" s="91">
        <f ca="1">L21*0.8</f>
        <v>4.7879786389318664</v>
      </c>
      <c r="I24" s="93" t="s">
        <v>107</v>
      </c>
      <c r="J24" s="94">
        <f>DCFF!D47</f>
        <v>8.5000000000000006E-2</v>
      </c>
      <c r="K24" s="472" t="s">
        <v>513</v>
      </c>
      <c r="L24" s="611"/>
      <c r="M24" s="18"/>
      <c r="N24" s="118"/>
      <c r="O24" s="144"/>
      <c r="P24" s="118"/>
      <c r="Q24" s="18"/>
      <c r="R24" s="18"/>
    </row>
    <row r="25" spans="1:72" ht="13">
      <c r="B25" s="75" t="s">
        <v>34</v>
      </c>
      <c r="C25" s="72" t="s">
        <v>0</v>
      </c>
      <c r="D25" s="72" t="s">
        <v>1</v>
      </c>
      <c r="E25" s="72" t="s">
        <v>106</v>
      </c>
      <c r="F25" s="72" t="s">
        <v>12</v>
      </c>
      <c r="G25" s="72" t="s">
        <v>6</v>
      </c>
      <c r="H25" s="72" t="s">
        <v>155</v>
      </c>
      <c r="I25" s="72" t="s">
        <v>156</v>
      </c>
      <c r="J25" s="616" t="s">
        <v>30</v>
      </c>
      <c r="K25" s="619"/>
      <c r="L25" s="649"/>
      <c r="N25" s="469"/>
      <c r="O25" s="470"/>
      <c r="P25" s="469"/>
      <c r="Q25" s="469"/>
      <c r="R25" s="17"/>
      <c r="S25" s="20"/>
      <c r="T25" s="20"/>
    </row>
    <row r="26" spans="1:72" ht="13">
      <c r="B26" s="73">
        <v>2012</v>
      </c>
      <c r="C26" s="588"/>
      <c r="D26" s="588"/>
      <c r="E26" s="588"/>
      <c r="F26" s="588"/>
      <c r="G26" s="588"/>
      <c r="H26" s="588"/>
      <c r="I26" s="588"/>
      <c r="J26" s="451"/>
      <c r="K26" s="454">
        <v>2023</v>
      </c>
      <c r="L26" s="455">
        <f>K26-1</f>
        <v>2022</v>
      </c>
      <c r="N26" s="469"/>
      <c r="O26" s="470"/>
      <c r="P26" s="469"/>
      <c r="Q26" s="469"/>
      <c r="R26" s="19"/>
      <c r="S26" s="19"/>
      <c r="T26" s="20"/>
      <c r="W26" s="66"/>
    </row>
    <row r="27" spans="1:72" ht="13">
      <c r="B27" s="73">
        <f t="shared" ref="B27:B34" si="0">B26+1</f>
        <v>2013</v>
      </c>
      <c r="C27" s="583">
        <f>Cifras_en_Millones!M5</f>
        <v>83.4</v>
      </c>
      <c r="D27" s="586">
        <f>Cifras_en_Millones!M11/C27</f>
        <v>-4.6762589928057548E-2</v>
      </c>
      <c r="E27" s="583">
        <f>Cifras_Originales!M18</f>
        <v>0</v>
      </c>
      <c r="F27" s="585">
        <f>Cifras_en_Millones!M30</f>
        <v>29.97</v>
      </c>
      <c r="G27" s="584">
        <f>Cifras_en_Millones!M61</f>
        <v>2.8020772732852622E-2</v>
      </c>
      <c r="H27" s="583">
        <f>Cifras_Originales!M11</f>
        <v>-8.4</v>
      </c>
      <c r="I27" s="583">
        <f>Cifras_en_Millones!M35</f>
        <v>-19</v>
      </c>
      <c r="J27" s="451" t="s">
        <v>67</v>
      </c>
      <c r="K27" s="481">
        <f>Cifras_en_Millones!D23</f>
        <v>-130</v>
      </c>
      <c r="L27" s="482">
        <f>Cifras_en_Millones!E23</f>
        <v>6.5000000000000002E-2</v>
      </c>
      <c r="N27" s="471" t="s">
        <v>486</v>
      </c>
      <c r="O27" s="470" t="s">
        <v>486</v>
      </c>
      <c r="P27" s="469"/>
      <c r="Q27" s="469"/>
      <c r="R27" s="19"/>
      <c r="S27" s="19"/>
      <c r="T27" s="20"/>
    </row>
    <row r="28" spans="1:72" ht="13">
      <c r="B28" s="73">
        <f t="shared" si="0"/>
        <v>2014</v>
      </c>
      <c r="C28" s="583">
        <f>Cifras_en_Millones!L5</f>
        <v>125.3</v>
      </c>
      <c r="D28" s="586">
        <f>Cifras_en_Millones!L11/C28</f>
        <v>-0.15003990422984836</v>
      </c>
      <c r="E28" s="583">
        <f>Cifras_Originales!L18</f>
        <v>0</v>
      </c>
      <c r="F28" s="585">
        <f>Cifras_en_Millones!L30</f>
        <v>67.23</v>
      </c>
      <c r="G28" s="584">
        <f>Cifras_en_Millones!L61</f>
        <v>3.3783783783783786E-4</v>
      </c>
      <c r="H28" s="583">
        <f>Cifras_Originales!L11</f>
        <v>-12.5</v>
      </c>
      <c r="I28" s="583">
        <f>Cifras_en_Millones!L35</f>
        <v>-34</v>
      </c>
      <c r="J28" s="451" t="s">
        <v>270</v>
      </c>
      <c r="K28" s="481">
        <f>Cifras_en_Millones!D19-Cifras_Originales!E15</f>
        <v>-465.1</v>
      </c>
      <c r="L28" s="483">
        <f>Cifras_en_Millones!E19-Cifras_Originales!F15</f>
        <v>-70.59</v>
      </c>
      <c r="N28" s="471">
        <f t="shared" ref="N28:N34" si="1">C28/C27-1</f>
        <v>0.50239808153477195</v>
      </c>
      <c r="O28" s="470">
        <f t="shared" ref="O28:Q34" si="2">D28/D27-1</f>
        <v>2.2085456442998348</v>
      </c>
      <c r="P28" s="469">
        <v>0</v>
      </c>
      <c r="Q28" s="469">
        <f>F28/F27-1</f>
        <v>1.2432432432432434</v>
      </c>
      <c r="R28" s="19">
        <f t="shared" ref="R28:R30" si="3">H28/H27-1</f>
        <v>0.48809523809523814</v>
      </c>
      <c r="S28" s="19">
        <f t="shared" ref="S28:S34" si="4">I28/I27-1</f>
        <v>0.78947368421052633</v>
      </c>
      <c r="T28" s="19"/>
      <c r="BT28">
        <v>4303</v>
      </c>
    </row>
    <row r="29" spans="1:72" ht="13">
      <c r="B29" s="73">
        <f t="shared" si="0"/>
        <v>2015</v>
      </c>
      <c r="C29" s="583">
        <f>Cifras_en_Millones!K5</f>
        <v>248.4</v>
      </c>
      <c r="D29" s="586">
        <f>Cifras_en_Millones!K11/C29</f>
        <v>-2.2544283413848631E-2</v>
      </c>
      <c r="E29" s="583">
        <f>Cifras_Originales!K18</f>
        <v>0</v>
      </c>
      <c r="F29" s="585">
        <f>Cifras_en_Millones!K30</f>
        <v>19.299999999999997</v>
      </c>
      <c r="G29" s="584">
        <f>Cifras_en_Millones!K61</f>
        <v>0</v>
      </c>
      <c r="H29" s="583">
        <f>Cifras_Originales!K11</f>
        <v>-31</v>
      </c>
      <c r="I29" s="583">
        <f>Cifras_en_Millones!K35</f>
        <v>-94.1</v>
      </c>
      <c r="J29" t="s">
        <v>271</v>
      </c>
      <c r="K29" s="481">
        <f>Cifras_en_Millones!D18</f>
        <v>43.344999999999999</v>
      </c>
      <c r="L29" s="483">
        <f>Cifras_en_Millones!E18</f>
        <v>48.877000000000002</v>
      </c>
      <c r="M29" s="15"/>
      <c r="N29" s="471">
        <f t="shared" si="1"/>
        <v>0.98244213886671994</v>
      </c>
      <c r="O29" s="470">
        <f t="shared" si="2"/>
        <v>-0.84974474937472166</v>
      </c>
      <c r="P29" s="469">
        <v>0</v>
      </c>
      <c r="Q29" s="469">
        <f t="shared" si="2"/>
        <v>-0.71292577718280536</v>
      </c>
      <c r="R29" s="19">
        <f t="shared" si="3"/>
        <v>1.48</v>
      </c>
      <c r="S29" s="19">
        <f t="shared" si="4"/>
        <v>1.7676470588235293</v>
      </c>
      <c r="T29" s="19"/>
      <c r="BT29">
        <v>3066</v>
      </c>
    </row>
    <row r="30" spans="1:72" ht="13">
      <c r="B30" s="73">
        <f t="shared" si="0"/>
        <v>2016</v>
      </c>
      <c r="C30" s="583">
        <f>Cifras_en_Millones!J5</f>
        <v>278.2</v>
      </c>
      <c r="D30" s="586">
        <f>Cifras_en_Millones!J11/C30</f>
        <v>-8.9144500359453635E-2</v>
      </c>
      <c r="E30" s="583">
        <f>Cifras_Originales!J18</f>
        <v>0</v>
      </c>
      <c r="F30" s="585">
        <f>Cifras_en_Millones!J30</f>
        <v>32.900000000000006</v>
      </c>
      <c r="G30" s="584">
        <f>Cifras_en_Millones!J61</f>
        <v>0</v>
      </c>
      <c r="H30" s="583">
        <f>Cifras_Originales!J11</f>
        <v>-42.7</v>
      </c>
      <c r="I30" s="583">
        <f>Cifras_en_Millones!J35</f>
        <v>-197</v>
      </c>
      <c r="J30" s="451" t="s">
        <v>31</v>
      </c>
      <c r="K30" s="481">
        <v>-65.2</v>
      </c>
      <c r="L30" s="483">
        <v>-691</v>
      </c>
      <c r="N30" s="471">
        <f t="shared" si="1"/>
        <v>0.11996779388083723</v>
      </c>
      <c r="O30" s="470">
        <f t="shared" si="2"/>
        <v>2.9541953373729077</v>
      </c>
      <c r="P30" s="469">
        <v>0</v>
      </c>
      <c r="Q30" s="469">
        <f t="shared" ref="Q30" si="5">F30/F29-1</f>
        <v>0.70466321243523367</v>
      </c>
      <c r="R30" s="19">
        <f t="shared" si="3"/>
        <v>0.3774193548387097</v>
      </c>
      <c r="S30" s="19">
        <f t="shared" si="4"/>
        <v>1.0935175345377259</v>
      </c>
      <c r="T30" s="19"/>
      <c r="BT30">
        <v>3283</v>
      </c>
    </row>
    <row r="31" spans="1:72" ht="13">
      <c r="B31" s="73">
        <f t="shared" si="0"/>
        <v>2017</v>
      </c>
      <c r="C31" s="583">
        <f>Cifras_en_Millones!I5</f>
        <v>155.5</v>
      </c>
      <c r="D31" s="586">
        <f>Cifras_en_Millones!I11/C31</f>
        <v>-1.0096463022508038</v>
      </c>
      <c r="E31" s="583">
        <f>Cifras_Originales!I18</f>
        <v>0</v>
      </c>
      <c r="F31" s="585">
        <f>Cifras_en_Millones!I30</f>
        <v>-72.800000000000011</v>
      </c>
      <c r="G31" s="584">
        <f>Cifras_en_Millones!I61</f>
        <v>0</v>
      </c>
      <c r="H31" s="583">
        <f>Cifras_Originales!I11</f>
        <v>-36.200000000000003</v>
      </c>
      <c r="I31" s="583">
        <f>Cifras_en_Millones!I35</f>
        <v>-125.3</v>
      </c>
      <c r="J31" s="452" t="s">
        <v>117</v>
      </c>
      <c r="K31" s="484">
        <f>Cifras_Originales!D13</f>
        <v>-30.8</v>
      </c>
      <c r="L31" s="485">
        <f>Cifras_Originales!E13</f>
        <v>-17.7</v>
      </c>
      <c r="N31" s="471">
        <f t="shared" si="1"/>
        <v>-0.4410496046010064</v>
      </c>
      <c r="O31" s="470">
        <f t="shared" si="2"/>
        <v>10.325951664765064</v>
      </c>
      <c r="P31" s="469">
        <v>0</v>
      </c>
      <c r="Q31" s="469">
        <f>F31/F30-1</f>
        <v>-3.2127659574468086</v>
      </c>
      <c r="R31" s="19">
        <f>H31/H30-1</f>
        <v>-0.15222482435597184</v>
      </c>
      <c r="S31" s="19">
        <f t="shared" si="4"/>
        <v>-0.36395939086294415</v>
      </c>
      <c r="T31" s="19"/>
    </row>
    <row r="32" spans="1:72" ht="13">
      <c r="B32" s="73">
        <f t="shared" si="0"/>
        <v>2018</v>
      </c>
      <c r="C32" s="583">
        <f>Cifras_en_Millones!H5</f>
        <v>124.6</v>
      </c>
      <c r="D32" s="586">
        <f>Cifras_en_Millones!H11/C32</f>
        <v>-0.51364365971107551</v>
      </c>
      <c r="E32" s="583">
        <f>Cifras_Originales!H18</f>
        <v>0</v>
      </c>
      <c r="F32" s="585">
        <f>Cifras_en_Millones!H30</f>
        <v>3.8000000000000114</v>
      </c>
      <c r="G32" s="584">
        <f>Cifras_en_Millones!H61</f>
        <v>0</v>
      </c>
      <c r="H32" s="583">
        <f>Cifras_Originales!H11</f>
        <v>-35.299999999999997</v>
      </c>
      <c r="I32" s="583">
        <f>Cifras_en_Millones!H35</f>
        <v>-55.4</v>
      </c>
      <c r="J32" s="452" t="s">
        <v>118</v>
      </c>
      <c r="K32" s="481">
        <v>20.8</v>
      </c>
      <c r="L32" s="483">
        <v>661.9</v>
      </c>
      <c r="M32" s="16"/>
      <c r="N32" s="471">
        <f t="shared" si="1"/>
        <v>-0.19871382636655954</v>
      </c>
      <c r="O32" s="470">
        <f t="shared" si="2"/>
        <v>-0.49126376378934877</v>
      </c>
      <c r="P32" s="469">
        <v>0</v>
      </c>
      <c r="Q32" s="469">
        <f>F32/F31-1</f>
        <v>-1.0521978021978025</v>
      </c>
      <c r="R32" s="19">
        <f>H32/H31-1</f>
        <v>-2.4861878453038777E-2</v>
      </c>
      <c r="S32" s="19">
        <f t="shared" si="4"/>
        <v>-0.55786113328012776</v>
      </c>
      <c r="T32" s="19"/>
    </row>
    <row r="33" spans="2:72" ht="13">
      <c r="B33" s="73">
        <f t="shared" si="0"/>
        <v>2019</v>
      </c>
      <c r="C33" s="583">
        <f>Cifras_en_Millones!G5</f>
        <v>156.4</v>
      </c>
      <c r="D33" s="586">
        <f>Cifras_en_Millones!G11/C33</f>
        <v>-0.17583120204603581</v>
      </c>
      <c r="E33" s="583">
        <f>Cifras_Originales!G18</f>
        <v>0</v>
      </c>
      <c r="F33" s="585">
        <f>Cifras_en_Millones!G30</f>
        <v>8.5999999999999943</v>
      </c>
      <c r="G33" s="584">
        <f>Cifras_en_Millones!G61</f>
        <v>5.6962025316455694E-2</v>
      </c>
      <c r="H33" s="583">
        <f>Cifras_Originales!G11</f>
        <v>-32.1</v>
      </c>
      <c r="I33" s="583">
        <f>Cifras_en_Millones!G35</f>
        <v>-41.4</v>
      </c>
      <c r="J33" s="453" t="s">
        <v>119</v>
      </c>
      <c r="K33" s="481">
        <v>0</v>
      </c>
      <c r="L33" s="483">
        <v>0</v>
      </c>
      <c r="N33" s="471">
        <f t="shared" si="1"/>
        <v>0.25521669341894082</v>
      </c>
      <c r="O33" s="470">
        <f t="shared" si="2"/>
        <v>-0.65767862851662406</v>
      </c>
      <c r="P33" s="469">
        <v>0</v>
      </c>
      <c r="Q33" s="469">
        <f>F33/F32-1</f>
        <v>1.263157894736834</v>
      </c>
      <c r="R33" s="19">
        <f>H33/H32-1</f>
        <v>-9.0651558073654326E-2</v>
      </c>
      <c r="S33" s="19">
        <f t="shared" si="4"/>
        <v>-0.25270758122743686</v>
      </c>
      <c r="T33" s="19"/>
    </row>
    <row r="34" spans="2:72" ht="13">
      <c r="B34" s="73">
        <f t="shared" si="0"/>
        <v>2020</v>
      </c>
      <c r="C34" s="583">
        <f>Cifras_en_Millones!F5</f>
        <v>221.6</v>
      </c>
      <c r="D34" s="586">
        <f>Cifras_en_Millones!F11/C34</f>
        <v>-0.24368231046931407</v>
      </c>
      <c r="E34" s="583">
        <f>Cifras_Originales!F18</f>
        <v>0</v>
      </c>
      <c r="F34" s="585">
        <f>Cifras_en_Millones!F30</f>
        <v>29</v>
      </c>
      <c r="G34" s="584">
        <f>Cifras_en_Millones!F61</f>
        <v>4.4839706038981783E-2</v>
      </c>
      <c r="H34" s="583">
        <f>Cifras_Originales!F11</f>
        <v>-49.2</v>
      </c>
      <c r="I34" s="583">
        <f>Cifras_en_Millones!F35</f>
        <v>-35.299999999999997</v>
      </c>
      <c r="J34" s="453" t="s">
        <v>120</v>
      </c>
      <c r="K34" s="481">
        <f>Cifras_en_Millones!D29</f>
        <v>0</v>
      </c>
      <c r="L34" s="486">
        <f>Cifras_en_Millones!E29</f>
        <v>0</v>
      </c>
      <c r="N34" s="471">
        <f t="shared" si="1"/>
        <v>0.41687979539641939</v>
      </c>
      <c r="O34" s="470">
        <f t="shared" si="2"/>
        <v>0.38588775845093526</v>
      </c>
      <c r="P34" s="469">
        <v>0</v>
      </c>
      <c r="Q34" s="469">
        <f>F34/F33-1</f>
        <v>2.3720930232558164</v>
      </c>
      <c r="R34" s="19">
        <f>H34/H33-1</f>
        <v>0.53271028037383172</v>
      </c>
      <c r="S34" s="19">
        <f t="shared" si="4"/>
        <v>-0.14734299516908211</v>
      </c>
      <c r="T34" s="19"/>
      <c r="W34" s="66"/>
      <c r="BT34" s="7"/>
    </row>
    <row r="35" spans="2:72" ht="13">
      <c r="B35" s="73">
        <f t="shared" ref="B35:B37" si="6">B34+1</f>
        <v>2021</v>
      </c>
      <c r="C35" s="583">
        <f>Cifras_en_Millones!E5</f>
        <v>468.4</v>
      </c>
      <c r="D35" s="584">
        <f>Cifras_en_Millones!E11/C35</f>
        <v>-0.17292912040990607</v>
      </c>
      <c r="E35" s="583">
        <f>Cifras_Originales!E18</f>
        <v>0</v>
      </c>
      <c r="F35" s="585">
        <f>Cifras_en_Millones!E30</f>
        <v>112</v>
      </c>
      <c r="G35" s="584">
        <f>Cifras_en_Millones!E61</f>
        <v>0.29831158298311583</v>
      </c>
      <c r="H35" s="583">
        <f>Cifras_Originales!E11</f>
        <v>-146.88</v>
      </c>
      <c r="I35" s="583">
        <f>Cifras_en_Millones!E35</f>
        <v>-708.7</v>
      </c>
      <c r="J35" s="453" t="s">
        <v>272</v>
      </c>
      <c r="K35" s="481">
        <f>Cifras_en_Millones!D59</f>
        <v>487.70000000000005</v>
      </c>
      <c r="L35" s="483">
        <f>Cifras_en_Millones!E59</f>
        <v>579.20000000000005</v>
      </c>
      <c r="N35" s="471">
        <f t="shared" ref="N35:N37" si="7">C35/C34-1</f>
        <v>1.1137184115523464</v>
      </c>
      <c r="O35" s="470">
        <f t="shared" ref="O35:O37" si="8">D35/D34-1</f>
        <v>-0.29035012809564464</v>
      </c>
      <c r="P35" s="469">
        <v>0</v>
      </c>
      <c r="Q35" s="469">
        <f>F35/F34-1</f>
        <v>2.8620689655172415</v>
      </c>
      <c r="R35" s="19">
        <f>H35/H34-1</f>
        <v>1.9853658536585361</v>
      </c>
      <c r="S35" s="19">
        <f t="shared" ref="S35" si="9">I35/I34-1</f>
        <v>19.07648725212465</v>
      </c>
      <c r="T35" s="19"/>
      <c r="W35" s="66"/>
      <c r="BT35" s="7"/>
    </row>
    <row r="36" spans="2:72" ht="13">
      <c r="B36" s="73">
        <f t="shared" si="6"/>
        <v>2022</v>
      </c>
      <c r="C36" s="583">
        <f>Cifras_en_Millones!D5</f>
        <v>577.1</v>
      </c>
      <c r="D36" s="586">
        <f>Cifras_en_Millones!D11/C36</f>
        <v>-0.19407381736267543</v>
      </c>
      <c r="E36" s="583">
        <f>Cifras_Originales!D18</f>
        <v>0</v>
      </c>
      <c r="F36" s="585">
        <f>Cifras_en_Millones!D30</f>
        <v>96</v>
      </c>
      <c r="G36" s="584">
        <f>Cifras_en_Millones!D61</f>
        <v>0.3000368731563422</v>
      </c>
      <c r="H36" s="583">
        <f>Cifras_Originales!D11</f>
        <v>-216.1</v>
      </c>
      <c r="I36" s="583">
        <f>Cifras_en_Millones!D35</f>
        <v>-95.8</v>
      </c>
      <c r="J36" s="453" t="s">
        <v>273</v>
      </c>
      <c r="K36" s="481">
        <v>-30.2</v>
      </c>
      <c r="L36" s="483">
        <v>678.1</v>
      </c>
      <c r="N36" s="471">
        <f t="shared" si="7"/>
        <v>0.23206660973526905</v>
      </c>
      <c r="O36" s="470">
        <f t="shared" si="8"/>
        <v>0.12227377842811316</v>
      </c>
      <c r="P36" s="469"/>
      <c r="Q36" s="469"/>
      <c r="R36" s="19"/>
      <c r="S36" s="19"/>
      <c r="T36" s="19"/>
      <c r="W36" s="66"/>
      <c r="BT36" s="7"/>
    </row>
    <row r="37" spans="2:72" ht="13">
      <c r="B37" s="73">
        <f t="shared" si="6"/>
        <v>2023</v>
      </c>
      <c r="C37" s="583">
        <f>Cifras_en_Millones!C5</f>
        <v>619.70000000000005</v>
      </c>
      <c r="D37" s="586">
        <f>Cifras_en_Millones!C11/C37</f>
        <v>-0.2501355494594158</v>
      </c>
      <c r="E37" s="583">
        <f>Cifras_Originales!C18</f>
        <v>0</v>
      </c>
      <c r="F37" s="585">
        <f>Cifras_en_Millones!C30</f>
        <v>0</v>
      </c>
      <c r="G37" s="584">
        <f>Cifras_en_Millones!C61</f>
        <v>0.22560803272592039</v>
      </c>
      <c r="H37" s="583">
        <f>Cifras_Originales!C11</f>
        <v>-240.8</v>
      </c>
      <c r="I37" s="583">
        <f>Cifras_en_Millones!C35</f>
        <v>-64</v>
      </c>
      <c r="J37" s="108"/>
      <c r="K37" s="449"/>
      <c r="L37" s="450"/>
      <c r="N37" s="471">
        <f t="shared" si="7"/>
        <v>7.3817362675446141E-2</v>
      </c>
      <c r="O37" s="470">
        <f t="shared" si="8"/>
        <v>0.28886808565204358</v>
      </c>
      <c r="P37" s="469"/>
      <c r="Q37" s="469"/>
      <c r="R37" s="19"/>
      <c r="S37" s="19"/>
      <c r="T37" s="19"/>
      <c r="W37" s="66"/>
      <c r="BT37" s="7"/>
    </row>
    <row r="38" spans="2:72" ht="13">
      <c r="B38" s="255" t="s">
        <v>419</v>
      </c>
      <c r="C38" s="256">
        <f>DCFF!H6</f>
        <v>672.99420000000009</v>
      </c>
      <c r="D38" s="273">
        <f>DCFF!H7</f>
        <v>0.1</v>
      </c>
      <c r="E38" s="257"/>
      <c r="F38" s="256"/>
      <c r="G38" s="258"/>
      <c r="H38" s="256"/>
      <c r="I38" s="256"/>
      <c r="J38" s="108"/>
      <c r="K38" s="99"/>
      <c r="L38" s="259"/>
      <c r="N38" s="471"/>
      <c r="O38" s="470"/>
      <c r="P38" s="469"/>
      <c r="Q38" s="469"/>
      <c r="R38" s="19"/>
      <c r="S38" s="19"/>
      <c r="T38" s="19"/>
      <c r="W38" s="66"/>
      <c r="BT38" s="7"/>
    </row>
    <row r="39" spans="2:72">
      <c r="B39" s="122" t="s">
        <v>178</v>
      </c>
      <c r="C39" s="587">
        <f>(C37/C32)^(1/5)-1</f>
        <v>0.37826488274813652</v>
      </c>
      <c r="D39" s="587">
        <f>(D37/D27)^(1/11)-1</f>
        <v>0.16468099136378345</v>
      </c>
      <c r="E39" s="588"/>
      <c r="F39" s="587"/>
      <c r="G39" s="588"/>
      <c r="H39" s="587"/>
      <c r="I39" s="588"/>
      <c r="J39" s="104" t="s">
        <v>122</v>
      </c>
      <c r="K39" s="99">
        <v>0</v>
      </c>
      <c r="L39" s="259">
        <v>0</v>
      </c>
      <c r="N39" s="119"/>
      <c r="Q39" s="19"/>
      <c r="R39" s="19"/>
      <c r="S39" s="19"/>
      <c r="T39" s="19"/>
      <c r="W39" s="64"/>
    </row>
    <row r="40" spans="2:72" ht="13">
      <c r="B40" s="76" t="s">
        <v>8</v>
      </c>
      <c r="C40" s="587">
        <f>AVERAGE(N27:N37)</f>
        <v>0.3056743456093185</v>
      </c>
      <c r="D40" s="587">
        <f>AVERAGE(O27:O37)</f>
        <v>1.3996684999192559</v>
      </c>
      <c r="E40" s="588"/>
      <c r="F40" s="587"/>
      <c r="G40" s="588"/>
      <c r="H40" s="587"/>
      <c r="I40" s="588"/>
      <c r="J40" s="71" t="s">
        <v>32</v>
      </c>
      <c r="K40" s="260">
        <f>K28+K29+K30+K33+K34+K35+K36+K39</f>
        <v>-29.454999999999938</v>
      </c>
      <c r="L40" s="261">
        <f>L28+L29+L30+L33+L34+L35+L36+L39</f>
        <v>544.5870000000001</v>
      </c>
      <c r="N40" s="119"/>
      <c r="Q40" s="19"/>
      <c r="R40" s="19"/>
      <c r="S40" s="20"/>
      <c r="T40" s="20"/>
    </row>
    <row r="41" spans="2:72">
      <c r="B41" s="76" t="s">
        <v>20</v>
      </c>
      <c r="C41" s="587">
        <f>STDEV(C26:C37)/AVERAGE(C26:C37)</f>
        <v>0.68335683920829549</v>
      </c>
      <c r="D41" s="587">
        <f>STDEV(D26:D37)/AVERAGE(D26:D37)</f>
        <v>-1.077047103363888</v>
      </c>
      <c r="E41" s="588"/>
      <c r="F41" s="587"/>
      <c r="G41" s="588"/>
      <c r="H41" s="587"/>
      <c r="I41" s="588"/>
      <c r="J41" s="262" t="s">
        <v>33</v>
      </c>
      <c r="K41" s="263">
        <f>SUM(I33:I37)/(C37-C32)</f>
        <v>-1.9091092708543729</v>
      </c>
      <c r="L41" s="264">
        <f>(SUM(I33:I37)-SUM(H33:H37))/(C37-C32)</f>
        <v>-0.52538881034134544</v>
      </c>
      <c r="M41" s="7"/>
      <c r="N41" s="132"/>
      <c r="Q41" s="19"/>
      <c r="R41" s="19"/>
      <c r="S41" s="20"/>
      <c r="T41" s="20"/>
    </row>
    <row r="42" spans="2:72">
      <c r="B42" s="76" t="s">
        <v>27</v>
      </c>
      <c r="C42" s="587">
        <f>C37/C36-1</f>
        <v>7.3817362675446141E-2</v>
      </c>
      <c r="D42" s="587">
        <f>D37/D36-1</f>
        <v>0.28886808565204358</v>
      </c>
      <c r="E42" s="588"/>
      <c r="F42" s="587"/>
      <c r="G42" s="588"/>
      <c r="H42" s="587"/>
      <c r="I42" s="589"/>
      <c r="J42" s="104" t="s">
        <v>124</v>
      </c>
      <c r="K42" s="265">
        <f>K41/E14</f>
        <v>9.2804580026299313</v>
      </c>
      <c r="L42" s="266">
        <f>L41/E14</f>
        <v>2.5539914680957456</v>
      </c>
      <c r="Q42" s="19"/>
      <c r="R42" s="19"/>
      <c r="S42" s="20"/>
      <c r="T42" s="20"/>
    </row>
    <row r="43" spans="2:72" ht="13">
      <c r="B43" s="601" t="s">
        <v>503</v>
      </c>
      <c r="C43" s="602"/>
      <c r="D43" s="602"/>
      <c r="E43" s="602"/>
      <c r="F43" s="602"/>
      <c r="G43" s="602"/>
      <c r="H43" s="603"/>
      <c r="I43" s="646" t="e" vm="3">
        <v>#VALUE!</v>
      </c>
      <c r="J43" s="646"/>
      <c r="K43" s="646"/>
      <c r="L43" s="647"/>
      <c r="M43" s="18"/>
      <c r="N43" s="118"/>
    </row>
    <row r="44" spans="2:72" ht="77.25" customHeight="1">
      <c r="B44" s="599" t="s">
        <v>510</v>
      </c>
      <c r="C44" s="600"/>
      <c r="D44" s="600"/>
      <c r="E44" s="600"/>
      <c r="F44" s="600"/>
      <c r="G44" s="600"/>
      <c r="H44" s="600"/>
      <c r="I44" s="646"/>
      <c r="J44" s="646"/>
      <c r="K44" s="646"/>
      <c r="L44" s="647"/>
      <c r="M44" s="18"/>
      <c r="N44" s="118"/>
      <c r="P44"/>
    </row>
    <row r="45" spans="2:72" ht="13">
      <c r="B45" s="601" t="s">
        <v>504</v>
      </c>
      <c r="C45" s="602"/>
      <c r="D45" s="602"/>
      <c r="E45" s="602"/>
      <c r="F45" s="602"/>
      <c r="G45" s="602"/>
      <c r="H45" s="603"/>
      <c r="I45" s="646"/>
      <c r="J45" s="646"/>
      <c r="K45" s="646"/>
      <c r="L45" s="647"/>
      <c r="M45" s="18"/>
      <c r="N45" s="118"/>
      <c r="O45"/>
    </row>
    <row r="46" spans="2:72" ht="133.5" customHeight="1">
      <c r="B46" s="654" t="s">
        <v>505</v>
      </c>
      <c r="C46" s="655"/>
      <c r="D46" s="655"/>
      <c r="E46" s="655"/>
      <c r="F46" s="655"/>
      <c r="G46" s="655"/>
      <c r="H46" s="656"/>
      <c r="I46" s="646"/>
      <c r="J46" s="646"/>
      <c r="K46" s="646"/>
      <c r="L46" s="647"/>
      <c r="M46" s="18"/>
      <c r="N46" s="118"/>
      <c r="P46"/>
    </row>
    <row r="47" spans="2:72" ht="13">
      <c r="B47" s="601" t="s">
        <v>43</v>
      </c>
      <c r="C47" s="602"/>
      <c r="D47" s="602"/>
      <c r="E47" s="602"/>
      <c r="F47" s="602"/>
      <c r="G47" s="602"/>
      <c r="H47" s="603"/>
      <c r="I47" s="646"/>
      <c r="J47" s="646"/>
      <c r="K47" s="646"/>
      <c r="L47" s="647"/>
      <c r="M47" s="18"/>
      <c r="N47" s="118"/>
      <c r="O47"/>
    </row>
    <row r="48" spans="2:72" ht="136.4" customHeight="1">
      <c r="B48" s="599" t="s">
        <v>490</v>
      </c>
      <c r="C48" s="600"/>
      <c r="D48" s="600"/>
      <c r="E48" s="600"/>
      <c r="F48" s="600"/>
      <c r="G48" s="600"/>
      <c r="H48" s="600"/>
      <c r="I48" s="646"/>
      <c r="J48" s="646"/>
      <c r="K48" s="646"/>
      <c r="L48" s="647"/>
      <c r="M48" s="18"/>
      <c r="N48" s="118"/>
    </row>
    <row r="49" spans="2:18" ht="13">
      <c r="B49" s="650" t="s">
        <v>44</v>
      </c>
      <c r="C49" s="651"/>
      <c r="D49" s="651"/>
      <c r="E49" s="651"/>
      <c r="F49" s="651"/>
      <c r="G49" s="651"/>
      <c r="H49" s="651"/>
      <c r="I49" s="646"/>
      <c r="J49" s="646"/>
      <c r="K49" s="646"/>
      <c r="L49" s="647"/>
      <c r="M49" s="18"/>
      <c r="N49" s="118"/>
    </row>
    <row r="50" spans="2:18" ht="58.4" customHeight="1">
      <c r="B50" s="599" t="s">
        <v>488</v>
      </c>
      <c r="C50" s="600"/>
      <c r="D50" s="600"/>
      <c r="E50" s="600"/>
      <c r="F50" s="600"/>
      <c r="G50" s="600"/>
      <c r="H50" s="600"/>
      <c r="I50" s="646"/>
      <c r="J50" s="646"/>
      <c r="K50" s="646"/>
      <c r="L50" s="647"/>
      <c r="M50" s="18"/>
      <c r="N50" s="118"/>
      <c r="P50"/>
    </row>
    <row r="51" spans="2:18" ht="13">
      <c r="B51" s="644" t="s">
        <v>146</v>
      </c>
      <c r="C51" s="645"/>
      <c r="D51" s="645"/>
      <c r="E51" s="645"/>
      <c r="F51" s="645"/>
      <c r="G51" s="645"/>
      <c r="H51" s="645"/>
      <c r="I51" s="646"/>
      <c r="J51" s="646"/>
      <c r="K51" s="646"/>
      <c r="L51" s="647"/>
    </row>
    <row r="52" spans="2:18" ht="13.5" customHeight="1" thickBot="1">
      <c r="B52" s="411" t="s">
        <v>10</v>
      </c>
      <c r="C52" s="412" t="s">
        <v>131</v>
      </c>
      <c r="D52" s="412" t="s">
        <v>130</v>
      </c>
      <c r="E52" s="412" t="s">
        <v>147</v>
      </c>
      <c r="F52" s="412" t="s">
        <v>148</v>
      </c>
      <c r="G52" s="412" t="s">
        <v>104</v>
      </c>
      <c r="H52" s="412" t="s">
        <v>149</v>
      </c>
      <c r="I52" s="652" t="s">
        <v>435</v>
      </c>
      <c r="J52" s="653"/>
      <c r="K52" s="466" t="s">
        <v>482</v>
      </c>
      <c r="L52" s="467" t="s">
        <v>451</v>
      </c>
    </row>
    <row r="53" spans="2:18">
      <c r="B53" s="22" t="s">
        <v>108</v>
      </c>
      <c r="M53" s="18"/>
      <c r="N53" s="118"/>
      <c r="O53" s="144"/>
      <c r="P53" s="118"/>
      <c r="Q53" s="18"/>
      <c r="R53" s="18"/>
    </row>
    <row r="54" spans="2:18" s="11" customFormat="1" ht="13">
      <c r="B54" s="63" t="s">
        <v>123</v>
      </c>
      <c r="M54" s="18"/>
      <c r="N54" s="118"/>
      <c r="O54" s="144"/>
      <c r="P54" s="118"/>
      <c r="Q54" s="18"/>
      <c r="R54" s="18"/>
    </row>
    <row r="55" spans="2:18">
      <c r="B55" s="102"/>
      <c r="C55" s="172"/>
      <c r="D55" s="172"/>
      <c r="E55" s="172"/>
      <c r="F55" s="172"/>
      <c r="G55" s="172"/>
      <c r="H55" s="172"/>
      <c r="I55" s="172"/>
      <c r="J55" s="172"/>
      <c r="K55" s="172"/>
      <c r="L55" s="172"/>
      <c r="M55" s="172"/>
    </row>
    <row r="56" spans="2:18">
      <c r="B56" s="633"/>
      <c r="C56" s="634"/>
      <c r="D56" s="634"/>
      <c r="E56" s="634"/>
      <c r="F56" s="634"/>
      <c r="G56" s="634"/>
      <c r="H56" s="634"/>
      <c r="I56" s="634"/>
      <c r="J56" s="634"/>
      <c r="K56" s="634"/>
      <c r="L56" s="634"/>
      <c r="M56" s="170"/>
    </row>
    <row r="57" spans="2:18" ht="13">
      <c r="B57" s="154"/>
      <c r="C57" s="133"/>
      <c r="D57" s="133"/>
      <c r="E57" s="133"/>
      <c r="F57" s="133"/>
      <c r="G57" s="133"/>
      <c r="H57" s="133"/>
      <c r="I57" s="133"/>
      <c r="J57" s="133"/>
      <c r="K57" s="133"/>
      <c r="L57" s="133"/>
      <c r="M57" s="133"/>
    </row>
    <row r="58" spans="2:18" ht="13">
      <c r="B58" s="169"/>
      <c r="C58" s="170"/>
      <c r="D58" s="170"/>
      <c r="E58" s="170"/>
      <c r="F58" s="170"/>
      <c r="G58" s="170"/>
      <c r="H58" s="170"/>
      <c r="I58" s="170"/>
      <c r="J58" s="170"/>
      <c r="K58" s="170"/>
      <c r="L58" s="170"/>
      <c r="M58" s="170"/>
    </row>
    <row r="59" spans="2:18">
      <c r="B59" s="171"/>
      <c r="C59" s="170"/>
      <c r="D59" s="170"/>
      <c r="E59" s="170"/>
      <c r="F59" s="170"/>
      <c r="G59" s="170"/>
      <c r="H59" s="170"/>
      <c r="I59" s="170"/>
      <c r="J59" s="170"/>
      <c r="K59" s="170"/>
      <c r="L59" s="170"/>
      <c r="M59" s="170"/>
    </row>
    <row r="60" spans="2:18">
      <c r="B60" s="171"/>
      <c r="C60" s="170"/>
      <c r="D60" s="170"/>
      <c r="E60" s="170"/>
      <c r="F60" s="170"/>
      <c r="G60" s="170"/>
      <c r="H60" s="170"/>
      <c r="I60" s="170"/>
      <c r="J60" s="170"/>
      <c r="K60" s="170"/>
      <c r="L60" s="170"/>
      <c r="M60" s="170"/>
    </row>
  </sheetData>
  <mergeCells count="34">
    <mergeCell ref="B56:L56"/>
    <mergeCell ref="I21:K23"/>
    <mergeCell ref="B47:H47"/>
    <mergeCell ref="B51:H51"/>
    <mergeCell ref="I43:L51"/>
    <mergeCell ref="L21:L22"/>
    <mergeCell ref="B50:H50"/>
    <mergeCell ref="J25:L25"/>
    <mergeCell ref="B48:H48"/>
    <mergeCell ref="B49:H49"/>
    <mergeCell ref="I52:J52"/>
    <mergeCell ref="B45:H45"/>
    <mergeCell ref="B46:H46"/>
    <mergeCell ref="F6:H6"/>
    <mergeCell ref="B21:G22"/>
    <mergeCell ref="H21:H22"/>
    <mergeCell ref="F7:G7"/>
    <mergeCell ref="F13:H13"/>
    <mergeCell ref="I20:K20"/>
    <mergeCell ref="B44:H44"/>
    <mergeCell ref="B43:H43"/>
    <mergeCell ref="E2:J2"/>
    <mergeCell ref="B23:G23"/>
    <mergeCell ref="D4:L5"/>
    <mergeCell ref="B5:C5"/>
    <mergeCell ref="L23:L24"/>
    <mergeCell ref="B3:C4"/>
    <mergeCell ref="D3:L3"/>
    <mergeCell ref="K6:L6"/>
    <mergeCell ref="B6:C6"/>
    <mergeCell ref="B24:G24"/>
    <mergeCell ref="B16:C16"/>
    <mergeCell ref="I6:J6"/>
    <mergeCell ref="D6:E6"/>
  </mergeCells>
  <phoneticPr fontId="0" type="noConversion"/>
  <conditionalFormatting sqref="C26">
    <cfRule type="dataBar" priority="15">
      <dataBar>
        <cfvo type="min"/>
        <cfvo type="max"/>
        <color rgb="FF638EC6"/>
      </dataBar>
      <extLst>
        <ext xmlns:x14="http://schemas.microsoft.com/office/spreadsheetml/2009/9/main" uri="{B025F937-C7B1-47D3-B67F-A62EFF666E3E}">
          <x14:id>{CE138C60-988E-4FEB-86EE-2F34B8896412}</x14:id>
        </ext>
      </extLst>
    </cfRule>
    <cfRule type="dataBar" priority="16">
      <dataBar>
        <cfvo type="min"/>
        <cfvo type="max"/>
        <color rgb="FF63C384"/>
      </dataBar>
      <extLst>
        <ext xmlns:x14="http://schemas.microsoft.com/office/spreadsheetml/2009/9/main" uri="{B025F937-C7B1-47D3-B67F-A62EFF666E3E}">
          <x14:id>{CAC859E7-34F8-4B00-965A-9B57F9122E5C}</x14:id>
        </ext>
      </extLst>
    </cfRule>
  </conditionalFormatting>
  <conditionalFormatting sqref="C27:C37 D35:E35">
    <cfRule type="dataBar" priority="21">
      <dataBar>
        <cfvo type="min"/>
        <cfvo type="max"/>
        <color rgb="FF63C384"/>
      </dataBar>
      <extLst>
        <ext xmlns:x14="http://schemas.microsoft.com/office/spreadsheetml/2009/9/main" uri="{B025F937-C7B1-47D3-B67F-A62EFF666E3E}">
          <x14:id>{97E2B28D-054E-4FD6-90CD-9B82BAF09155}</x14:id>
        </ext>
      </extLst>
    </cfRule>
  </conditionalFormatting>
  <conditionalFormatting sqref="D26">
    <cfRule type="dataBar" priority="13">
      <dataBar>
        <cfvo type="min"/>
        <cfvo type="max"/>
        <color rgb="FF638EC6"/>
      </dataBar>
      <extLst>
        <ext xmlns:x14="http://schemas.microsoft.com/office/spreadsheetml/2009/9/main" uri="{B025F937-C7B1-47D3-B67F-A62EFF666E3E}">
          <x14:id>{7CEC5CAF-8755-4326-B0EE-3FC338684744}</x14:id>
        </ext>
      </extLst>
    </cfRule>
    <cfRule type="dataBar" priority="14">
      <dataBar>
        <cfvo type="min"/>
        <cfvo type="max"/>
        <color rgb="FF63C384"/>
      </dataBar>
      <extLst>
        <ext xmlns:x14="http://schemas.microsoft.com/office/spreadsheetml/2009/9/main" uri="{B025F937-C7B1-47D3-B67F-A62EFF666E3E}">
          <x14:id>{559B668B-275B-4282-87BF-673774BFFDD6}</x14:id>
        </ext>
      </extLst>
    </cfRule>
  </conditionalFormatting>
  <conditionalFormatting sqref="D27:D34 D36:D37">
    <cfRule type="dataBar" priority="25">
      <dataBar>
        <cfvo type="min"/>
        <cfvo type="max"/>
        <color rgb="FF638EC6"/>
      </dataBar>
      <extLst>
        <ext xmlns:x14="http://schemas.microsoft.com/office/spreadsheetml/2009/9/main" uri="{B025F937-C7B1-47D3-B67F-A62EFF666E3E}">
          <x14:id>{5C065C13-AE0D-4463-9ABF-216677AF7F5F}</x14:id>
        </ext>
      </extLst>
    </cfRule>
    <cfRule type="dataBar" priority="27">
      <dataBar>
        <cfvo type="min"/>
        <cfvo type="max"/>
        <color rgb="FF63C384"/>
      </dataBar>
      <extLst>
        <ext xmlns:x14="http://schemas.microsoft.com/office/spreadsheetml/2009/9/main" uri="{B025F937-C7B1-47D3-B67F-A62EFF666E3E}">
          <x14:id>{789680E7-3320-4BBA-803D-C122F935BBA4}</x14:id>
        </ext>
      </extLst>
    </cfRule>
  </conditionalFormatting>
  <conditionalFormatting sqref="D27:D37">
    <cfRule type="dataBar" priority="20">
      <dataBar>
        <cfvo type="min"/>
        <cfvo type="max"/>
        <color rgb="FF638EC6"/>
      </dataBar>
      <extLst>
        <ext xmlns:x14="http://schemas.microsoft.com/office/spreadsheetml/2009/9/main" uri="{B025F937-C7B1-47D3-B67F-A62EFF666E3E}">
          <x14:id>{1E303F77-C180-466E-8977-981115632375}</x14:id>
        </ext>
      </extLst>
    </cfRule>
  </conditionalFormatting>
  <conditionalFormatting sqref="E26">
    <cfRule type="dataBar" priority="11">
      <dataBar>
        <cfvo type="min"/>
        <cfvo type="max"/>
        <color rgb="FF638EC6"/>
      </dataBar>
      <extLst>
        <ext xmlns:x14="http://schemas.microsoft.com/office/spreadsheetml/2009/9/main" uri="{B025F937-C7B1-47D3-B67F-A62EFF666E3E}">
          <x14:id>{C4711746-A9EB-4FDD-B971-EFAE9B795DE2}</x14:id>
        </ext>
      </extLst>
    </cfRule>
    <cfRule type="dataBar" priority="12">
      <dataBar>
        <cfvo type="min"/>
        <cfvo type="max"/>
        <color rgb="FF63C384"/>
      </dataBar>
      <extLst>
        <ext xmlns:x14="http://schemas.microsoft.com/office/spreadsheetml/2009/9/main" uri="{B025F937-C7B1-47D3-B67F-A62EFF666E3E}">
          <x14:id>{48DA68DC-1A65-407E-B05B-5B9F8AB371CA}</x14:id>
        </ext>
      </extLst>
    </cfRule>
  </conditionalFormatting>
  <conditionalFormatting sqref="E27:E34 E36:E37">
    <cfRule type="dataBar" priority="22">
      <dataBar>
        <cfvo type="min"/>
        <cfvo type="max"/>
        <color rgb="FF63C384"/>
      </dataBar>
      <extLst>
        <ext xmlns:x14="http://schemas.microsoft.com/office/spreadsheetml/2009/9/main" uri="{B025F937-C7B1-47D3-B67F-A62EFF666E3E}">
          <x14:id>{95575D59-B382-4669-82A0-395C771BE9E6}</x14:id>
        </ext>
      </extLst>
    </cfRule>
  </conditionalFormatting>
  <conditionalFormatting sqref="E27:E37">
    <cfRule type="dataBar" priority="19">
      <dataBar>
        <cfvo type="min"/>
        <cfvo type="max"/>
        <color rgb="FFFF555A"/>
      </dataBar>
      <extLst>
        <ext xmlns:x14="http://schemas.microsoft.com/office/spreadsheetml/2009/9/main" uri="{B025F937-C7B1-47D3-B67F-A62EFF666E3E}">
          <x14:id>{F1242A52-24E2-4EBC-980B-2ED29B808EF0}</x14:id>
        </ext>
      </extLst>
    </cfRule>
  </conditionalFormatting>
  <conditionalFormatting sqref="E39:E42 G39:G42 I39:I42">
    <cfRule type="dataBar" priority="17">
      <dataBar>
        <cfvo type="min"/>
        <cfvo type="max"/>
        <color rgb="FF638EC6"/>
      </dataBar>
      <extLst>
        <ext xmlns:x14="http://schemas.microsoft.com/office/spreadsheetml/2009/9/main" uri="{B025F937-C7B1-47D3-B67F-A62EFF666E3E}">
          <x14:id>{98F64E39-EA0F-489A-80F6-90DE43A309C8}</x14:id>
        </ext>
      </extLst>
    </cfRule>
    <cfRule type="dataBar" priority="18">
      <dataBar>
        <cfvo type="min"/>
        <cfvo type="max"/>
        <color rgb="FF63C384"/>
      </dataBar>
      <extLst>
        <ext xmlns:x14="http://schemas.microsoft.com/office/spreadsheetml/2009/9/main" uri="{B025F937-C7B1-47D3-B67F-A62EFF666E3E}">
          <x14:id>{88F22969-C58F-4AC3-927D-A1DFE543A130}</x14:id>
        </ext>
      </extLst>
    </cfRule>
  </conditionalFormatting>
  <conditionalFormatting sqref="F26">
    <cfRule type="dataBar" priority="7">
      <dataBar>
        <cfvo type="min"/>
        <cfvo type="max"/>
        <color rgb="FF638EC6"/>
      </dataBar>
      <extLst>
        <ext xmlns:x14="http://schemas.microsoft.com/office/spreadsheetml/2009/9/main" uri="{B025F937-C7B1-47D3-B67F-A62EFF666E3E}">
          <x14:id>{28ADBD85-3DD6-40D1-BE77-11C13B24C925}</x14:id>
        </ext>
      </extLst>
    </cfRule>
    <cfRule type="dataBar" priority="8">
      <dataBar>
        <cfvo type="min"/>
        <cfvo type="max"/>
        <color rgb="FF63C384"/>
      </dataBar>
      <extLst>
        <ext xmlns:x14="http://schemas.microsoft.com/office/spreadsheetml/2009/9/main" uri="{B025F937-C7B1-47D3-B67F-A62EFF666E3E}">
          <x14:id>{9213725C-10C9-4BD8-A64D-7532412D8EF4}</x14:id>
        </ext>
      </extLst>
    </cfRule>
  </conditionalFormatting>
  <conditionalFormatting sqref="F27:F37">
    <cfRule type="dataBar" priority="24">
      <dataBar>
        <cfvo type="min"/>
        <cfvo type="max"/>
        <color rgb="FF63C384"/>
      </dataBar>
      <extLst>
        <ext xmlns:x14="http://schemas.microsoft.com/office/spreadsheetml/2009/9/main" uri="{B025F937-C7B1-47D3-B67F-A62EFF666E3E}">
          <x14:id>{620312A4-9206-48A2-A3EE-A259683C400E}</x14:id>
        </ext>
      </extLst>
    </cfRule>
  </conditionalFormatting>
  <conditionalFormatting sqref="G26">
    <cfRule type="dataBar" priority="3">
      <dataBar>
        <cfvo type="min"/>
        <cfvo type="max"/>
        <color rgb="FF638EC6"/>
      </dataBar>
      <extLst>
        <ext xmlns:x14="http://schemas.microsoft.com/office/spreadsheetml/2009/9/main" uri="{B025F937-C7B1-47D3-B67F-A62EFF666E3E}">
          <x14:id>{314E99AB-85C8-4AC8-939D-0FA2EC159ED5}</x14:id>
        </ext>
      </extLst>
    </cfRule>
    <cfRule type="dataBar" priority="4">
      <dataBar>
        <cfvo type="min"/>
        <cfvo type="max"/>
        <color rgb="FF63C384"/>
      </dataBar>
      <extLst>
        <ext xmlns:x14="http://schemas.microsoft.com/office/spreadsheetml/2009/9/main" uri="{B025F937-C7B1-47D3-B67F-A62EFF666E3E}">
          <x14:id>{E261BDA7-E381-4F68-82AA-137B2FD3F97E}</x14:id>
        </ext>
      </extLst>
    </cfRule>
  </conditionalFormatting>
  <conditionalFormatting sqref="G27:G37">
    <cfRule type="dataBar" priority="26">
      <dataBar>
        <cfvo type="min"/>
        <cfvo type="max"/>
        <color rgb="FF63C384"/>
      </dataBar>
      <extLst>
        <ext xmlns:x14="http://schemas.microsoft.com/office/spreadsheetml/2009/9/main" uri="{B025F937-C7B1-47D3-B67F-A62EFF666E3E}">
          <x14:id>{AAF26799-5BA7-4252-AB28-9D07A7B1FE79}</x14:id>
        </ext>
      </extLst>
    </cfRule>
  </conditionalFormatting>
  <conditionalFormatting sqref="H26">
    <cfRule type="dataBar" priority="5">
      <dataBar>
        <cfvo type="min"/>
        <cfvo type="max"/>
        <color rgb="FF638EC6"/>
      </dataBar>
      <extLst>
        <ext xmlns:x14="http://schemas.microsoft.com/office/spreadsheetml/2009/9/main" uri="{B025F937-C7B1-47D3-B67F-A62EFF666E3E}">
          <x14:id>{C220C993-0BB3-4D36-B22B-AC4801093A8C}</x14:id>
        </ext>
      </extLst>
    </cfRule>
    <cfRule type="dataBar" priority="6">
      <dataBar>
        <cfvo type="min"/>
        <cfvo type="max"/>
        <color rgb="FF63C384"/>
      </dataBar>
      <extLst>
        <ext xmlns:x14="http://schemas.microsoft.com/office/spreadsheetml/2009/9/main" uri="{B025F937-C7B1-47D3-B67F-A62EFF666E3E}">
          <x14:id>{DE0A9118-E910-44D8-9238-404BFD5D9941}</x14:id>
        </ext>
      </extLst>
    </cfRule>
  </conditionalFormatting>
  <conditionalFormatting sqref="H27:H37">
    <cfRule type="dataBar" priority="28">
      <dataBar>
        <cfvo type="min"/>
        <cfvo type="max"/>
        <color rgb="FF63C384"/>
      </dataBar>
      <extLst>
        <ext xmlns:x14="http://schemas.microsoft.com/office/spreadsheetml/2009/9/main" uri="{B025F937-C7B1-47D3-B67F-A62EFF666E3E}">
          <x14:id>{C4276BD1-7ED6-4E34-BD36-1FD98B635413}</x14:id>
        </ext>
      </extLst>
    </cfRule>
  </conditionalFormatting>
  <conditionalFormatting sqref="I26">
    <cfRule type="dataBar" priority="1">
      <dataBar>
        <cfvo type="min"/>
        <cfvo type="max"/>
        <color rgb="FF638EC6"/>
      </dataBar>
      <extLst>
        <ext xmlns:x14="http://schemas.microsoft.com/office/spreadsheetml/2009/9/main" uri="{B025F937-C7B1-47D3-B67F-A62EFF666E3E}">
          <x14:id>{13D0300E-9789-4F05-BD67-F6B79B92BD84}</x14:id>
        </ext>
      </extLst>
    </cfRule>
    <cfRule type="dataBar" priority="2">
      <dataBar>
        <cfvo type="min"/>
        <cfvo type="max"/>
        <color rgb="FF63C384"/>
      </dataBar>
      <extLst>
        <ext xmlns:x14="http://schemas.microsoft.com/office/spreadsheetml/2009/9/main" uri="{B025F937-C7B1-47D3-B67F-A62EFF666E3E}">
          <x14:id>{9778B4A3-3738-4112-AFC5-694FBAC0F26F}</x14:id>
        </ext>
      </extLst>
    </cfRule>
  </conditionalFormatting>
  <conditionalFormatting sqref="I27:I37">
    <cfRule type="dataBar" priority="23">
      <dataBar>
        <cfvo type="min"/>
        <cfvo type="max"/>
        <color rgb="FF63C384"/>
      </dataBar>
      <extLst>
        <ext xmlns:x14="http://schemas.microsoft.com/office/spreadsheetml/2009/9/main" uri="{B025F937-C7B1-47D3-B67F-A62EFF666E3E}">
          <x14:id>{CC612C8D-CCB6-47E3-9B5C-0E6DFA072CEA}</x14:id>
        </ext>
      </extLst>
    </cfRule>
  </conditionalFormatting>
  <printOptions horizontalCentered="1" verticalCentered="1"/>
  <pageMargins left="0" right="0" top="0.19685039370078741" bottom="0.19685039370078741" header="0" footer="0"/>
  <pageSetup paperSize="134" scale="65" orientation="landscape" r:id="rId1"/>
  <headerFooter alignWithMargins="0"/>
  <ignoredErrors>
    <ignoredError sqref="N2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CE138C60-988E-4FEB-86EE-2F34B8896412}">
            <x14:dataBar minLength="0" maxLength="100" gradient="0">
              <x14:cfvo type="autoMin"/>
              <x14:cfvo type="autoMax"/>
              <x14:negativeFillColor rgb="FFFF0000"/>
              <x14:axisColor rgb="FF000000"/>
            </x14:dataBar>
          </x14:cfRule>
          <x14:cfRule type="dataBar" id="{CAC859E7-34F8-4B00-965A-9B57F9122E5C}">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97E2B28D-054E-4FD6-90CD-9B82BAF09155}">
            <x14:dataBar minLength="0" maxLength="100" border="1" negativeBarBorderColorSameAsPositive="0">
              <x14:cfvo type="autoMin"/>
              <x14:cfvo type="autoMax"/>
              <x14:borderColor rgb="FF63C384"/>
              <x14:negativeFillColor rgb="FFFF0000"/>
              <x14:negativeBorderColor rgb="FFFF0000"/>
              <x14:axisColor rgb="FF000000"/>
            </x14:dataBar>
          </x14:cfRule>
          <xm:sqref>C27:C37 D35:E35</xm:sqref>
        </x14:conditionalFormatting>
        <x14:conditionalFormatting xmlns:xm="http://schemas.microsoft.com/office/excel/2006/main">
          <x14:cfRule type="dataBar" id="{7CEC5CAF-8755-4326-B0EE-3FC338684744}">
            <x14:dataBar minLength="0" maxLength="100" gradient="0">
              <x14:cfvo type="autoMin"/>
              <x14:cfvo type="autoMax"/>
              <x14:negativeFillColor rgb="FFFF0000"/>
              <x14:axisColor rgb="FF000000"/>
            </x14:dataBar>
          </x14:cfRule>
          <x14:cfRule type="dataBar" id="{559B668B-275B-4282-87BF-673774BFFDD6}">
            <x14:dataBar minLength="0" maxLength="100" gradient="0">
              <x14:cfvo type="autoMin"/>
              <x14:cfvo type="autoMax"/>
              <x14:negativeFillColor rgb="FFFF0000"/>
              <x14:axisColor rgb="FF000000"/>
            </x14:dataBar>
          </x14:cfRule>
          <xm:sqref>D26</xm:sqref>
        </x14:conditionalFormatting>
        <x14:conditionalFormatting xmlns:xm="http://schemas.microsoft.com/office/excel/2006/main">
          <x14:cfRule type="dataBar" id="{5C065C13-AE0D-4463-9ABF-216677AF7F5F}">
            <x14:dataBar minLength="0" maxLength="100" gradient="0">
              <x14:cfvo type="autoMin"/>
              <x14:cfvo type="autoMax"/>
              <x14:negativeFillColor rgb="FFFF0000"/>
              <x14:axisColor rgb="FF000000"/>
            </x14:dataBar>
          </x14:cfRule>
          <x14:cfRule type="dataBar" id="{789680E7-3320-4BBA-803D-C122F935BBA4}">
            <x14:dataBar minLength="0" maxLength="100" gradient="0">
              <x14:cfvo type="autoMin"/>
              <x14:cfvo type="autoMax"/>
              <x14:negativeFillColor rgb="FFFF0000"/>
              <x14:axisColor rgb="FF000000"/>
            </x14:dataBar>
          </x14:cfRule>
          <xm:sqref>D27:D34 D36:D37</xm:sqref>
        </x14:conditionalFormatting>
        <x14:conditionalFormatting xmlns:xm="http://schemas.microsoft.com/office/excel/2006/main">
          <x14:cfRule type="dataBar" id="{1E303F77-C180-466E-8977-981115632375}">
            <x14:dataBar minLength="0" maxLength="100" gradient="0">
              <x14:cfvo type="autoMin"/>
              <x14:cfvo type="autoMax"/>
              <x14:negativeFillColor rgb="FFFF0000"/>
              <x14:axisColor rgb="FF000000"/>
            </x14:dataBar>
          </x14:cfRule>
          <xm:sqref>D27:D37</xm:sqref>
        </x14:conditionalFormatting>
        <x14:conditionalFormatting xmlns:xm="http://schemas.microsoft.com/office/excel/2006/main">
          <x14:cfRule type="dataBar" id="{C4711746-A9EB-4FDD-B971-EFAE9B795DE2}">
            <x14:dataBar minLength="0" maxLength="100" gradient="0">
              <x14:cfvo type="autoMin"/>
              <x14:cfvo type="autoMax"/>
              <x14:negativeFillColor rgb="FFFF0000"/>
              <x14:axisColor rgb="FF000000"/>
            </x14:dataBar>
          </x14:cfRule>
          <x14:cfRule type="dataBar" id="{48DA68DC-1A65-407E-B05B-5B9F8AB371CA}">
            <x14:dataBar minLength="0" maxLength="100" gradient="0">
              <x14:cfvo type="autoMin"/>
              <x14:cfvo type="autoMax"/>
              <x14:negativeFillColor rgb="FFFF0000"/>
              <x14:axisColor rgb="FF000000"/>
            </x14:dataBar>
          </x14:cfRule>
          <xm:sqref>E26</xm:sqref>
        </x14:conditionalFormatting>
        <x14:conditionalFormatting xmlns:xm="http://schemas.microsoft.com/office/excel/2006/main">
          <x14:cfRule type="dataBar" id="{95575D59-B382-4669-82A0-395C771BE9E6}">
            <x14:dataBar minLength="0" maxLength="100" border="1" negativeBarBorderColorSameAsPositive="0">
              <x14:cfvo type="autoMin"/>
              <x14:cfvo type="autoMax"/>
              <x14:borderColor rgb="FF63C384"/>
              <x14:negativeFillColor rgb="FFFF0000"/>
              <x14:negativeBorderColor rgb="FFFF0000"/>
              <x14:axisColor rgb="FF000000"/>
            </x14:dataBar>
          </x14:cfRule>
          <xm:sqref>E27:E34 E36:E37</xm:sqref>
        </x14:conditionalFormatting>
        <x14:conditionalFormatting xmlns:xm="http://schemas.microsoft.com/office/excel/2006/main">
          <x14:cfRule type="dataBar" id="{F1242A52-24E2-4EBC-980B-2ED29B808EF0}">
            <x14:dataBar minLength="0" maxLength="100" border="1" negativeBarBorderColorSameAsPositive="0">
              <x14:cfvo type="autoMin"/>
              <x14:cfvo type="autoMax"/>
              <x14:borderColor rgb="FFFF555A"/>
              <x14:negativeFillColor rgb="FFFF0000"/>
              <x14:negativeBorderColor rgb="FFFF0000"/>
              <x14:axisColor rgb="FF000000"/>
            </x14:dataBar>
          </x14:cfRule>
          <xm:sqref>E27:E37</xm:sqref>
        </x14:conditionalFormatting>
        <x14:conditionalFormatting xmlns:xm="http://schemas.microsoft.com/office/excel/2006/main">
          <x14:cfRule type="dataBar" id="{98F64E39-EA0F-489A-80F6-90DE43A309C8}">
            <x14:dataBar minLength="0" maxLength="100" gradient="0">
              <x14:cfvo type="autoMin"/>
              <x14:cfvo type="autoMax"/>
              <x14:negativeFillColor rgb="FFFF0000"/>
              <x14:axisColor rgb="FF000000"/>
            </x14:dataBar>
          </x14:cfRule>
          <x14:cfRule type="dataBar" id="{88F22969-C58F-4AC3-927D-A1DFE543A130}">
            <x14:dataBar minLength="0" maxLength="100" gradient="0">
              <x14:cfvo type="autoMin"/>
              <x14:cfvo type="autoMax"/>
              <x14:negativeFillColor rgb="FFFF0000"/>
              <x14:axisColor rgb="FF000000"/>
            </x14:dataBar>
          </x14:cfRule>
          <xm:sqref>E39:E42 G39:G42 I39:I42</xm:sqref>
        </x14:conditionalFormatting>
        <x14:conditionalFormatting xmlns:xm="http://schemas.microsoft.com/office/excel/2006/main">
          <x14:cfRule type="dataBar" id="{28ADBD85-3DD6-40D1-BE77-11C13B24C925}">
            <x14:dataBar minLength="0" maxLength="100" gradient="0">
              <x14:cfvo type="autoMin"/>
              <x14:cfvo type="autoMax"/>
              <x14:negativeFillColor rgb="FFFF0000"/>
              <x14:axisColor rgb="FF000000"/>
            </x14:dataBar>
          </x14:cfRule>
          <x14:cfRule type="dataBar" id="{9213725C-10C9-4BD8-A64D-7532412D8EF4}">
            <x14:dataBar minLength="0" maxLength="100" gradient="0">
              <x14:cfvo type="autoMin"/>
              <x14:cfvo type="autoMax"/>
              <x14:negativeFillColor rgb="FFFF0000"/>
              <x14:axisColor rgb="FF000000"/>
            </x14:dataBar>
          </x14:cfRule>
          <xm:sqref>F26</xm:sqref>
        </x14:conditionalFormatting>
        <x14:conditionalFormatting xmlns:xm="http://schemas.microsoft.com/office/excel/2006/main">
          <x14:cfRule type="dataBar" id="{620312A4-9206-48A2-A3EE-A259683C400E}">
            <x14:dataBar minLength="0" maxLength="100" gradient="0">
              <x14:cfvo type="autoMin"/>
              <x14:cfvo type="autoMax"/>
              <x14:negativeFillColor rgb="FFFF0000"/>
              <x14:axisColor rgb="FF000000"/>
            </x14:dataBar>
          </x14:cfRule>
          <xm:sqref>F27:F37</xm:sqref>
        </x14:conditionalFormatting>
        <x14:conditionalFormatting xmlns:xm="http://schemas.microsoft.com/office/excel/2006/main">
          <x14:cfRule type="dataBar" id="{314E99AB-85C8-4AC8-939D-0FA2EC159ED5}">
            <x14:dataBar minLength="0" maxLength="100" gradient="0">
              <x14:cfvo type="autoMin"/>
              <x14:cfvo type="autoMax"/>
              <x14:negativeFillColor rgb="FFFF0000"/>
              <x14:axisColor rgb="FF000000"/>
            </x14:dataBar>
          </x14:cfRule>
          <x14:cfRule type="dataBar" id="{E261BDA7-E381-4F68-82AA-137B2FD3F97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AAF26799-5BA7-4252-AB28-9D07A7B1FE79}">
            <x14:dataBar minLength="0" maxLength="100" border="1" negativeBarBorderColorSameAsPositive="0">
              <x14:cfvo type="autoMin"/>
              <x14:cfvo type="autoMax"/>
              <x14:borderColor rgb="FF63C384"/>
              <x14:negativeFillColor rgb="FFFF0000"/>
              <x14:negativeBorderColor rgb="FFFF0000"/>
              <x14:axisColor rgb="FF000000"/>
            </x14:dataBar>
          </x14:cfRule>
          <xm:sqref>G27:G37</xm:sqref>
        </x14:conditionalFormatting>
        <x14:conditionalFormatting xmlns:xm="http://schemas.microsoft.com/office/excel/2006/main">
          <x14:cfRule type="dataBar" id="{C220C993-0BB3-4D36-B22B-AC4801093A8C}">
            <x14:dataBar minLength="0" maxLength="100" gradient="0">
              <x14:cfvo type="autoMin"/>
              <x14:cfvo type="autoMax"/>
              <x14:negativeFillColor rgb="FFFF0000"/>
              <x14:axisColor rgb="FF000000"/>
            </x14:dataBar>
          </x14:cfRule>
          <x14:cfRule type="dataBar" id="{DE0A9118-E910-44D8-9238-404BFD5D9941}">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C4276BD1-7ED6-4E34-BD36-1FD98B635413}">
            <x14:dataBar minLength="0" maxLength="100" border="1" negativeBarBorderColorSameAsPositive="0">
              <x14:cfvo type="autoMin"/>
              <x14:cfvo type="autoMax"/>
              <x14:borderColor rgb="FF63C384"/>
              <x14:negativeFillColor rgb="FFFF0000"/>
              <x14:negativeBorderColor rgb="FFFF0000"/>
              <x14:axisColor rgb="FF000000"/>
            </x14:dataBar>
          </x14:cfRule>
          <xm:sqref>H27:H37</xm:sqref>
        </x14:conditionalFormatting>
        <x14:conditionalFormatting xmlns:xm="http://schemas.microsoft.com/office/excel/2006/main">
          <x14:cfRule type="dataBar" id="{13D0300E-9789-4F05-BD67-F6B79B92BD84}">
            <x14:dataBar minLength="0" maxLength="100" gradient="0">
              <x14:cfvo type="autoMin"/>
              <x14:cfvo type="autoMax"/>
              <x14:negativeFillColor rgb="FFFF0000"/>
              <x14:axisColor rgb="FF000000"/>
            </x14:dataBar>
          </x14:cfRule>
          <x14:cfRule type="dataBar" id="{9778B4A3-3738-4112-AFC5-694FBAC0F26F}">
            <x14:dataBar minLength="0" maxLength="100" gradient="0">
              <x14:cfvo type="autoMin"/>
              <x14:cfvo type="autoMax"/>
              <x14:negativeFillColor rgb="FFFF0000"/>
              <x14:axisColor rgb="FF000000"/>
            </x14:dataBar>
          </x14:cfRule>
          <xm:sqref>I26</xm:sqref>
        </x14:conditionalFormatting>
        <x14:conditionalFormatting xmlns:xm="http://schemas.microsoft.com/office/excel/2006/main">
          <x14:cfRule type="dataBar" id="{CC612C8D-CCB6-47E3-9B5C-0E6DFA072CEA}">
            <x14:dataBar minLength="0" maxLength="100" border="1" negativeBarBorderColorSameAsPositive="0">
              <x14:cfvo type="autoMin"/>
              <x14:cfvo type="autoMax"/>
              <x14:borderColor rgb="FF63C384"/>
              <x14:negativeFillColor rgb="FFFF0000"/>
              <x14:negativeBorderColor rgb="FFFF0000"/>
              <x14:axisColor rgb="FF000000"/>
            </x14:dataBar>
          </x14:cfRule>
          <xm:sqref>I27:I37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Acuerdo!$A$1:$A$6</xm:f>
          </x14:formula1>
          <xm:sqref>H21:H22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453125" defaultRowHeight="12.5"/>
  <sheetData>
    <row r="1" spans="1:14">
      <c r="A1" s="168" t="s">
        <v>186</v>
      </c>
      <c r="G1" s="168" t="s">
        <v>187</v>
      </c>
      <c r="N1" s="168" t="s">
        <v>188</v>
      </c>
    </row>
    <row r="2" spans="1:14">
      <c r="A2" s="102" t="s">
        <v>189</v>
      </c>
      <c r="G2" s="102" t="s">
        <v>190</v>
      </c>
      <c r="N2" s="102" t="s">
        <v>191</v>
      </c>
    </row>
    <row r="23" spans="1:1">
      <c r="A23" s="102" t="s">
        <v>192</v>
      </c>
    </row>
    <row r="24" spans="1:1">
      <c r="A24" s="168" t="s">
        <v>193</v>
      </c>
    </row>
  </sheetData>
  <phoneticPr fontId="84" type="noConversion"/>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AD37"/>
  <sheetViews>
    <sheetView showGridLines="0" zoomScaleNormal="100" workbookViewId="0">
      <selection activeCell="B17" sqref="B17"/>
    </sheetView>
  </sheetViews>
  <sheetFormatPr defaultColWidth="11.453125" defaultRowHeight="12.5"/>
  <cols>
    <col min="1" max="1" width="2.1796875" customWidth="1"/>
    <col min="2" max="2" width="29" bestFit="1" customWidth="1"/>
    <col min="3" max="3" width="15.453125" style="4" customWidth="1"/>
    <col min="4" max="8" width="15.453125" customWidth="1"/>
    <col min="9" max="9" width="15.453125" hidden="1" customWidth="1"/>
    <col min="10" max="10" width="15.453125" customWidth="1"/>
    <col min="11" max="11" width="1.453125" customWidth="1"/>
    <col min="12" max="12" width="29.26953125" hidden="1" customWidth="1"/>
    <col min="13" max="13" width="0" hidden="1" customWidth="1"/>
    <col min="14" max="14" width="10.7265625" hidden="1" customWidth="1"/>
    <col min="15" max="20" width="0" hidden="1" customWidth="1"/>
    <col min="21" max="21" width="2.7265625" hidden="1" customWidth="1"/>
    <col min="22" max="22" width="29.26953125" hidden="1" customWidth="1"/>
    <col min="23" max="30" width="0" hidden="1" customWidth="1"/>
  </cols>
  <sheetData>
    <row r="1" spans="2:30" ht="7.5" customHeight="1" thickBot="1"/>
    <row r="2" spans="2:30" ht="20">
      <c r="B2" s="658" t="s">
        <v>420</v>
      </c>
      <c r="C2" s="659"/>
      <c r="D2" s="659"/>
      <c r="E2" s="659"/>
      <c r="F2" s="659"/>
      <c r="G2" s="659"/>
      <c r="H2" s="660"/>
      <c r="I2" s="267"/>
      <c r="J2" s="267"/>
      <c r="L2" s="664" t="s">
        <v>194</v>
      </c>
      <c r="M2" s="664"/>
      <c r="N2" s="179" t="s">
        <v>196</v>
      </c>
      <c r="O2" s="178"/>
      <c r="P2" s="178"/>
      <c r="Q2" s="178"/>
      <c r="R2" s="178"/>
      <c r="S2" s="178"/>
      <c r="T2" s="178"/>
      <c r="U2" s="178"/>
      <c r="V2" s="178"/>
      <c r="W2" s="178"/>
      <c r="X2" s="179" t="s">
        <v>196</v>
      </c>
      <c r="Y2" s="178"/>
      <c r="Z2" s="178"/>
      <c r="AA2" s="178"/>
      <c r="AB2" s="178"/>
      <c r="AC2" s="178"/>
      <c r="AD2" s="178"/>
    </row>
    <row r="3" spans="2:30" ht="13">
      <c r="B3" s="145"/>
      <c r="C3" s="29">
        <v>2022</v>
      </c>
      <c r="D3" s="29">
        <f>C3-1</f>
        <v>2021</v>
      </c>
      <c r="E3" s="29" t="s">
        <v>116</v>
      </c>
      <c r="F3" s="29" t="s">
        <v>65</v>
      </c>
      <c r="G3" s="29" t="s">
        <v>64</v>
      </c>
      <c r="H3" s="30" t="s">
        <v>57</v>
      </c>
      <c r="I3" s="13"/>
      <c r="J3" s="13"/>
      <c r="K3" s="11"/>
      <c r="L3" s="181" t="s">
        <v>10</v>
      </c>
      <c r="M3" s="434" t="s">
        <v>278</v>
      </c>
      <c r="N3" s="434" t="s">
        <v>366</v>
      </c>
      <c r="O3" s="434" t="s">
        <v>422</v>
      </c>
      <c r="P3" s="434" t="s">
        <v>423</v>
      </c>
      <c r="Q3" s="434">
        <v>2025</v>
      </c>
      <c r="R3" s="434">
        <v>2026</v>
      </c>
      <c r="S3" s="434">
        <v>2027</v>
      </c>
      <c r="T3" s="434">
        <v>2028</v>
      </c>
      <c r="U3" s="178"/>
      <c r="V3" s="182" t="s">
        <v>197</v>
      </c>
      <c r="W3" s="182" t="s">
        <v>200</v>
      </c>
      <c r="X3" s="182" t="s">
        <v>278</v>
      </c>
      <c r="Y3" s="182" t="s">
        <v>366</v>
      </c>
      <c r="Z3" s="182" t="s">
        <v>365</v>
      </c>
      <c r="AA3" s="182">
        <v>2024</v>
      </c>
      <c r="AB3" s="182">
        <v>2025</v>
      </c>
      <c r="AC3" s="182">
        <v>2026</v>
      </c>
      <c r="AD3" s="182">
        <v>2027</v>
      </c>
    </row>
    <row r="4" spans="2:30" ht="13">
      <c r="B4" s="146" t="s">
        <v>441</v>
      </c>
      <c r="C4" s="426">
        <v>447.6</v>
      </c>
      <c r="D4" s="426">
        <v>365.2</v>
      </c>
      <c r="E4" s="498" t="s">
        <v>486</v>
      </c>
      <c r="F4" s="427">
        <v>0.74580000000000002</v>
      </c>
      <c r="G4" s="438" t="s">
        <v>486</v>
      </c>
      <c r="H4" s="504">
        <v>1.0800000000000001E-2</v>
      </c>
      <c r="I4" s="268"/>
      <c r="J4" s="413" t="str">
        <f>IF(C4="","",IF(F4=0,"NA",TEXT(F4,"0%"))&amp;"; "&amp;IF(G4=0,"NA",TEXT(G4,"0.0%"))&amp;"; "&amp;IF(H4=0,"NA",TEXT(H4,"0%")))</f>
        <v>75%; N/A; 1%</v>
      </c>
      <c r="L4" s="150" t="s">
        <v>443</v>
      </c>
      <c r="M4" s="437">
        <v>113</v>
      </c>
      <c r="N4" s="438">
        <v>111.7</v>
      </c>
      <c r="O4" s="438">
        <v>103.8</v>
      </c>
      <c r="P4" s="438">
        <v>105.6</v>
      </c>
      <c r="Q4" s="438">
        <v>107.6</v>
      </c>
      <c r="R4" s="438">
        <v>109.7</v>
      </c>
      <c r="S4" s="438">
        <v>116.9</v>
      </c>
      <c r="T4" s="202" t="s">
        <v>433</v>
      </c>
      <c r="U4" s="178"/>
      <c r="V4" s="180" t="str">
        <f>B4</f>
        <v xml:space="preserve">United States </v>
      </c>
      <c r="W4" s="399"/>
      <c r="X4" s="400"/>
      <c r="Y4" s="400"/>
      <c r="Z4" s="400"/>
      <c r="AA4" s="400"/>
      <c r="AB4" s="400"/>
      <c r="AC4" s="400"/>
      <c r="AD4" s="400"/>
    </row>
    <row r="5" spans="2:30" ht="13">
      <c r="B5" s="146" t="s">
        <v>442</v>
      </c>
      <c r="C5" s="426">
        <v>129.4</v>
      </c>
      <c r="D5" s="426">
        <v>103.3</v>
      </c>
      <c r="E5" s="438" t="s">
        <v>486</v>
      </c>
      <c r="F5" s="427">
        <v>0.25419999999999998</v>
      </c>
      <c r="G5" s="438" t="s">
        <v>486</v>
      </c>
      <c r="H5" s="504">
        <v>1.0800000000000001E-2</v>
      </c>
      <c r="I5" s="268"/>
      <c r="J5" s="413" t="str">
        <f>IF(C5="","",IF(F5=0,"NA",TEXT(F5,"0%"))&amp;"; "&amp;IF(G5=0,"NA",TEXT(G5,"0.0%"))&amp;"; "&amp;IF(H5=0,"NA",TEXT(H5,"0%")))</f>
        <v>25%; N/A; 1%</v>
      </c>
      <c r="L5" s="146" t="s">
        <v>444</v>
      </c>
      <c r="M5" s="437">
        <v>160.1</v>
      </c>
      <c r="N5" s="438">
        <v>188.2</v>
      </c>
      <c r="O5" s="438">
        <v>226.8</v>
      </c>
      <c r="P5" s="438">
        <v>246.7</v>
      </c>
      <c r="Q5" s="438">
        <v>264</v>
      </c>
      <c r="R5" s="438">
        <v>283.7</v>
      </c>
      <c r="S5" s="438">
        <v>300.7</v>
      </c>
      <c r="T5" s="202" t="s">
        <v>433</v>
      </c>
      <c r="U5" s="178"/>
      <c r="V5" s="180" t="str">
        <f>B5</f>
        <v xml:space="preserve">Other Internationals </v>
      </c>
      <c r="W5" s="399"/>
      <c r="X5" s="400"/>
      <c r="Y5" s="400"/>
      <c r="Z5" s="400"/>
      <c r="AA5" s="400"/>
      <c r="AB5" s="400"/>
      <c r="AC5" s="400"/>
      <c r="AD5" s="400"/>
    </row>
    <row r="6" spans="2:30" ht="13" hidden="1">
      <c r="B6" s="146"/>
      <c r="C6" s="147"/>
      <c r="D6" s="147"/>
      <c r="E6" s="6"/>
      <c r="F6" s="427"/>
      <c r="G6" s="12"/>
      <c r="H6" s="31"/>
      <c r="I6" s="268"/>
      <c r="J6" s="413" t="str">
        <f>IF(C6="","",IF(F6=0,"NA",TEXT(F6,"0%"))&amp;"; "&amp;IF(G6=0,"NA",TEXT(G6,"0.0%"))&amp;"; "&amp;IF(H6=0,"NA",TEXT(H6,"0%")))</f>
        <v/>
      </c>
      <c r="L6" s="146" t="s">
        <v>445</v>
      </c>
      <c r="M6" s="437">
        <v>143.4</v>
      </c>
      <c r="N6" s="126">
        <v>214.8</v>
      </c>
      <c r="O6" s="126">
        <v>218.5</v>
      </c>
      <c r="P6" s="126">
        <v>258.7</v>
      </c>
      <c r="Q6" s="426">
        <v>302.89999999999998</v>
      </c>
      <c r="R6" s="126">
        <v>359.4</v>
      </c>
      <c r="S6" s="126">
        <v>459.7</v>
      </c>
      <c r="T6" s="435" t="s">
        <v>433</v>
      </c>
      <c r="V6" s="180">
        <f>B6</f>
        <v>0</v>
      </c>
      <c r="W6" s="399"/>
      <c r="X6" s="402"/>
      <c r="Y6" s="249"/>
      <c r="Z6" s="249"/>
      <c r="AA6" s="249"/>
      <c r="AB6" s="249"/>
      <c r="AC6" s="249"/>
      <c r="AD6" s="249"/>
    </row>
    <row r="7" spans="2:30" ht="13" hidden="1">
      <c r="B7" s="146"/>
      <c r="C7" s="147"/>
      <c r="D7" s="147"/>
      <c r="E7" s="6"/>
      <c r="F7" s="427"/>
      <c r="G7" s="148"/>
      <c r="H7" s="149"/>
      <c r="I7" s="269"/>
      <c r="J7" s="413" t="str">
        <f>IF(C7="","",IF(F7=0,"NA",TEXT(F7,"0%"))&amp;"; "&amp;IF(G7=0,"NA",TEXT(G7,"0.0%"))&amp;"; "&amp;IF(H7=0,"NA",TEXT(H7,"0%")))</f>
        <v/>
      </c>
      <c r="L7" s="32"/>
      <c r="M7" s="436"/>
      <c r="N7" s="8"/>
      <c r="O7" s="8"/>
      <c r="P7" s="8"/>
      <c r="Q7" s="8"/>
      <c r="R7" s="8"/>
      <c r="S7" s="8"/>
      <c r="T7" s="8"/>
      <c r="V7" s="180">
        <f>B7</f>
        <v>0</v>
      </c>
      <c r="W7" s="399"/>
      <c r="X7" s="249"/>
      <c r="Y7" s="249"/>
      <c r="Z7" s="249"/>
      <c r="AA7" s="249"/>
      <c r="AB7" s="249"/>
      <c r="AC7" s="249"/>
      <c r="AD7" s="249"/>
    </row>
    <row r="8" spans="2:30" ht="13" hidden="1">
      <c r="B8" s="146"/>
      <c r="C8" s="147"/>
      <c r="D8" s="147"/>
      <c r="E8" s="202"/>
      <c r="F8" s="427"/>
      <c r="G8" s="12"/>
      <c r="H8" s="31"/>
      <c r="I8" s="268"/>
      <c r="J8" s="413" t="str">
        <f>IF(C8="","",IF(F8=0,"NA",TEXT(F8,"0%"))&amp;"; "&amp;IF(G8=0,"NA",TEXT(G8,"0.0%"))&amp;"; "&amp;IF(H8=0,"NA",TEXT(H8,"0%")))</f>
        <v/>
      </c>
      <c r="L8" s="32"/>
      <c r="M8" s="183"/>
      <c r="N8" s="175"/>
      <c r="O8" s="175"/>
      <c r="P8" s="175"/>
      <c r="Q8" s="175"/>
      <c r="R8" s="175"/>
      <c r="S8" s="175"/>
      <c r="T8" s="175"/>
      <c r="V8" s="176">
        <f>B8</f>
        <v>0</v>
      </c>
      <c r="W8" s="397"/>
      <c r="X8" s="401"/>
      <c r="Y8" s="401"/>
      <c r="Z8" s="401"/>
      <c r="AA8" s="401"/>
      <c r="AB8" s="401"/>
      <c r="AC8" s="401"/>
      <c r="AD8" s="401"/>
    </row>
    <row r="9" spans="2:30" ht="13" hidden="1">
      <c r="B9" s="137"/>
      <c r="C9" s="1"/>
      <c r="D9" s="115"/>
      <c r="E9" s="130"/>
      <c r="F9" s="12"/>
      <c r="G9" s="12"/>
      <c r="H9" s="31"/>
      <c r="I9" s="268"/>
      <c r="J9" s="413" t="str">
        <f t="shared" ref="J9:J13" si="0">IF(C9="","",IF(F9=0,"NA",TEXT(F9,"0%"))&amp;"; "&amp;IF(G9=0,"NA",TEXT(G9,"0.0%"))&amp;"; "&amp;IF(H9=0,"NA",TEXT(H9,"0%")))</f>
        <v/>
      </c>
      <c r="L9" s="174" t="s">
        <v>195</v>
      </c>
      <c r="M9" s="170"/>
      <c r="N9" s="170"/>
      <c r="O9" s="170"/>
      <c r="P9" s="170"/>
      <c r="Q9" s="170"/>
      <c r="R9" s="170"/>
      <c r="S9" s="170"/>
      <c r="T9" s="170"/>
      <c r="V9" s="188" t="s">
        <v>199</v>
      </c>
      <c r="W9" s="398">
        <f t="shared" ref="W9:AD9" si="1">(W4*W12+W5*W13+W6*W14+W7*W15+W8*W16)/SUM(W12:W16)+W10</f>
        <v>0</v>
      </c>
      <c r="X9" s="398">
        <f t="shared" si="1"/>
        <v>0</v>
      </c>
      <c r="Y9" s="398">
        <f t="shared" si="1"/>
        <v>0</v>
      </c>
      <c r="Z9" s="398">
        <f t="shared" si="1"/>
        <v>0</v>
      </c>
      <c r="AA9" s="398">
        <f t="shared" si="1"/>
        <v>0</v>
      </c>
      <c r="AB9" s="398">
        <f t="shared" si="1"/>
        <v>0</v>
      </c>
      <c r="AC9" s="398">
        <f t="shared" si="1"/>
        <v>0</v>
      </c>
      <c r="AD9" s="398" t="e">
        <f t="shared" si="1"/>
        <v>#VALUE!</v>
      </c>
    </row>
    <row r="10" spans="2:30" hidden="1">
      <c r="B10" s="137"/>
      <c r="C10" s="123"/>
      <c r="D10" s="115"/>
      <c r="E10" s="7"/>
      <c r="F10" s="12"/>
      <c r="G10" s="12"/>
      <c r="H10" s="31"/>
      <c r="I10" s="268"/>
      <c r="J10" s="413" t="str">
        <f t="shared" si="0"/>
        <v/>
      </c>
      <c r="L10" s="150" t="s">
        <v>443</v>
      </c>
      <c r="M10" s="427">
        <v>0.27129999999999999</v>
      </c>
      <c r="N10" s="9">
        <v>0.21709999999999999</v>
      </c>
      <c r="O10" s="9">
        <v>0.18909999999999999</v>
      </c>
      <c r="P10" s="9">
        <f>105.6/678.5</f>
        <v>0.15563743551952836</v>
      </c>
      <c r="Q10" s="9">
        <f>107.7/747.4</f>
        <v>0.14409954508964412</v>
      </c>
      <c r="R10" s="9">
        <f>109.7/828.2</f>
        <v>0.13245592851968124</v>
      </c>
      <c r="S10" s="9">
        <f>116.9/974.7</f>
        <v>0.11993433877090387</v>
      </c>
      <c r="T10" s="125" t="s">
        <v>433</v>
      </c>
      <c r="V10" s="187" t="s">
        <v>198</v>
      </c>
      <c r="W10" s="189"/>
      <c r="X10" s="189"/>
      <c r="Y10" s="189"/>
      <c r="Z10" s="189"/>
      <c r="AA10" s="189"/>
      <c r="AB10" s="189"/>
      <c r="AC10" s="189"/>
      <c r="AD10" s="189"/>
    </row>
    <row r="11" spans="2:30" ht="13" hidden="1">
      <c r="B11" s="137"/>
      <c r="C11" s="1"/>
      <c r="D11" s="115"/>
      <c r="E11" s="7"/>
      <c r="F11" s="12"/>
      <c r="G11" s="12"/>
      <c r="H11" s="31"/>
      <c r="I11" s="268"/>
      <c r="J11" s="413" t="str">
        <f t="shared" si="0"/>
        <v/>
      </c>
      <c r="L11" s="146" t="s">
        <v>444</v>
      </c>
      <c r="M11" s="427">
        <v>0.38429999999999997</v>
      </c>
      <c r="N11" s="9">
        <v>0.36559999999999998</v>
      </c>
      <c r="O11" s="9">
        <v>0.41310000000000002</v>
      </c>
      <c r="P11" s="9">
        <f>246.7/678.5</f>
        <v>0.36359616801768607</v>
      </c>
      <c r="Q11" s="125">
        <f>264/747.4</f>
        <v>0.35322451164035323</v>
      </c>
      <c r="R11" s="9">
        <f>283.7/828.2</f>
        <v>0.3425501086694035</v>
      </c>
      <c r="S11" s="9">
        <f>300.7/974.7</f>
        <v>0.30850518108135833</v>
      </c>
      <c r="T11" s="125" t="s">
        <v>433</v>
      </c>
      <c r="V11" s="177" t="s">
        <v>195</v>
      </c>
    </row>
    <row r="12" spans="2:30" ht="13" hidden="1">
      <c r="B12" s="137"/>
      <c r="C12" s="1"/>
      <c r="D12" s="115"/>
      <c r="E12" s="7"/>
      <c r="F12" s="12"/>
      <c r="G12" s="12"/>
      <c r="H12" s="31"/>
      <c r="I12" s="268"/>
      <c r="J12" s="413" t="str">
        <f t="shared" si="0"/>
        <v/>
      </c>
      <c r="L12" s="146" t="s">
        <v>445</v>
      </c>
      <c r="M12" s="427">
        <v>0.34429999999999999</v>
      </c>
      <c r="N12" s="9">
        <v>0.41470000000000001</v>
      </c>
      <c r="O12" s="9">
        <v>0.39789999999999998</v>
      </c>
      <c r="P12" s="9">
        <f>258.4/678.5</f>
        <v>0.38084008843036105</v>
      </c>
      <c r="Q12" s="9">
        <f>302.9/747.4</f>
        <v>0.40527160824190528</v>
      </c>
      <c r="R12" s="9">
        <f>359.4/828.2</f>
        <v>0.43395315141270219</v>
      </c>
      <c r="S12" s="125">
        <f>459.7/974.7</f>
        <v>0.47163229711706162</v>
      </c>
      <c r="T12" s="125" t="s">
        <v>433</v>
      </c>
      <c r="V12" s="32" t="str">
        <f>V4</f>
        <v xml:space="preserve">United States </v>
      </c>
      <c r="W12" s="427">
        <v>0.72899999999999998</v>
      </c>
      <c r="X12" s="9">
        <v>0.77959999999999996</v>
      </c>
      <c r="Y12" s="9">
        <v>0.77569999999999995</v>
      </c>
      <c r="Z12" s="9">
        <v>0.74580000000000002</v>
      </c>
      <c r="AA12" s="9">
        <v>0.74609999999999999</v>
      </c>
      <c r="AB12" s="9">
        <v>0.73960000000000004</v>
      </c>
      <c r="AC12" s="9">
        <v>0.72909999999999997</v>
      </c>
      <c r="AD12" s="125" t="s">
        <v>433</v>
      </c>
    </row>
    <row r="13" spans="2:30" ht="13" hidden="1">
      <c r="B13" s="136"/>
      <c r="C13" s="138"/>
      <c r="D13" s="138"/>
      <c r="E13" s="7"/>
      <c r="F13" s="12"/>
      <c r="G13" s="139"/>
      <c r="H13" s="140"/>
      <c r="I13" s="270"/>
      <c r="J13" s="413" t="str">
        <f t="shared" si="0"/>
        <v/>
      </c>
      <c r="L13" s="32"/>
      <c r="M13" s="427"/>
      <c r="N13" s="427"/>
      <c r="O13" s="427"/>
      <c r="P13" s="427"/>
      <c r="Q13" s="427"/>
      <c r="R13" s="427"/>
      <c r="S13" s="428"/>
      <c r="T13" s="428"/>
      <c r="V13" s="32" t="str">
        <f>V5</f>
        <v xml:space="preserve">Other Internationals </v>
      </c>
      <c r="W13" s="427">
        <v>0.27100000000000002</v>
      </c>
      <c r="X13" s="9">
        <v>0.22040000000000001</v>
      </c>
      <c r="Y13" s="9">
        <v>0.2243</v>
      </c>
      <c r="Z13" s="9">
        <v>0.25419999999999998</v>
      </c>
      <c r="AA13" s="125">
        <v>0.24909999999999999</v>
      </c>
      <c r="AB13" s="9">
        <v>0.25169999999999998</v>
      </c>
      <c r="AC13" s="9">
        <v>0.25409999999999999</v>
      </c>
      <c r="AD13" s="125" t="s">
        <v>433</v>
      </c>
    </row>
    <row r="14" spans="2:30" ht="13">
      <c r="B14" s="33" t="s">
        <v>111</v>
      </c>
      <c r="C14" s="590">
        <f>SUM(C4:C12)</f>
        <v>577</v>
      </c>
      <c r="D14" s="590">
        <f>SUM(D4:D12)</f>
        <v>468.5</v>
      </c>
      <c r="E14" s="590">
        <f>SUM(E4:E13)</f>
        <v>0</v>
      </c>
      <c r="F14" s="591">
        <f>C14/SUM($C$4:$C$13)</f>
        <v>1</v>
      </c>
      <c r="G14" s="592">
        <f>E14/C14</f>
        <v>0</v>
      </c>
      <c r="H14" s="593">
        <f>C14/D14-1</f>
        <v>0.23159018143009602</v>
      </c>
      <c r="I14" s="270"/>
      <c r="J14" s="270"/>
      <c r="L14" s="32"/>
      <c r="M14" s="429" t="s">
        <v>433</v>
      </c>
      <c r="N14" s="430" t="s">
        <v>433</v>
      </c>
      <c r="O14" s="430" t="s">
        <v>433</v>
      </c>
      <c r="P14" s="430" t="s">
        <v>433</v>
      </c>
      <c r="Q14" s="430" t="s">
        <v>433</v>
      </c>
      <c r="R14" s="430" t="s">
        <v>433</v>
      </c>
      <c r="S14" s="430" t="s">
        <v>433</v>
      </c>
      <c r="T14" s="430"/>
      <c r="V14" s="32">
        <f>V6</f>
        <v>0</v>
      </c>
      <c r="W14" s="427"/>
      <c r="X14" s="9"/>
      <c r="Y14" s="9"/>
      <c r="Z14" s="9"/>
      <c r="AA14" s="9"/>
      <c r="AB14" s="9"/>
      <c r="AC14" s="125"/>
      <c r="AD14" s="9"/>
    </row>
    <row r="15" spans="2:30" ht="22.5" customHeight="1">
      <c r="B15" s="661" t="s">
        <v>421</v>
      </c>
      <c r="C15" s="662"/>
      <c r="D15" s="662"/>
      <c r="E15" s="662"/>
      <c r="F15" s="662"/>
      <c r="G15" s="662"/>
      <c r="H15" s="663"/>
      <c r="I15" s="267"/>
      <c r="J15" s="267"/>
      <c r="M15" s="5">
        <f t="shared" ref="M15:T15" si="2">SUM(M10:M14)</f>
        <v>0.99990000000000001</v>
      </c>
      <c r="N15" s="5">
        <f t="shared" si="2"/>
        <v>0.99740000000000006</v>
      </c>
      <c r="O15" s="5">
        <f t="shared" si="2"/>
        <v>1.0001</v>
      </c>
      <c r="P15" s="5">
        <f t="shared" si="2"/>
        <v>0.90007369196757558</v>
      </c>
      <c r="Q15" s="5">
        <f t="shared" si="2"/>
        <v>0.90259566497190269</v>
      </c>
      <c r="R15" s="5">
        <f t="shared" si="2"/>
        <v>0.90895918860178693</v>
      </c>
      <c r="S15" s="5">
        <f t="shared" si="2"/>
        <v>0.90007181696932381</v>
      </c>
      <c r="T15" s="5">
        <f t="shared" si="2"/>
        <v>0</v>
      </c>
      <c r="V15" s="32">
        <f>V7</f>
        <v>0</v>
      </c>
      <c r="W15" s="427"/>
      <c r="X15" s="427"/>
      <c r="Y15" s="427"/>
      <c r="Z15" s="427"/>
      <c r="AA15" s="427"/>
      <c r="AB15" s="427"/>
      <c r="AC15" s="428"/>
      <c r="AD15" s="427"/>
    </row>
    <row r="16" spans="2:30" ht="13">
      <c r="B16" s="33"/>
      <c r="C16" s="29">
        <f>C3</f>
        <v>2022</v>
      </c>
      <c r="D16" s="29">
        <f>C16-1</f>
        <v>2021</v>
      </c>
      <c r="E16" s="29" t="s">
        <v>58</v>
      </c>
      <c r="F16" s="29" t="s">
        <v>65</v>
      </c>
      <c r="G16" s="29" t="s">
        <v>64</v>
      </c>
      <c r="H16" s="30" t="s">
        <v>57</v>
      </c>
      <c r="I16" s="13"/>
      <c r="J16" s="13"/>
      <c r="K16" s="11"/>
      <c r="N16" s="184">
        <f t="shared" ref="N16:T16" si="3">N15/M15-1</f>
        <v>-2.5002500250024262E-3</v>
      </c>
      <c r="O16" s="184">
        <f t="shared" si="3"/>
        <v>2.7070382995788567E-3</v>
      </c>
      <c r="P16" s="184">
        <f t="shared" si="3"/>
        <v>-0.10001630640178427</v>
      </c>
      <c r="Q16" s="184">
        <f t="shared" si="3"/>
        <v>2.8019628024167353E-3</v>
      </c>
      <c r="R16" s="184">
        <f t="shared" si="3"/>
        <v>7.0502483856738074E-3</v>
      </c>
      <c r="S16" s="184">
        <f t="shared" si="3"/>
        <v>-9.7775254861928174E-3</v>
      </c>
      <c r="T16" s="184">
        <f t="shared" si="3"/>
        <v>-1</v>
      </c>
      <c r="V16" s="185">
        <f>V8</f>
        <v>0</v>
      </c>
      <c r="W16" s="429"/>
      <c r="X16" s="430"/>
      <c r="Y16" s="430"/>
      <c r="Z16" s="430"/>
      <c r="AA16" s="430"/>
      <c r="AB16" s="430"/>
      <c r="AC16" s="430"/>
      <c r="AD16" s="430"/>
    </row>
    <row r="17" spans="2:30">
      <c r="B17" s="150" t="s">
        <v>443</v>
      </c>
      <c r="C17" s="126">
        <v>115.7</v>
      </c>
      <c r="D17" s="126">
        <v>118.2</v>
      </c>
      <c r="E17" s="498" t="s">
        <v>486</v>
      </c>
      <c r="F17" s="427">
        <v>0.1696</v>
      </c>
      <c r="G17" s="498" t="s">
        <v>486</v>
      </c>
      <c r="H17" s="504">
        <v>1.01E-2</v>
      </c>
      <c r="I17" s="268"/>
      <c r="J17" s="413" t="str">
        <f>IF(C17="","",IF(F17=0,"NA",TEXT(F17,"0%"))&amp;"; "&amp;IF(G17=0,"NA",TEXT(G17,"0.0%"))&amp;"; "&amp;IF(H17=0,"NA",TEXT(H17,"0%")))</f>
        <v>17%; N/A; 1%</v>
      </c>
      <c r="K17" s="7"/>
      <c r="W17" s="186">
        <f t="shared" ref="W17:AD17" si="4">SUM(W12:W16)</f>
        <v>1</v>
      </c>
      <c r="X17" s="186">
        <f t="shared" si="4"/>
        <v>1</v>
      </c>
      <c r="Y17" s="186">
        <f t="shared" si="4"/>
        <v>1</v>
      </c>
      <c r="Z17" s="186">
        <f t="shared" si="4"/>
        <v>1</v>
      </c>
      <c r="AA17" s="186">
        <f t="shared" si="4"/>
        <v>0.99519999999999997</v>
      </c>
      <c r="AB17" s="186">
        <f t="shared" si="4"/>
        <v>0.99130000000000007</v>
      </c>
      <c r="AC17" s="186">
        <f t="shared" si="4"/>
        <v>0.98319999999999996</v>
      </c>
      <c r="AD17" s="186">
        <f t="shared" si="4"/>
        <v>0</v>
      </c>
    </row>
    <row r="18" spans="2:30">
      <c r="B18" s="146" t="s">
        <v>444</v>
      </c>
      <c r="C18" s="126">
        <v>192.8</v>
      </c>
      <c r="D18" s="126">
        <v>165</v>
      </c>
      <c r="E18" s="438" t="s">
        <v>486</v>
      </c>
      <c r="F18" s="427">
        <v>0.37519999999999998</v>
      </c>
      <c r="G18" s="438" t="s">
        <v>486</v>
      </c>
      <c r="H18" s="504">
        <v>1.0500000000000001E-2</v>
      </c>
      <c r="I18" s="268"/>
      <c r="J18" s="413" t="str">
        <f>IF(C18="","",IF(F18=0,"NA",TEXT(F18,"0%"))&amp;"; "&amp;IF(G18=0,"NA",TEXT(G18,"0.0%"))&amp;"; "&amp;IF(H18=0,"NA",TEXT(H18,"0%")))</f>
        <v>38%; N/A; 1%</v>
      </c>
      <c r="K18" s="7"/>
      <c r="L18" s="102"/>
    </row>
    <row r="19" spans="2:30">
      <c r="B19" s="146" t="s">
        <v>445</v>
      </c>
      <c r="C19" s="126">
        <v>268.60000000000002</v>
      </c>
      <c r="D19" s="126">
        <v>185.3</v>
      </c>
      <c r="E19" s="498" t="s">
        <v>486</v>
      </c>
      <c r="F19" s="427">
        <v>0.45529999999999998</v>
      </c>
      <c r="G19" s="498" t="s">
        <v>486</v>
      </c>
      <c r="H19" s="427">
        <v>1.1299999999999999E-2</v>
      </c>
      <c r="I19" s="271"/>
      <c r="J19" s="413" t="str">
        <f>IF(C19="","",IF(F19=0,"NA",TEXT(F19,"0%"))&amp;"; "&amp;IF(G19=0,"NA",TEXT(G19,"0.0%"))&amp;"; "&amp;IF(H19=0,"NA",TEXT(H19,"0%")))</f>
        <v>46%; N/A; 1%</v>
      </c>
      <c r="K19" s="7"/>
    </row>
    <row r="20" spans="2:30" hidden="1">
      <c r="B20" s="146"/>
      <c r="C20" s="1"/>
      <c r="D20" s="1"/>
      <c r="E20" s="438"/>
      <c r="F20" s="3"/>
      <c r="G20" s="12"/>
      <c r="H20" s="31"/>
      <c r="I20" s="268"/>
      <c r="J20" s="413" t="str">
        <f>IF(C20="","",IF(F20=0,"NA",TEXT(F20,"0%"))&amp;"; "&amp;IF(G20=0,"NA",TEXT(G20,"0.0%"))&amp;"; "&amp;IF(H20=0,"NA",TEXT(H20,"0%")))</f>
        <v/>
      </c>
      <c r="K20" s="7"/>
    </row>
    <row r="21" spans="2:30" hidden="1">
      <c r="B21" s="146"/>
      <c r="C21" s="1"/>
      <c r="D21" s="1"/>
      <c r="E21" s="103"/>
      <c r="F21" s="12"/>
      <c r="G21" s="12"/>
      <c r="H21" s="31"/>
      <c r="I21" s="268"/>
      <c r="J21" s="413" t="str">
        <f>IF(C21="","",IF(F21=0,"NA",TEXT(F21,"0%"))&amp;"; "&amp;IF(G21=0,"NA",TEXT(G21,"0.0%"))&amp;"; "&amp;IF(H21=0,"NA",TEXT(H21,"0%")))</f>
        <v/>
      </c>
      <c r="K21" s="7"/>
    </row>
    <row r="22" spans="2:30" hidden="1">
      <c r="B22" s="146"/>
      <c r="C22" s="1"/>
      <c r="D22" s="1"/>
      <c r="E22" s="103"/>
      <c r="F22" s="12"/>
      <c r="G22" s="12"/>
      <c r="H22" s="31"/>
      <c r="I22" s="268"/>
      <c r="J22" s="413" t="str">
        <f t="shared" ref="J22:J26" si="5">IF(C22="","",IF(F22=0,"NA",TEXT(F22,"0%"))&amp;"; "&amp;IF(G22=0,"NA",TEXT(G22,"0.0%"))&amp;"; "&amp;IF(H22=0,"NA",TEXT(H22,"0%")))</f>
        <v/>
      </c>
    </row>
    <row r="23" spans="2:30" hidden="1">
      <c r="B23" s="146"/>
      <c r="C23" s="1"/>
      <c r="D23" s="1"/>
      <c r="E23" s="103"/>
      <c r="F23" s="12"/>
      <c r="G23" s="12"/>
      <c r="H23" s="31"/>
      <c r="I23" s="268"/>
      <c r="J23" s="413" t="str">
        <f t="shared" si="5"/>
        <v/>
      </c>
    </row>
    <row r="24" spans="2:30" hidden="1">
      <c r="B24" s="146"/>
      <c r="C24" s="1"/>
      <c r="D24" s="1"/>
      <c r="E24" s="103"/>
      <c r="F24" s="12"/>
      <c r="G24" s="12"/>
      <c r="H24" s="31"/>
      <c r="I24" s="268"/>
      <c r="J24" s="413" t="str">
        <f t="shared" si="5"/>
        <v/>
      </c>
    </row>
    <row r="25" spans="2:30" ht="13" hidden="1">
      <c r="B25" s="32"/>
      <c r="C25" s="1"/>
      <c r="D25" s="7"/>
      <c r="E25" s="7"/>
      <c r="F25" s="12"/>
      <c r="G25" s="12"/>
      <c r="H25" s="31"/>
      <c r="I25" s="268"/>
      <c r="J25" s="413" t="str">
        <f t="shared" si="5"/>
        <v/>
      </c>
    </row>
    <row r="26" spans="2:30" ht="13" hidden="1">
      <c r="B26" s="32"/>
      <c r="C26" s="1"/>
      <c r="D26" s="7"/>
      <c r="E26" s="7"/>
      <c r="F26" s="12"/>
      <c r="G26" s="12"/>
      <c r="H26" s="31"/>
      <c r="I26" s="268"/>
      <c r="J26" s="413" t="str">
        <f t="shared" si="5"/>
        <v/>
      </c>
    </row>
    <row r="27" spans="2:30" ht="13.5" thickBot="1">
      <c r="B27" s="34" t="s">
        <v>111</v>
      </c>
      <c r="C27" s="67">
        <f>SUM(C17:C26)</f>
        <v>577.1</v>
      </c>
      <c r="D27" s="67">
        <f>SUM(D17:D26)</f>
        <v>468.5</v>
      </c>
      <c r="E27" s="67">
        <f>SUM(E17:E26)</f>
        <v>0</v>
      </c>
      <c r="F27" s="594">
        <f>C27/SUM(C17:C26)</f>
        <v>1</v>
      </c>
      <c r="G27" s="595">
        <f>E27/C27</f>
        <v>0</v>
      </c>
      <c r="H27" s="596">
        <f>C27/D27-1</f>
        <v>0.23180362860192116</v>
      </c>
      <c r="I27" s="270"/>
      <c r="J27" s="270"/>
    </row>
    <row r="34" spans="2:11">
      <c r="C34" s="1"/>
    </row>
    <row r="35" spans="2:11" ht="15.5">
      <c r="B35" s="657"/>
      <c r="C35" s="657"/>
      <c r="D35" s="657"/>
      <c r="E35" s="657"/>
      <c r="F35" s="657"/>
      <c r="G35" s="657"/>
      <c r="H35" s="657"/>
      <c r="I35" s="235"/>
      <c r="J35" s="235"/>
    </row>
    <row r="36" spans="2:11" ht="15.5">
      <c r="B36" s="657"/>
      <c r="C36" s="657"/>
      <c r="D36" s="657"/>
      <c r="E36" s="657"/>
      <c r="F36" s="657"/>
      <c r="G36" s="657"/>
      <c r="H36" s="657"/>
      <c r="I36" s="235"/>
      <c r="J36" s="235"/>
    </row>
    <row r="37" spans="2:11" ht="15.5">
      <c r="B37" s="657"/>
      <c r="C37" s="657"/>
      <c r="D37" s="657"/>
      <c r="E37" s="657"/>
      <c r="F37" s="657"/>
      <c r="G37" s="657"/>
      <c r="H37" s="657"/>
      <c r="I37" s="235"/>
      <c r="J37" s="235"/>
      <c r="K37" s="124"/>
    </row>
  </sheetData>
  <mergeCells count="4">
    <mergeCell ref="B35:H37"/>
    <mergeCell ref="B2:H2"/>
    <mergeCell ref="B15:H15"/>
    <mergeCell ref="L2:M2"/>
  </mergeCells>
  <phoneticPr fontId="0" type="noConversion"/>
  <pageMargins left="0.75" right="0.75" top="1" bottom="1" header="0" footer="0"/>
  <pageSetup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F169"/>
  <sheetViews>
    <sheetView showGridLines="0" zoomScaleNormal="100" workbookViewId="0">
      <selection activeCell="C12" sqref="C12"/>
    </sheetView>
  </sheetViews>
  <sheetFormatPr defaultColWidth="11.453125" defaultRowHeight="12.5"/>
  <cols>
    <col min="1" max="1" width="22.453125" customWidth="1"/>
    <col min="2" max="4" width="22.7265625" customWidth="1"/>
  </cols>
  <sheetData>
    <row r="1" spans="1:6" ht="5.25" customHeight="1" thickBot="1"/>
    <row r="2" spans="1:6" ht="12.75" customHeight="1">
      <c r="A2" s="665" t="s">
        <v>370</v>
      </c>
      <c r="B2" s="547" t="s">
        <v>435</v>
      </c>
      <c r="C2" s="547" t="s">
        <v>447</v>
      </c>
      <c r="D2" s="548" t="s">
        <v>451</v>
      </c>
    </row>
    <row r="3" spans="1:6" ht="14.5">
      <c r="A3" s="666"/>
      <c r="B3" s="549" t="s">
        <v>434</v>
      </c>
      <c r="C3" s="549" t="s">
        <v>446</v>
      </c>
      <c r="D3" s="550" t="s">
        <v>450</v>
      </c>
      <c r="F3" s="499"/>
    </row>
    <row r="4" spans="1:6" ht="15.65" customHeight="1">
      <c r="A4" s="551" t="s">
        <v>9</v>
      </c>
      <c r="B4" s="552" t="s">
        <v>436</v>
      </c>
      <c r="C4" s="552" t="s">
        <v>449</v>
      </c>
      <c r="D4" s="553" t="s">
        <v>452</v>
      </c>
    </row>
    <row r="5" spans="1:6" ht="15.65" customHeight="1">
      <c r="A5" s="551" t="s">
        <v>506</v>
      </c>
      <c r="B5" s="422">
        <v>7.3899999999999993E-2</v>
      </c>
      <c r="C5" s="423">
        <v>4.1500000000000002E-2</v>
      </c>
      <c r="D5" s="554">
        <v>2.75E-2</v>
      </c>
    </row>
    <row r="6" spans="1:6" ht="15.65" customHeight="1">
      <c r="A6" s="551" t="s">
        <v>507</v>
      </c>
      <c r="B6" s="491">
        <v>0.23200000000000001</v>
      </c>
      <c r="C6" s="489">
        <v>0.12989999999999999</v>
      </c>
      <c r="D6" s="555">
        <v>1.6500000000000001E-2</v>
      </c>
    </row>
    <row r="7" spans="1:6" ht="15.65" hidden="1" customHeight="1">
      <c r="A7" s="556" t="s">
        <v>17</v>
      </c>
      <c r="B7" s="557"/>
      <c r="C7" s="558">
        <v>82110</v>
      </c>
      <c r="D7" s="559">
        <v>26772</v>
      </c>
    </row>
    <row r="8" spans="1:6" ht="15.65" hidden="1" customHeight="1">
      <c r="A8" s="556" t="s">
        <v>133</v>
      </c>
      <c r="B8" s="557"/>
      <c r="C8" s="558">
        <v>301311</v>
      </c>
      <c r="D8" s="559">
        <v>319616</v>
      </c>
    </row>
    <row r="9" spans="1:6" ht="15.65" customHeight="1">
      <c r="A9" s="556" t="s">
        <v>132</v>
      </c>
      <c r="B9" s="496">
        <v>0.22559999999999999</v>
      </c>
      <c r="C9" s="490">
        <v>5.1299999999999998E-2</v>
      </c>
      <c r="D9" s="560">
        <v>0.128</v>
      </c>
    </row>
    <row r="10" spans="1:6" ht="15.65" customHeight="1">
      <c r="A10" s="556" t="s">
        <v>179</v>
      </c>
      <c r="B10" s="488">
        <v>2.67</v>
      </c>
      <c r="C10" s="497">
        <v>0.56000000000000005</v>
      </c>
      <c r="D10" s="561">
        <v>2.39</v>
      </c>
    </row>
    <row r="11" spans="1:6" ht="15.65" customHeight="1">
      <c r="A11" s="556" t="s">
        <v>172</v>
      </c>
      <c r="B11" s="489">
        <f>(52.7+0)/661.1</f>
        <v>7.9715625472697019E-2</v>
      </c>
      <c r="C11" s="489">
        <f>(34.5+0)/290.4</f>
        <v>0.11880165289256199</v>
      </c>
      <c r="D11" s="562">
        <f>(37.4+0)/1695</f>
        <v>2.2064896755162242E-2</v>
      </c>
    </row>
    <row r="12" spans="1:6" ht="15.65" customHeight="1">
      <c r="A12" s="556" t="s">
        <v>201</v>
      </c>
      <c r="B12" s="496">
        <v>-5.8900000000000001E-2</v>
      </c>
      <c r="C12" s="423">
        <v>2.6599999999999999E-2</v>
      </c>
      <c r="D12" s="563">
        <v>-1.95E-2</v>
      </c>
    </row>
    <row r="13" spans="1:6" ht="15.65" customHeight="1">
      <c r="A13" s="556" t="s">
        <v>202</v>
      </c>
      <c r="B13" s="496">
        <v>-0.1071</v>
      </c>
      <c r="C13" s="424">
        <v>2.3199999999999998E-2</v>
      </c>
      <c r="D13" s="554">
        <v>-2.5000000000000001E-2</v>
      </c>
    </row>
    <row r="14" spans="1:6" ht="15.65" customHeight="1">
      <c r="A14" s="551" t="s">
        <v>508</v>
      </c>
      <c r="B14" s="494">
        <v>-0.25009999999999999</v>
      </c>
      <c r="C14" s="491">
        <v>3.2800000000000003E-2</v>
      </c>
      <c r="D14" s="554">
        <v>-7.4000000000000003E-3</v>
      </c>
    </row>
    <row r="15" spans="1:6" ht="15.65" customHeight="1">
      <c r="A15" s="551" t="s">
        <v>509</v>
      </c>
      <c r="B15" s="495">
        <v>-0.19539999999999999</v>
      </c>
      <c r="C15" s="422">
        <v>0.158</v>
      </c>
      <c r="D15" s="564">
        <v>-9.7999999999999997E-3</v>
      </c>
    </row>
    <row r="16" spans="1:6" ht="15.65" customHeight="1">
      <c r="A16" s="556" t="s">
        <v>171</v>
      </c>
      <c r="B16" s="492" t="s">
        <v>448</v>
      </c>
      <c r="C16" s="493" t="s">
        <v>479</v>
      </c>
      <c r="D16" s="565" t="s">
        <v>453</v>
      </c>
    </row>
    <row r="17" spans="1:5" ht="15.65" customHeight="1">
      <c r="A17" s="566" t="s">
        <v>203</v>
      </c>
      <c r="B17" s="567">
        <v>2.52</v>
      </c>
      <c r="C17" s="567">
        <v>2.1</v>
      </c>
      <c r="D17" s="568">
        <v>1.99</v>
      </c>
    </row>
    <row r="18" spans="1:5" ht="15.65" customHeight="1">
      <c r="A18" s="556" t="s">
        <v>204</v>
      </c>
      <c r="B18" s="569">
        <v>134.77000000000001</v>
      </c>
      <c r="C18" s="570">
        <v>45.72</v>
      </c>
      <c r="D18" s="571">
        <v>7.62</v>
      </c>
    </row>
    <row r="19" spans="1:5" ht="15.65" customHeight="1">
      <c r="A19" s="551" t="s">
        <v>371</v>
      </c>
      <c r="B19" s="572">
        <v>3.86</v>
      </c>
      <c r="C19" s="572">
        <v>2.5</v>
      </c>
      <c r="D19" s="573">
        <v>0.75</v>
      </c>
    </row>
    <row r="20" spans="1:5" ht="15.65" customHeight="1">
      <c r="A20" s="556" t="s">
        <v>49</v>
      </c>
      <c r="B20" s="574">
        <f>2.8/2.68</f>
        <v>1.044776119402985</v>
      </c>
      <c r="C20" s="575">
        <v>6.56</v>
      </c>
      <c r="D20" s="576">
        <v>5.25</v>
      </c>
    </row>
    <row r="21" spans="1:5" ht="15.65" customHeight="1">
      <c r="A21" s="556" t="s">
        <v>205</v>
      </c>
      <c r="B21" s="577">
        <v>26.36</v>
      </c>
      <c r="C21" s="570">
        <v>9.4700000000000006</v>
      </c>
      <c r="D21" s="578">
        <f>1241/89</f>
        <v>13.943820224719101</v>
      </c>
    </row>
    <row r="22" spans="1:5" ht="15.65" customHeight="1" thickBot="1">
      <c r="A22" s="579" t="s">
        <v>66</v>
      </c>
      <c r="B22" s="580" t="s">
        <v>433</v>
      </c>
      <c r="C22" s="580" t="s">
        <v>433</v>
      </c>
      <c r="D22" s="581" t="s">
        <v>433</v>
      </c>
    </row>
    <row r="24" spans="1:5">
      <c r="B24" s="55"/>
    </row>
    <row r="25" spans="1:5">
      <c r="B25" s="55"/>
    </row>
    <row r="26" spans="1:5" ht="20">
      <c r="A26" s="414"/>
      <c r="B26" s="415"/>
      <c r="C26" s="415"/>
      <c r="D26" s="415"/>
      <c r="E26" s="416"/>
    </row>
    <row r="27" spans="1:5" ht="20">
      <c r="A27" s="55"/>
      <c r="B27" s="417"/>
      <c r="C27" s="415"/>
      <c r="D27" s="415"/>
      <c r="E27" s="416"/>
    </row>
    <row r="28" spans="1:5" ht="20">
      <c r="A28" s="414"/>
      <c r="B28" s="415"/>
      <c r="C28" s="415"/>
      <c r="D28" s="415"/>
      <c r="E28" s="416"/>
    </row>
    <row r="29" spans="1:5" ht="20">
      <c r="A29" s="414"/>
      <c r="B29" s="417"/>
      <c r="C29" s="415"/>
      <c r="D29" s="415"/>
      <c r="E29" s="416"/>
    </row>
    <row r="30" spans="1:5" ht="20">
      <c r="A30" s="414"/>
      <c r="B30" s="417"/>
      <c r="C30" s="415"/>
      <c r="D30" s="415"/>
      <c r="E30" s="416"/>
    </row>
    <row r="31" spans="1:5" ht="20">
      <c r="A31" s="414"/>
      <c r="B31" s="418"/>
      <c r="C31" s="415"/>
      <c r="D31" s="415"/>
      <c r="E31" s="416"/>
    </row>
    <row r="32" spans="1:5" ht="15.5">
      <c r="A32" s="414"/>
      <c r="B32" s="418"/>
      <c r="C32" s="418"/>
      <c r="D32" s="419"/>
      <c r="E32" s="416"/>
    </row>
    <row r="33" spans="1:5">
      <c r="A33" s="416"/>
      <c r="B33" s="416"/>
      <c r="C33" s="416"/>
      <c r="D33" s="416"/>
      <c r="E33" s="416"/>
    </row>
    <row r="34" spans="1:5">
      <c r="A34" s="416"/>
      <c r="B34" s="416"/>
      <c r="C34" s="416"/>
      <c r="D34" s="416"/>
      <c r="E34" s="416"/>
    </row>
    <row r="35" spans="1:5">
      <c r="A35" s="416"/>
      <c r="B35" s="416"/>
      <c r="C35" s="416"/>
      <c r="D35" s="416"/>
      <c r="E35" s="416"/>
    </row>
    <row r="36" spans="1:5">
      <c r="A36" s="416"/>
      <c r="B36" s="416"/>
      <c r="C36" s="416"/>
      <c r="D36" s="416"/>
      <c r="E36" s="416"/>
    </row>
    <row r="37" spans="1:5">
      <c r="A37" s="416"/>
      <c r="B37" s="416"/>
      <c r="C37" s="416"/>
      <c r="D37" s="416"/>
      <c r="E37" s="416"/>
    </row>
    <row r="38" spans="1:5">
      <c r="A38" s="416"/>
      <c r="B38" s="416"/>
      <c r="C38" s="416"/>
      <c r="D38" s="416"/>
      <c r="E38" s="416"/>
    </row>
    <row r="39" spans="1:5">
      <c r="A39" s="416"/>
      <c r="B39" s="416"/>
      <c r="C39" s="416"/>
      <c r="D39" s="416"/>
      <c r="E39" s="416"/>
    </row>
    <row r="40" spans="1:5">
      <c r="A40" s="416"/>
      <c r="B40" s="416"/>
      <c r="C40" s="416"/>
      <c r="D40" s="416"/>
      <c r="E40" s="416"/>
    </row>
    <row r="41" spans="1:5">
      <c r="A41" s="416"/>
      <c r="B41" s="416"/>
      <c r="C41" s="416"/>
      <c r="D41" s="416"/>
      <c r="E41" s="416"/>
    </row>
    <row r="42" spans="1:5">
      <c r="A42" s="416"/>
      <c r="B42" s="416"/>
      <c r="C42" s="416"/>
      <c r="D42" s="416"/>
      <c r="E42" s="416"/>
    </row>
    <row r="43" spans="1:5">
      <c r="A43" s="416"/>
      <c r="B43" s="416"/>
      <c r="C43" s="416"/>
      <c r="D43" s="416"/>
      <c r="E43" s="416"/>
    </row>
    <row r="44" spans="1:5">
      <c r="A44" s="416"/>
      <c r="B44" s="416"/>
      <c r="C44" s="416"/>
      <c r="D44" s="416"/>
      <c r="E44" s="416"/>
    </row>
    <row r="45" spans="1:5">
      <c r="A45" s="416"/>
      <c r="B45" s="416"/>
      <c r="C45" s="416"/>
      <c r="D45" s="416"/>
      <c r="E45" s="416"/>
    </row>
    <row r="46" spans="1:5">
      <c r="A46" s="416"/>
      <c r="B46" s="416"/>
      <c r="C46" s="416"/>
      <c r="D46" s="416"/>
      <c r="E46" s="416"/>
    </row>
    <row r="47" spans="1:5">
      <c r="A47" s="416"/>
      <c r="B47" s="416"/>
      <c r="C47" s="416"/>
      <c r="D47" s="416"/>
      <c r="E47" s="416"/>
    </row>
    <row r="48" spans="1:5">
      <c r="A48" s="416"/>
      <c r="B48" s="416"/>
      <c r="C48" s="416"/>
      <c r="D48" s="416"/>
      <c r="E48" s="416"/>
    </row>
    <row r="49" spans="1:5">
      <c r="A49" s="416"/>
      <c r="B49" s="416"/>
      <c r="C49" s="416"/>
      <c r="D49" s="416"/>
      <c r="E49" s="416"/>
    </row>
    <row r="50" spans="1:5">
      <c r="A50" s="416"/>
      <c r="B50" s="416"/>
      <c r="C50" s="416"/>
      <c r="D50" s="416"/>
      <c r="E50" s="416"/>
    </row>
    <row r="51" spans="1:5">
      <c r="A51" s="416"/>
      <c r="B51" s="416"/>
      <c r="C51" s="416"/>
      <c r="D51" s="416"/>
      <c r="E51" s="416"/>
    </row>
    <row r="52" spans="1:5">
      <c r="A52" s="416"/>
      <c r="B52" s="416"/>
      <c r="C52" s="416"/>
      <c r="D52" s="416"/>
      <c r="E52" s="416"/>
    </row>
    <row r="53" spans="1:5">
      <c r="A53" s="416"/>
      <c r="B53" s="416"/>
      <c r="C53" s="416"/>
      <c r="D53" s="416"/>
      <c r="E53" s="416"/>
    </row>
    <row r="54" spans="1:5">
      <c r="A54" s="416"/>
      <c r="B54" s="416"/>
      <c r="C54" s="416"/>
      <c r="D54" s="416"/>
      <c r="E54" s="416"/>
    </row>
    <row r="55" spans="1:5">
      <c r="A55" s="416"/>
      <c r="B55" s="416"/>
      <c r="C55" s="416"/>
      <c r="D55" s="416"/>
      <c r="E55" s="416"/>
    </row>
    <row r="56" spans="1:5">
      <c r="A56" s="416"/>
      <c r="B56" s="416"/>
      <c r="C56" s="416"/>
      <c r="D56" s="416"/>
      <c r="E56" s="416"/>
    </row>
    <row r="57" spans="1:5">
      <c r="A57" s="416"/>
      <c r="B57" s="416"/>
      <c r="C57" s="416"/>
      <c r="D57" s="416"/>
      <c r="E57" s="416"/>
    </row>
    <row r="58" spans="1:5">
      <c r="A58" s="416"/>
      <c r="B58" s="416"/>
      <c r="C58" s="416"/>
      <c r="D58" s="416"/>
      <c r="E58" s="416"/>
    </row>
    <row r="59" spans="1:5">
      <c r="A59" s="416"/>
      <c r="B59" s="416"/>
      <c r="C59" s="416"/>
      <c r="D59" s="416"/>
      <c r="E59" s="416"/>
    </row>
    <row r="60" spans="1:5">
      <c r="A60" s="416"/>
      <c r="B60" s="416"/>
      <c r="C60" s="416"/>
      <c r="D60" s="416"/>
      <c r="E60" s="416"/>
    </row>
    <row r="61" spans="1:5">
      <c r="A61" s="416"/>
      <c r="B61" s="416"/>
      <c r="C61" s="416"/>
      <c r="D61" s="416"/>
      <c r="E61" s="416"/>
    </row>
    <row r="62" spans="1:5">
      <c r="A62" s="416"/>
      <c r="B62" s="416"/>
      <c r="C62" s="416"/>
      <c r="D62" s="416"/>
      <c r="E62" s="416"/>
    </row>
    <row r="63" spans="1:5">
      <c r="A63" s="416"/>
      <c r="B63" s="416"/>
      <c r="C63" s="416"/>
      <c r="D63" s="416"/>
      <c r="E63" s="416"/>
    </row>
    <row r="64" spans="1:5">
      <c r="A64" s="416"/>
      <c r="B64" s="416"/>
      <c r="C64" s="416"/>
      <c r="D64" s="416"/>
      <c r="E64" s="416"/>
    </row>
    <row r="65" spans="1:5">
      <c r="A65" s="416"/>
      <c r="B65" s="416"/>
      <c r="C65" s="416"/>
      <c r="D65" s="416"/>
      <c r="E65" s="416"/>
    </row>
    <row r="66" spans="1:5">
      <c r="A66" s="416"/>
      <c r="B66" s="416"/>
      <c r="C66" s="416"/>
      <c r="D66" s="416"/>
      <c r="E66" s="416"/>
    </row>
    <row r="67" spans="1:5">
      <c r="A67" s="416"/>
      <c r="B67" s="416"/>
      <c r="C67" s="416"/>
      <c r="D67" s="416"/>
      <c r="E67" s="416"/>
    </row>
    <row r="68" spans="1:5">
      <c r="A68" s="416"/>
      <c r="B68" s="416"/>
      <c r="C68" s="416"/>
      <c r="D68" s="416"/>
      <c r="E68" s="416"/>
    </row>
    <row r="69" spans="1:5">
      <c r="A69" s="416"/>
      <c r="B69" s="416"/>
      <c r="C69" s="416"/>
      <c r="D69" s="416"/>
      <c r="E69" s="416"/>
    </row>
    <row r="70" spans="1:5">
      <c r="A70" s="416"/>
      <c r="B70" s="416"/>
      <c r="C70" s="416"/>
      <c r="D70" s="416"/>
      <c r="E70" s="416"/>
    </row>
    <row r="71" spans="1:5">
      <c r="A71" s="416"/>
      <c r="B71" s="416"/>
      <c r="C71" s="416"/>
      <c r="D71" s="416"/>
      <c r="E71" s="416"/>
    </row>
    <row r="72" spans="1:5">
      <c r="A72" s="416"/>
      <c r="B72" s="416"/>
      <c r="C72" s="416"/>
      <c r="D72" s="416"/>
      <c r="E72" s="416"/>
    </row>
    <row r="73" spans="1:5">
      <c r="A73" s="416"/>
      <c r="B73" s="416"/>
      <c r="C73" s="416"/>
      <c r="D73" s="416"/>
      <c r="E73" s="416"/>
    </row>
    <row r="74" spans="1:5">
      <c r="A74" s="416"/>
      <c r="B74" s="416"/>
      <c r="C74" s="416"/>
      <c r="D74" s="416"/>
      <c r="E74" s="416"/>
    </row>
    <row r="75" spans="1:5">
      <c r="A75" s="416"/>
      <c r="B75" s="416"/>
      <c r="C75" s="416"/>
      <c r="D75" s="416"/>
      <c r="E75" s="416"/>
    </row>
    <row r="76" spans="1:5">
      <c r="A76" s="416"/>
      <c r="B76" s="416"/>
      <c r="C76" s="416"/>
      <c r="D76" s="416"/>
      <c r="E76" s="416"/>
    </row>
    <row r="77" spans="1:5">
      <c r="A77" s="416"/>
      <c r="B77" s="416"/>
      <c r="C77" s="416"/>
      <c r="D77" s="416"/>
      <c r="E77" s="416"/>
    </row>
    <row r="78" spans="1:5">
      <c r="A78" s="416"/>
      <c r="B78" s="416"/>
      <c r="C78" s="416"/>
      <c r="D78" s="416"/>
      <c r="E78" s="416"/>
    </row>
    <row r="79" spans="1:5">
      <c r="A79" s="416"/>
      <c r="B79" s="416"/>
      <c r="C79" s="416"/>
      <c r="D79" s="416"/>
      <c r="E79" s="416"/>
    </row>
    <row r="80" spans="1:5">
      <c r="A80" s="416"/>
      <c r="B80" s="416"/>
      <c r="C80" s="416"/>
      <c r="D80" s="416"/>
      <c r="E80" s="416"/>
    </row>
    <row r="81" spans="1:5">
      <c r="A81" s="416"/>
      <c r="B81" s="416"/>
      <c r="C81" s="416"/>
      <c r="D81" s="416"/>
      <c r="E81" s="416"/>
    </row>
    <row r="82" spans="1:5">
      <c r="A82" s="416"/>
      <c r="B82" s="416"/>
      <c r="C82" s="416"/>
      <c r="D82" s="416"/>
      <c r="E82" s="416"/>
    </row>
    <row r="83" spans="1:5">
      <c r="A83" s="416"/>
      <c r="B83" s="416"/>
      <c r="C83" s="416"/>
      <c r="D83" s="416"/>
      <c r="E83" s="416"/>
    </row>
    <row r="84" spans="1:5">
      <c r="A84" s="416"/>
      <c r="B84" s="416"/>
      <c r="C84" s="416"/>
      <c r="D84" s="416"/>
      <c r="E84" s="416"/>
    </row>
    <row r="85" spans="1:5">
      <c r="A85" s="416"/>
      <c r="B85" s="416"/>
      <c r="C85" s="416"/>
      <c r="D85" s="416"/>
      <c r="E85" s="416"/>
    </row>
    <row r="86" spans="1:5">
      <c r="A86" s="416"/>
      <c r="B86" s="416"/>
      <c r="C86" s="416"/>
      <c r="D86" s="416"/>
      <c r="E86" s="416"/>
    </row>
    <row r="87" spans="1:5">
      <c r="A87" s="416"/>
      <c r="B87" s="416"/>
      <c r="C87" s="416"/>
      <c r="D87" s="416"/>
      <c r="E87" s="416"/>
    </row>
    <row r="88" spans="1:5">
      <c r="A88" s="416"/>
      <c r="B88" s="416"/>
      <c r="C88" s="416"/>
      <c r="D88" s="416"/>
      <c r="E88" s="416"/>
    </row>
    <row r="89" spans="1:5">
      <c r="A89" s="416"/>
      <c r="B89" s="416"/>
      <c r="C89" s="416"/>
      <c r="D89" s="416"/>
      <c r="E89" s="416"/>
    </row>
    <row r="90" spans="1:5">
      <c r="A90" s="416"/>
      <c r="B90" s="416"/>
      <c r="C90" s="416"/>
      <c r="D90" s="416"/>
      <c r="E90" s="416"/>
    </row>
    <row r="91" spans="1:5">
      <c r="A91" s="416"/>
      <c r="B91" s="416"/>
      <c r="C91" s="416"/>
      <c r="D91" s="416"/>
      <c r="E91" s="416"/>
    </row>
    <row r="92" spans="1:5">
      <c r="A92" s="416"/>
      <c r="B92" s="416"/>
      <c r="C92" s="416"/>
      <c r="D92" s="416"/>
      <c r="E92" s="416"/>
    </row>
    <row r="93" spans="1:5">
      <c r="A93" s="416"/>
      <c r="B93" s="416"/>
      <c r="C93" s="416"/>
      <c r="D93" s="416"/>
      <c r="E93" s="416"/>
    </row>
    <row r="94" spans="1:5">
      <c r="A94" s="416"/>
      <c r="B94" s="416"/>
      <c r="C94" s="416"/>
      <c r="D94" s="416"/>
      <c r="E94" s="416"/>
    </row>
    <row r="95" spans="1:5">
      <c r="A95" s="416"/>
      <c r="B95" s="416"/>
      <c r="C95" s="416"/>
      <c r="D95" s="416"/>
      <c r="E95" s="416"/>
    </row>
    <row r="96" spans="1:5">
      <c r="A96" s="416"/>
      <c r="B96" s="416"/>
      <c r="C96" s="416"/>
      <c r="D96" s="416"/>
      <c r="E96" s="416"/>
    </row>
    <row r="97" spans="1:5">
      <c r="A97" s="416"/>
      <c r="B97" s="416"/>
      <c r="C97" s="416"/>
      <c r="D97" s="416"/>
      <c r="E97" s="416"/>
    </row>
    <row r="98" spans="1:5">
      <c r="A98" s="416"/>
      <c r="B98" s="416"/>
      <c r="C98" s="416"/>
      <c r="D98" s="416"/>
      <c r="E98" s="416"/>
    </row>
    <row r="99" spans="1:5">
      <c r="A99" s="416"/>
      <c r="B99" s="416"/>
      <c r="C99" s="416"/>
      <c r="D99" s="416"/>
      <c r="E99" s="416"/>
    </row>
    <row r="100" spans="1:5">
      <c r="A100" s="416"/>
      <c r="B100" s="416"/>
      <c r="C100" s="416"/>
      <c r="D100" s="416"/>
      <c r="E100" s="416"/>
    </row>
    <row r="101" spans="1:5">
      <c r="A101" s="416"/>
      <c r="B101" s="416"/>
      <c r="C101" s="416"/>
      <c r="D101" s="416"/>
      <c r="E101" s="416"/>
    </row>
    <row r="102" spans="1:5">
      <c r="A102" s="416"/>
      <c r="B102" s="416"/>
      <c r="C102" s="416"/>
      <c r="D102" s="416"/>
      <c r="E102" s="416"/>
    </row>
    <row r="103" spans="1:5">
      <c r="A103" s="416"/>
      <c r="B103" s="416"/>
      <c r="C103" s="416"/>
      <c r="D103" s="416"/>
      <c r="E103" s="416"/>
    </row>
    <row r="104" spans="1:5">
      <c r="A104" s="416"/>
      <c r="B104" s="416"/>
      <c r="C104" s="416"/>
      <c r="D104" s="416"/>
      <c r="E104" s="416"/>
    </row>
    <row r="105" spans="1:5">
      <c r="A105" s="416"/>
      <c r="B105" s="416"/>
      <c r="C105" s="416"/>
      <c r="D105" s="416"/>
      <c r="E105" s="416"/>
    </row>
    <row r="106" spans="1:5">
      <c r="A106" s="416"/>
      <c r="B106" s="416"/>
      <c r="C106" s="416"/>
      <c r="D106" s="416"/>
      <c r="E106" s="416"/>
    </row>
    <row r="107" spans="1:5">
      <c r="A107" s="416"/>
      <c r="B107" s="416"/>
      <c r="C107" s="416"/>
      <c r="D107" s="416"/>
      <c r="E107" s="416"/>
    </row>
    <row r="108" spans="1:5">
      <c r="A108" s="416"/>
      <c r="B108" s="416"/>
      <c r="C108" s="416"/>
      <c r="D108" s="416"/>
      <c r="E108" s="416"/>
    </row>
    <row r="109" spans="1:5">
      <c r="A109" s="416"/>
      <c r="B109" s="416"/>
      <c r="C109" s="416"/>
      <c r="D109" s="416"/>
      <c r="E109" s="416"/>
    </row>
    <row r="110" spans="1:5">
      <c r="A110" s="416"/>
      <c r="B110" s="416"/>
      <c r="C110" s="416"/>
      <c r="D110" s="416"/>
      <c r="E110" s="416"/>
    </row>
    <row r="111" spans="1:5">
      <c r="A111" s="416"/>
      <c r="B111" s="416"/>
      <c r="C111" s="416"/>
      <c r="D111" s="416"/>
      <c r="E111" s="416"/>
    </row>
    <row r="112" spans="1:5">
      <c r="A112" s="416"/>
      <c r="B112" s="416"/>
      <c r="C112" s="416"/>
      <c r="D112" s="416"/>
      <c r="E112" s="416"/>
    </row>
    <row r="113" spans="1:5">
      <c r="A113" s="416"/>
      <c r="B113" s="416"/>
      <c r="C113" s="416"/>
      <c r="D113" s="416"/>
      <c r="E113" s="416"/>
    </row>
    <row r="114" spans="1:5">
      <c r="A114" s="416"/>
      <c r="B114" s="416"/>
      <c r="C114" s="416"/>
      <c r="D114" s="416"/>
      <c r="E114" s="416"/>
    </row>
    <row r="115" spans="1:5">
      <c r="A115" s="416"/>
      <c r="B115" s="416"/>
      <c r="C115" s="416"/>
      <c r="D115" s="416"/>
      <c r="E115" s="416"/>
    </row>
    <row r="116" spans="1:5">
      <c r="A116" s="416"/>
      <c r="B116" s="416"/>
      <c r="C116" s="416"/>
      <c r="D116" s="416"/>
      <c r="E116" s="416"/>
    </row>
    <row r="117" spans="1:5">
      <c r="A117" s="416"/>
      <c r="B117" s="416"/>
      <c r="C117" s="416"/>
      <c r="D117" s="416"/>
      <c r="E117" s="416"/>
    </row>
    <row r="118" spans="1:5">
      <c r="A118" s="416"/>
      <c r="B118" s="416"/>
      <c r="C118" s="416"/>
      <c r="D118" s="416"/>
      <c r="E118" s="416"/>
    </row>
    <row r="119" spans="1:5">
      <c r="A119" s="416"/>
      <c r="B119" s="416"/>
      <c r="C119" s="416"/>
      <c r="D119" s="416"/>
      <c r="E119" s="416"/>
    </row>
    <row r="120" spans="1:5">
      <c r="A120" s="416"/>
      <c r="B120" s="416"/>
      <c r="C120" s="416"/>
      <c r="D120" s="416"/>
      <c r="E120" s="416"/>
    </row>
    <row r="121" spans="1:5">
      <c r="A121" s="416"/>
      <c r="B121" s="416"/>
      <c r="C121" s="416"/>
      <c r="D121" s="416"/>
      <c r="E121" s="416"/>
    </row>
    <row r="122" spans="1:5">
      <c r="A122" s="416"/>
      <c r="B122" s="416"/>
      <c r="C122" s="416"/>
      <c r="D122" s="416"/>
      <c r="E122" s="416"/>
    </row>
    <row r="123" spans="1:5">
      <c r="A123" s="416"/>
      <c r="B123" s="416"/>
      <c r="C123" s="416"/>
      <c r="D123" s="416"/>
      <c r="E123" s="416"/>
    </row>
    <row r="124" spans="1:5">
      <c r="A124" s="416"/>
      <c r="B124" s="416"/>
      <c r="C124" s="416"/>
      <c r="D124" s="416"/>
      <c r="E124" s="416"/>
    </row>
    <row r="125" spans="1:5">
      <c r="A125" s="416"/>
      <c r="B125" s="416"/>
      <c r="C125" s="416"/>
      <c r="D125" s="416"/>
      <c r="E125" s="416"/>
    </row>
    <row r="126" spans="1:5">
      <c r="A126" s="416"/>
      <c r="B126" s="416"/>
      <c r="C126" s="416"/>
      <c r="D126" s="416"/>
      <c r="E126" s="416"/>
    </row>
    <row r="127" spans="1:5">
      <c r="A127" s="416"/>
      <c r="B127" s="416"/>
      <c r="C127" s="416"/>
      <c r="D127" s="416"/>
      <c r="E127" s="416"/>
    </row>
    <row r="128" spans="1:5">
      <c r="A128" s="416"/>
      <c r="B128" s="416"/>
      <c r="C128" s="416"/>
      <c r="D128" s="416"/>
      <c r="E128" s="416"/>
    </row>
    <row r="129" spans="1:5">
      <c r="A129" s="416"/>
      <c r="B129" s="416"/>
      <c r="C129" s="416"/>
      <c r="D129" s="416"/>
      <c r="E129" s="416"/>
    </row>
    <row r="130" spans="1:5">
      <c r="A130" s="416"/>
      <c r="B130" s="416"/>
      <c r="C130" s="416"/>
      <c r="D130" s="416"/>
      <c r="E130" s="416"/>
    </row>
    <row r="131" spans="1:5">
      <c r="A131" s="416"/>
      <c r="B131" s="416"/>
      <c r="C131" s="416"/>
      <c r="D131" s="416"/>
      <c r="E131" s="416"/>
    </row>
    <row r="132" spans="1:5">
      <c r="A132" s="416"/>
      <c r="B132" s="416"/>
      <c r="C132" s="416"/>
      <c r="D132" s="416"/>
      <c r="E132" s="416"/>
    </row>
    <row r="133" spans="1:5">
      <c r="A133" s="416"/>
      <c r="B133" s="416"/>
      <c r="C133" s="416"/>
      <c r="D133" s="416"/>
      <c r="E133" s="416"/>
    </row>
    <row r="134" spans="1:5">
      <c r="A134" s="416"/>
      <c r="B134" s="416"/>
      <c r="C134" s="416"/>
      <c r="D134" s="416"/>
      <c r="E134" s="416"/>
    </row>
    <row r="135" spans="1:5">
      <c r="A135" s="416"/>
      <c r="B135" s="416"/>
      <c r="C135" s="416"/>
      <c r="D135" s="416"/>
      <c r="E135" s="416"/>
    </row>
    <row r="136" spans="1:5">
      <c r="A136" s="416"/>
      <c r="B136" s="416"/>
      <c r="C136" s="416"/>
      <c r="D136" s="416"/>
      <c r="E136" s="416"/>
    </row>
    <row r="137" spans="1:5">
      <c r="A137" s="416"/>
      <c r="B137" s="416"/>
      <c r="C137" s="416"/>
      <c r="D137" s="416"/>
      <c r="E137" s="416"/>
    </row>
    <row r="138" spans="1:5">
      <c r="A138" s="416"/>
      <c r="B138" s="416"/>
      <c r="C138" s="416"/>
      <c r="D138" s="416"/>
      <c r="E138" s="416"/>
    </row>
    <row r="139" spans="1:5">
      <c r="A139" s="416"/>
      <c r="B139" s="416"/>
      <c r="C139" s="416"/>
      <c r="D139" s="416"/>
      <c r="E139" s="416"/>
    </row>
    <row r="140" spans="1:5">
      <c r="A140" s="416"/>
      <c r="B140" s="416"/>
      <c r="C140" s="416"/>
      <c r="D140" s="416"/>
      <c r="E140" s="416"/>
    </row>
    <row r="141" spans="1:5">
      <c r="A141" s="416"/>
      <c r="B141" s="416"/>
      <c r="C141" s="416"/>
      <c r="D141" s="416"/>
      <c r="E141" s="416"/>
    </row>
    <row r="142" spans="1:5">
      <c r="A142" s="416"/>
      <c r="B142" s="416"/>
      <c r="C142" s="416"/>
      <c r="D142" s="416"/>
      <c r="E142" s="416"/>
    </row>
    <row r="143" spans="1:5">
      <c r="A143" s="416"/>
      <c r="B143" s="416"/>
      <c r="C143" s="416"/>
      <c r="D143" s="416"/>
      <c r="E143" s="416"/>
    </row>
    <row r="144" spans="1:5">
      <c r="A144" s="416"/>
      <c r="B144" s="416"/>
      <c r="C144" s="416"/>
      <c r="D144" s="416"/>
      <c r="E144" s="416"/>
    </row>
    <row r="145" spans="1:5">
      <c r="A145" s="416"/>
      <c r="B145" s="416"/>
      <c r="C145" s="416"/>
      <c r="D145" s="416"/>
      <c r="E145" s="416"/>
    </row>
    <row r="146" spans="1:5">
      <c r="A146" s="416"/>
      <c r="B146" s="416"/>
      <c r="C146" s="416"/>
      <c r="D146" s="416"/>
      <c r="E146" s="416"/>
    </row>
    <row r="147" spans="1:5">
      <c r="A147" s="416"/>
      <c r="B147" s="416"/>
      <c r="C147" s="416"/>
      <c r="D147" s="416"/>
      <c r="E147" s="416"/>
    </row>
    <row r="148" spans="1:5">
      <c r="A148" s="416"/>
      <c r="B148" s="416"/>
      <c r="C148" s="416"/>
      <c r="D148" s="416"/>
      <c r="E148" s="416"/>
    </row>
    <row r="149" spans="1:5">
      <c r="A149" s="416"/>
      <c r="B149" s="416"/>
      <c r="C149" s="416"/>
      <c r="D149" s="416"/>
      <c r="E149" s="416"/>
    </row>
    <row r="150" spans="1:5">
      <c r="A150" s="416"/>
      <c r="B150" s="416"/>
      <c r="C150" s="416"/>
      <c r="D150" s="416"/>
      <c r="E150" s="416"/>
    </row>
    <row r="151" spans="1:5">
      <c r="A151" s="416"/>
      <c r="B151" s="416"/>
      <c r="C151" s="416"/>
      <c r="D151" s="416"/>
      <c r="E151" s="416"/>
    </row>
    <row r="152" spans="1:5">
      <c r="A152" s="416"/>
      <c r="B152" s="416"/>
      <c r="C152" s="416"/>
      <c r="D152" s="416"/>
      <c r="E152" s="416"/>
    </row>
    <row r="153" spans="1:5">
      <c r="A153" s="416"/>
      <c r="B153" s="416"/>
      <c r="C153" s="416"/>
      <c r="D153" s="416"/>
      <c r="E153" s="416"/>
    </row>
    <row r="154" spans="1:5">
      <c r="A154" s="416"/>
      <c r="B154" s="416"/>
      <c r="C154" s="416"/>
      <c r="D154" s="416"/>
      <c r="E154" s="416"/>
    </row>
    <row r="155" spans="1:5">
      <c r="A155" s="416"/>
      <c r="B155" s="416"/>
      <c r="C155" s="416"/>
      <c r="D155" s="416"/>
      <c r="E155" s="416"/>
    </row>
    <row r="156" spans="1:5">
      <c r="A156" s="416"/>
      <c r="B156" s="416"/>
      <c r="C156" s="416"/>
      <c r="D156" s="416"/>
      <c r="E156" s="416"/>
    </row>
    <row r="157" spans="1:5">
      <c r="A157" s="416"/>
      <c r="B157" s="416"/>
      <c r="C157" s="416"/>
      <c r="D157" s="416"/>
      <c r="E157" s="416"/>
    </row>
    <row r="158" spans="1:5">
      <c r="A158" s="416"/>
      <c r="B158" s="416"/>
      <c r="C158" s="416"/>
      <c r="D158" s="416"/>
      <c r="E158" s="416"/>
    </row>
    <row r="159" spans="1:5">
      <c r="A159" s="416"/>
      <c r="B159" s="416"/>
      <c r="C159" s="416"/>
      <c r="D159" s="416"/>
      <c r="E159" s="416"/>
    </row>
    <row r="160" spans="1:5">
      <c r="A160" s="416"/>
      <c r="B160" s="416"/>
      <c r="C160" s="416"/>
      <c r="D160" s="416"/>
      <c r="E160" s="416"/>
    </row>
    <row r="161" spans="1:5">
      <c r="A161" s="416"/>
      <c r="B161" s="416"/>
      <c r="C161" s="416"/>
      <c r="D161" s="416"/>
      <c r="E161" s="416"/>
    </row>
    <row r="162" spans="1:5">
      <c r="A162" s="416"/>
      <c r="B162" s="416"/>
      <c r="C162" s="416"/>
      <c r="D162" s="416"/>
      <c r="E162" s="416"/>
    </row>
    <row r="163" spans="1:5">
      <c r="A163" s="416"/>
      <c r="B163" s="416"/>
      <c r="C163" s="416"/>
      <c r="D163" s="416"/>
      <c r="E163" s="416"/>
    </row>
    <row r="164" spans="1:5">
      <c r="A164" s="416"/>
      <c r="B164" s="416"/>
      <c r="C164" s="416"/>
      <c r="D164" s="416"/>
      <c r="E164" s="416"/>
    </row>
    <row r="165" spans="1:5">
      <c r="A165" s="416"/>
      <c r="B165" s="416"/>
      <c r="C165" s="416"/>
      <c r="D165" s="416"/>
      <c r="E165" s="416"/>
    </row>
    <row r="166" spans="1:5">
      <c r="A166" s="416"/>
      <c r="B166" s="416"/>
      <c r="C166" s="416"/>
      <c r="D166" s="416"/>
      <c r="E166" s="416"/>
    </row>
    <row r="167" spans="1:5">
      <c r="A167" s="416"/>
      <c r="B167" s="416"/>
      <c r="C167" s="416"/>
      <c r="D167" s="416"/>
      <c r="E167" s="416"/>
    </row>
    <row r="168" spans="1:5">
      <c r="A168" s="416"/>
      <c r="B168" s="416"/>
      <c r="C168" s="416"/>
      <c r="D168" s="416"/>
      <c r="E168" s="416"/>
    </row>
    <row r="169" spans="1:5">
      <c r="A169" s="416"/>
      <c r="B169" s="416"/>
      <c r="C169" s="416"/>
      <c r="D169" s="416"/>
      <c r="E169" s="416"/>
    </row>
  </sheetData>
  <mergeCells count="1">
    <mergeCell ref="A2:A3"/>
  </mergeCells>
  <phoneticPr fontId="84"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453125" defaultRowHeight="12.5"/>
  <cols>
    <col min="1" max="1" width="27.1796875" bestFit="1" customWidth="1"/>
  </cols>
  <sheetData>
    <row r="1" spans="1:1">
      <c r="A1" t="s">
        <v>157</v>
      </c>
    </row>
    <row r="2" spans="1:1">
      <c r="A2" t="s">
        <v>158</v>
      </c>
    </row>
    <row r="3" spans="1:1">
      <c r="A3" t="s">
        <v>159</v>
      </c>
    </row>
    <row r="4" spans="1:1">
      <c r="A4" t="s">
        <v>160</v>
      </c>
    </row>
    <row r="5" spans="1:1">
      <c r="A5" t="s">
        <v>161</v>
      </c>
    </row>
    <row r="6" spans="1:1">
      <c r="A6" s="11" t="s">
        <v>162</v>
      </c>
    </row>
  </sheetData>
  <phoneticPr fontId="8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33"/>
  <sheetViews>
    <sheetView showGridLines="0" topLeftCell="A9" zoomScale="115" zoomScaleNormal="115" workbookViewId="0">
      <selection activeCell="H14" sqref="H14"/>
    </sheetView>
  </sheetViews>
  <sheetFormatPr defaultColWidth="11.453125" defaultRowHeight="12.5"/>
  <cols>
    <col min="1" max="1" width="1.1796875" style="11" customWidth="1"/>
    <col min="2" max="2" width="59.453125" style="11" customWidth="1"/>
    <col min="3" max="3" width="8.26953125" style="11" bestFit="1" customWidth="1"/>
    <col min="4" max="4" width="10.7265625" style="11" bestFit="1" customWidth="1"/>
    <col min="5" max="5" width="11.7265625" style="11" bestFit="1" customWidth="1"/>
    <col min="6" max="6" width="10.453125" style="11" bestFit="1" customWidth="1"/>
    <col min="7" max="7" width="9.7265625" style="11" bestFit="1" customWidth="1"/>
    <col min="8" max="8" width="121.453125" style="11" customWidth="1"/>
    <col min="9" max="9" width="2.7265625" style="11" customWidth="1"/>
    <col min="10" max="10" width="7.1796875" style="11" customWidth="1"/>
    <col min="11" max="11" width="3.7265625" style="11" customWidth="1"/>
    <col min="12" max="12" width="13.26953125" style="11" bestFit="1" customWidth="1"/>
    <col min="13" max="13" width="18.7265625" style="11" customWidth="1"/>
    <col min="14" max="16384" width="11.453125" style="11"/>
  </cols>
  <sheetData>
    <row r="1" spans="2:13" ht="6" customHeight="1" thickBot="1"/>
    <row r="2" spans="2:13" ht="20">
      <c r="B2" s="679" t="s">
        <v>109</v>
      </c>
      <c r="C2" s="680"/>
      <c r="D2" s="680"/>
      <c r="E2" s="680"/>
      <c r="F2" s="680"/>
      <c r="G2" s="680"/>
      <c r="H2" s="681"/>
      <c r="J2" s="676" t="s">
        <v>103</v>
      </c>
      <c r="K2" s="677"/>
      <c r="L2" s="677"/>
      <c r="M2" s="678"/>
    </row>
    <row r="3" spans="2:13" ht="13.5" thickBot="1">
      <c r="B3" s="25"/>
      <c r="C3" s="23" t="s">
        <v>70</v>
      </c>
      <c r="D3" s="23" t="s">
        <v>71</v>
      </c>
      <c r="E3" s="539" t="s">
        <v>110</v>
      </c>
      <c r="F3" s="23" t="s">
        <v>72</v>
      </c>
      <c r="G3" s="23" t="s">
        <v>73</v>
      </c>
      <c r="H3" s="523" t="s">
        <v>99</v>
      </c>
      <c r="J3" s="682" t="s">
        <v>102</v>
      </c>
      <c r="K3" s="683"/>
      <c r="L3" s="24" t="s">
        <v>101</v>
      </c>
      <c r="M3" s="28" t="s">
        <v>100</v>
      </c>
    </row>
    <row r="4" spans="2:13" ht="14">
      <c r="B4" s="26" t="s">
        <v>74</v>
      </c>
      <c r="C4" s="155">
        <v>0</v>
      </c>
      <c r="D4" s="535" t="s">
        <v>455</v>
      </c>
      <c r="E4" s="540" t="s">
        <v>456</v>
      </c>
      <c r="F4" s="537" t="s">
        <v>462</v>
      </c>
      <c r="G4" s="515"/>
      <c r="H4" s="532" t="s">
        <v>467</v>
      </c>
      <c r="J4" s="49" t="s">
        <v>424</v>
      </c>
      <c r="K4" s="50">
        <v>0</v>
      </c>
      <c r="L4" s="51" t="s">
        <v>77</v>
      </c>
      <c r="M4" s="684" t="s">
        <v>431</v>
      </c>
    </row>
    <row r="5" spans="2:13">
      <c r="B5" s="45" t="s">
        <v>75</v>
      </c>
      <c r="C5" s="156">
        <v>0</v>
      </c>
      <c r="D5" s="536" t="s">
        <v>455</v>
      </c>
      <c r="E5" s="541" t="s">
        <v>456</v>
      </c>
      <c r="F5" s="537" t="s">
        <v>462</v>
      </c>
      <c r="G5" s="515"/>
      <c r="H5" s="533" t="s">
        <v>492</v>
      </c>
      <c r="J5" s="49" t="s">
        <v>425</v>
      </c>
      <c r="K5" s="50">
        <v>1</v>
      </c>
      <c r="L5" s="51" t="s">
        <v>428</v>
      </c>
      <c r="M5" s="684"/>
    </row>
    <row r="6" spans="2:13" s="58" customFormat="1">
      <c r="B6" s="57" t="s">
        <v>76</v>
      </c>
      <c r="C6" s="156">
        <v>0</v>
      </c>
      <c r="D6" s="536" t="s">
        <v>455</v>
      </c>
      <c r="E6" s="541" t="s">
        <v>456</v>
      </c>
      <c r="F6" s="537" t="s">
        <v>455</v>
      </c>
      <c r="G6" s="515"/>
      <c r="H6" s="533" t="s">
        <v>467</v>
      </c>
      <c r="J6" s="59" t="s">
        <v>426</v>
      </c>
      <c r="K6" s="60">
        <v>2</v>
      </c>
      <c r="L6" s="61" t="s">
        <v>429</v>
      </c>
      <c r="M6" s="684"/>
    </row>
    <row r="7" spans="2:13" ht="25.5" thickBot="1">
      <c r="B7" s="45" t="s">
        <v>78</v>
      </c>
      <c r="C7" s="156">
        <v>0</v>
      </c>
      <c r="D7" s="536" t="s">
        <v>455</v>
      </c>
      <c r="E7" s="541" t="s">
        <v>466</v>
      </c>
      <c r="F7" s="537" t="s">
        <v>462</v>
      </c>
      <c r="G7" s="516"/>
      <c r="H7" s="533" t="s">
        <v>491</v>
      </c>
      <c r="J7" s="52" t="s">
        <v>427</v>
      </c>
      <c r="K7" s="53">
        <v>3</v>
      </c>
      <c r="L7" s="54" t="s">
        <v>430</v>
      </c>
      <c r="M7" s="685"/>
    </row>
    <row r="8" spans="2:13" ht="13" thickBot="1">
      <c r="B8" s="45" t="s">
        <v>79</v>
      </c>
      <c r="C8" s="156">
        <v>0</v>
      </c>
      <c r="D8" s="536" t="s">
        <v>455</v>
      </c>
      <c r="E8" s="541" t="s">
        <v>456</v>
      </c>
      <c r="F8" s="537" t="s">
        <v>455</v>
      </c>
      <c r="G8" s="515"/>
      <c r="H8" s="533" t="s">
        <v>467</v>
      </c>
    </row>
    <row r="9" spans="2:13" ht="13">
      <c r="B9" s="46" t="s">
        <v>80</v>
      </c>
      <c r="C9" s="156">
        <v>0</v>
      </c>
      <c r="D9" s="536" t="s">
        <v>455</v>
      </c>
      <c r="E9" s="542" t="s">
        <v>456</v>
      </c>
      <c r="F9" s="538" t="s">
        <v>455</v>
      </c>
      <c r="G9" s="515"/>
      <c r="H9" s="534" t="s">
        <v>467</v>
      </c>
      <c r="J9" s="686" t="s">
        <v>432</v>
      </c>
      <c r="K9" s="687"/>
      <c r="L9" s="688"/>
    </row>
    <row r="10" spans="2:13" ht="14">
      <c r="B10" s="26" t="s">
        <v>81</v>
      </c>
      <c r="C10" s="158"/>
      <c r="D10" s="159"/>
      <c r="E10" s="439"/>
      <c r="F10" s="159"/>
      <c r="G10" s="517"/>
      <c r="H10" s="530"/>
      <c r="J10" s="667"/>
      <c r="K10" s="668"/>
      <c r="L10" s="669"/>
    </row>
    <row r="11" spans="2:13">
      <c r="B11" s="45" t="s">
        <v>82</v>
      </c>
      <c r="C11" s="156" t="s">
        <v>471</v>
      </c>
      <c r="D11" s="156" t="s">
        <v>462</v>
      </c>
      <c r="E11" s="439" t="s">
        <v>429</v>
      </c>
      <c r="F11" s="157" t="s">
        <v>455</v>
      </c>
      <c r="G11" s="516"/>
      <c r="H11" s="524" t="s">
        <v>470</v>
      </c>
      <c r="J11" s="670"/>
      <c r="K11" s="671"/>
      <c r="L11" s="672"/>
    </row>
    <row r="12" spans="2:13" ht="13" thickBot="1">
      <c r="B12" s="45" t="s">
        <v>83</v>
      </c>
      <c r="C12" s="441" t="s">
        <v>471</v>
      </c>
      <c r="D12" s="440"/>
      <c r="E12" s="439" t="s">
        <v>429</v>
      </c>
      <c r="F12" s="443" t="s">
        <v>455</v>
      </c>
      <c r="G12" s="516"/>
      <c r="H12" s="525" t="s">
        <v>472</v>
      </c>
      <c r="J12" s="673"/>
      <c r="K12" s="674"/>
      <c r="L12" s="675"/>
    </row>
    <row r="13" spans="2:13">
      <c r="B13" s="47" t="s">
        <v>84</v>
      </c>
      <c r="C13" s="156" t="s">
        <v>471</v>
      </c>
      <c r="D13" s="440"/>
      <c r="E13" s="442" t="s">
        <v>456</v>
      </c>
      <c r="F13" s="157" t="s">
        <v>455</v>
      </c>
      <c r="G13" s="515"/>
      <c r="H13" s="525"/>
    </row>
    <row r="14" spans="2:13">
      <c r="B14" s="47" t="s">
        <v>85</v>
      </c>
      <c r="C14" s="156" t="s">
        <v>471</v>
      </c>
      <c r="D14" s="440"/>
      <c r="E14" s="442" t="s">
        <v>456</v>
      </c>
      <c r="F14" s="157" t="s">
        <v>455</v>
      </c>
      <c r="G14" s="515"/>
      <c r="H14" s="525" t="s">
        <v>473</v>
      </c>
    </row>
    <row r="15" spans="2:13">
      <c r="B15" s="45" t="s">
        <v>86</v>
      </c>
      <c r="C15" s="441" t="s">
        <v>471</v>
      </c>
      <c r="D15" s="445"/>
      <c r="E15" s="442" t="s">
        <v>456</v>
      </c>
      <c r="F15" s="444" t="s">
        <v>455</v>
      </c>
      <c r="G15" s="515"/>
      <c r="H15" s="526" t="s">
        <v>474</v>
      </c>
      <c r="I15"/>
      <c r="J15"/>
    </row>
    <row r="16" spans="2:13">
      <c r="B16" s="45" t="s">
        <v>87</v>
      </c>
      <c r="C16" s="441" t="s">
        <v>471</v>
      </c>
      <c r="D16" s="445"/>
      <c r="E16" s="442" t="s">
        <v>456</v>
      </c>
      <c r="F16" s="161" t="s">
        <v>455</v>
      </c>
      <c r="G16" s="515"/>
      <c r="H16" s="525" t="s">
        <v>475</v>
      </c>
    </row>
    <row r="17" spans="2:10">
      <c r="B17" s="45" t="s">
        <v>88</v>
      </c>
      <c r="C17" s="162"/>
      <c r="D17" s="156" t="s">
        <v>462</v>
      </c>
      <c r="E17" s="442" t="s">
        <v>456</v>
      </c>
      <c r="F17" s="157" t="s">
        <v>455</v>
      </c>
      <c r="G17" s="515"/>
      <c r="H17" s="527" t="s">
        <v>476</v>
      </c>
    </row>
    <row r="18" spans="2:10">
      <c r="B18" s="45" t="s">
        <v>89</v>
      </c>
      <c r="C18" s="440"/>
      <c r="D18" s="440"/>
      <c r="E18" s="440"/>
      <c r="F18" s="440"/>
      <c r="G18" s="518"/>
      <c r="H18" s="528"/>
    </row>
    <row r="19" spans="2:10">
      <c r="B19" s="45" t="s">
        <v>90</v>
      </c>
      <c r="C19" s="156" t="s">
        <v>471</v>
      </c>
      <c r="D19" s="536" t="s">
        <v>455</v>
      </c>
      <c r="E19" s="540" t="s">
        <v>454</v>
      </c>
      <c r="F19" s="544" t="s">
        <v>455</v>
      </c>
      <c r="G19" s="519"/>
      <c r="H19" s="525" t="s">
        <v>477</v>
      </c>
    </row>
    <row r="20" spans="2:10">
      <c r="B20" s="45" t="s">
        <v>91</v>
      </c>
      <c r="C20" s="156">
        <v>0</v>
      </c>
      <c r="D20" s="536"/>
      <c r="E20" s="541" t="s">
        <v>456</v>
      </c>
      <c r="F20" s="544" t="s">
        <v>455</v>
      </c>
      <c r="G20" s="515" t="s">
        <v>266</v>
      </c>
      <c r="H20" s="526" t="s">
        <v>468</v>
      </c>
      <c r="I20"/>
      <c r="J20"/>
    </row>
    <row r="21" spans="2:10">
      <c r="B21" s="46" t="s">
        <v>92</v>
      </c>
      <c r="C21" s="163">
        <v>0</v>
      </c>
      <c r="D21" s="543"/>
      <c r="E21" s="546" t="s">
        <v>456</v>
      </c>
      <c r="F21" s="545" t="s">
        <v>455</v>
      </c>
      <c r="G21" s="515"/>
      <c r="H21" s="529" t="s">
        <v>469</v>
      </c>
    </row>
    <row r="22" spans="2:10" ht="14">
      <c r="B22" s="27" t="s">
        <v>93</v>
      </c>
      <c r="C22" s="440"/>
      <c r="D22" s="440"/>
      <c r="E22" s="439"/>
      <c r="F22" s="164"/>
      <c r="G22" s="517"/>
      <c r="H22" s="530"/>
    </row>
    <row r="23" spans="2:10">
      <c r="B23" s="45" t="s">
        <v>94</v>
      </c>
      <c r="C23" s="162"/>
      <c r="D23" s="162"/>
      <c r="E23" s="439" t="s">
        <v>466</v>
      </c>
      <c r="F23" s="160" t="s">
        <v>462</v>
      </c>
      <c r="G23" s="516"/>
      <c r="H23" s="531" t="s">
        <v>463</v>
      </c>
    </row>
    <row r="24" spans="2:10">
      <c r="B24" s="45" t="s">
        <v>95</v>
      </c>
      <c r="C24" s="162"/>
      <c r="D24" s="162"/>
      <c r="E24" s="51" t="s">
        <v>77</v>
      </c>
      <c r="F24" s="160" t="s">
        <v>455</v>
      </c>
      <c r="G24" s="515"/>
      <c r="H24" s="525" t="s">
        <v>493</v>
      </c>
    </row>
    <row r="25" spans="2:10">
      <c r="B25" s="45" t="s">
        <v>184</v>
      </c>
      <c r="C25" s="162"/>
      <c r="D25" s="162"/>
      <c r="E25" s="51" t="s">
        <v>428</v>
      </c>
      <c r="F25" s="160" t="s">
        <v>455</v>
      </c>
      <c r="G25" s="515"/>
      <c r="H25" s="525" t="s">
        <v>464</v>
      </c>
    </row>
    <row r="26" spans="2:10">
      <c r="B26" s="45" t="s">
        <v>139</v>
      </c>
      <c r="C26" s="162"/>
      <c r="D26" s="162"/>
      <c r="E26" s="51" t="s">
        <v>77</v>
      </c>
      <c r="F26" s="160" t="s">
        <v>455</v>
      </c>
      <c r="G26" s="515"/>
      <c r="H26" s="525" t="s">
        <v>465</v>
      </c>
    </row>
    <row r="27" spans="2:10">
      <c r="B27" s="45" t="s">
        <v>96</v>
      </c>
      <c r="C27" s="162"/>
      <c r="D27" s="162"/>
      <c r="E27" s="51" t="s">
        <v>77</v>
      </c>
      <c r="F27" s="160" t="s">
        <v>455</v>
      </c>
      <c r="G27" s="515"/>
      <c r="H27" s="526" t="s">
        <v>457</v>
      </c>
      <c r="I27"/>
    </row>
    <row r="28" spans="2:10">
      <c r="B28" s="45" t="s">
        <v>142</v>
      </c>
      <c r="C28" s="162"/>
      <c r="D28" s="162"/>
      <c r="E28" s="51" t="s">
        <v>428</v>
      </c>
      <c r="F28" s="160" t="s">
        <v>455</v>
      </c>
      <c r="G28" s="520"/>
      <c r="H28" s="525" t="s">
        <v>458</v>
      </c>
    </row>
    <row r="29" spans="2:10">
      <c r="B29" s="45" t="s">
        <v>185</v>
      </c>
      <c r="C29" s="162"/>
      <c r="D29" s="162"/>
      <c r="E29" s="51" t="s">
        <v>428</v>
      </c>
      <c r="F29" s="160" t="s">
        <v>455</v>
      </c>
      <c r="G29" s="515"/>
      <c r="H29" s="524" t="s">
        <v>459</v>
      </c>
    </row>
    <row r="30" spans="2:10">
      <c r="B30" s="45" t="s">
        <v>138</v>
      </c>
      <c r="C30" s="162"/>
      <c r="D30" s="162"/>
      <c r="E30" s="51" t="s">
        <v>77</v>
      </c>
      <c r="F30" s="160" t="s">
        <v>455</v>
      </c>
      <c r="G30" s="515"/>
      <c r="H30" s="524" t="s">
        <v>460</v>
      </c>
    </row>
    <row r="31" spans="2:10">
      <c r="B31" s="45" t="s">
        <v>97</v>
      </c>
      <c r="C31" s="162"/>
      <c r="D31" s="160" t="s">
        <v>455</v>
      </c>
      <c r="E31" s="160"/>
      <c r="F31" s="160"/>
      <c r="G31" s="521"/>
      <c r="H31" s="525" t="s">
        <v>461</v>
      </c>
    </row>
    <row r="32" spans="2:10" ht="38" thickBot="1">
      <c r="B32" s="48" t="s">
        <v>98</v>
      </c>
      <c r="C32" s="165"/>
      <c r="D32" s="166" t="s">
        <v>455</v>
      </c>
      <c r="E32" s="167"/>
      <c r="F32" s="167"/>
      <c r="G32" s="522"/>
      <c r="H32" s="597" t="s">
        <v>511</v>
      </c>
    </row>
    <row r="33" spans="2:8" ht="15.75" customHeight="1">
      <c r="B33" s="62"/>
      <c r="H33" s="97"/>
    </row>
  </sheetData>
  <mergeCells count="8">
    <mergeCell ref="J10:L10"/>
    <mergeCell ref="J11:L11"/>
    <mergeCell ref="J12:L12"/>
    <mergeCell ref="J2:M2"/>
    <mergeCell ref="B2:H2"/>
    <mergeCell ref="J3:K3"/>
    <mergeCell ref="M4:M7"/>
    <mergeCell ref="J9:L9"/>
  </mergeCells>
  <phoneticPr fontId="84" type="noConversion"/>
  <conditionalFormatting sqref="H4:H9">
    <cfRule type="expression" dxfId="0" priority="1">
      <formula>$C$9="Low"</formula>
    </cfRule>
  </conditionalFormatting>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435" topLeftCell="Y1"/>
      <selection activeCell="AC36" sqref="AC36"/>
      <selection pane="topRight" activeCell="AB41" sqref="AB41"/>
    </sheetView>
  </sheetViews>
  <sheetFormatPr defaultColWidth="11.453125" defaultRowHeight="12.5"/>
  <cols>
    <col min="1" max="1" width="24.453125" bestFit="1" customWidth="1"/>
    <col min="2" max="2" width="11.26953125" customWidth="1"/>
    <col min="3" max="3" width="20" bestFit="1" customWidth="1"/>
    <col min="4" max="9" width="11.1796875" style="4" customWidth="1"/>
    <col min="10" max="11" width="8.7265625" style="4" bestFit="1" customWidth="1"/>
    <col min="12" max="12" width="9.453125" style="4" bestFit="1" customWidth="1"/>
    <col min="13" max="13" width="9.1796875" style="4" bestFit="1" customWidth="1"/>
    <col min="14" max="16" width="9.26953125" style="4" bestFit="1" customWidth="1"/>
    <col min="17" max="20" width="9.453125" style="4" bestFit="1" customWidth="1"/>
    <col min="21" max="21" width="10" style="4" bestFit="1" customWidth="1"/>
    <col min="22" max="22" width="9.7265625" style="4" bestFit="1" customWidth="1"/>
    <col min="23" max="23" width="10" style="4" bestFit="1" customWidth="1"/>
    <col min="24" max="25" width="9.7265625" style="4" bestFit="1" customWidth="1"/>
    <col min="26" max="26" width="10.1796875" style="4" bestFit="1" customWidth="1"/>
    <col min="27" max="28" width="10" style="4" bestFit="1" customWidth="1"/>
    <col min="29" max="29" width="10.453125" style="4" bestFit="1" customWidth="1"/>
  </cols>
  <sheetData>
    <row r="1" spans="1:30" ht="20">
      <c r="A1" s="690" t="s">
        <v>112</v>
      </c>
      <c r="B1" s="690"/>
      <c r="C1" s="690"/>
      <c r="D1" s="690"/>
      <c r="E1" s="690"/>
      <c r="F1" s="690"/>
      <c r="G1" s="690"/>
      <c r="H1" s="690"/>
      <c r="I1" s="690"/>
      <c r="J1" s="690"/>
      <c r="K1" s="690"/>
      <c r="L1" s="690"/>
    </row>
    <row r="2" spans="1:30" ht="13">
      <c r="A2" s="68"/>
      <c r="B2" s="68"/>
      <c r="C2" s="68"/>
      <c r="D2" s="68"/>
      <c r="E2" s="68"/>
      <c r="F2" s="68"/>
      <c r="G2" s="68"/>
      <c r="H2" s="68"/>
      <c r="I2" s="68"/>
      <c r="J2" s="68"/>
      <c r="K2" s="68"/>
      <c r="L2" s="68"/>
    </row>
    <row r="3" spans="1:30" ht="13">
      <c r="A3" s="68" t="s">
        <v>9</v>
      </c>
      <c r="B3" s="68"/>
      <c r="C3" s="68"/>
      <c r="D3" s="68"/>
      <c r="E3" s="68" t="s">
        <v>1</v>
      </c>
      <c r="F3" s="68"/>
      <c r="G3" s="68"/>
      <c r="H3" s="68"/>
      <c r="I3" s="68"/>
      <c r="J3" s="68"/>
      <c r="K3" s="68"/>
      <c r="L3" s="68"/>
    </row>
    <row r="4" spans="1:30" ht="13">
      <c r="A4" s="68"/>
      <c r="B4" s="68"/>
      <c r="C4" s="68"/>
      <c r="D4" s="68"/>
      <c r="E4" s="68"/>
      <c r="F4" s="68"/>
      <c r="G4" s="68"/>
      <c r="H4" s="68"/>
      <c r="I4" s="68"/>
      <c r="J4" s="68"/>
      <c r="K4" s="68"/>
      <c r="L4" s="68"/>
    </row>
    <row r="5" spans="1:30" ht="13">
      <c r="A5" s="68"/>
      <c r="B5" s="68"/>
      <c r="C5" s="68"/>
      <c r="D5" s="68"/>
      <c r="E5" s="68"/>
      <c r="F5" s="68"/>
      <c r="G5" s="68"/>
      <c r="H5" s="68"/>
      <c r="I5" s="68"/>
      <c r="J5" s="68"/>
      <c r="K5" s="68"/>
      <c r="L5" s="68"/>
    </row>
    <row r="6" spans="1:30" ht="13">
      <c r="A6" s="68"/>
      <c r="B6" s="68"/>
      <c r="C6" s="68"/>
      <c r="D6" s="68"/>
      <c r="E6" s="68"/>
      <c r="F6" s="68"/>
      <c r="G6" s="68"/>
      <c r="H6" s="68"/>
      <c r="I6" s="68"/>
      <c r="J6" s="68"/>
      <c r="K6" s="68"/>
      <c r="L6" s="68"/>
    </row>
    <row r="7" spans="1:30" ht="13">
      <c r="A7" s="68"/>
      <c r="B7" s="68"/>
      <c r="C7" s="68"/>
      <c r="D7" s="68"/>
      <c r="E7" s="68"/>
      <c r="F7" s="68"/>
      <c r="G7" s="68"/>
      <c r="H7" s="68"/>
      <c r="I7" s="68"/>
      <c r="J7" s="68"/>
      <c r="K7" s="68"/>
      <c r="L7" s="68"/>
    </row>
    <row r="8" spans="1:30" ht="13">
      <c r="A8" s="68"/>
      <c r="B8" s="68"/>
      <c r="C8" s="68"/>
      <c r="D8" s="68"/>
      <c r="E8" s="68"/>
      <c r="F8" s="68"/>
      <c r="G8" s="68"/>
      <c r="H8" s="68"/>
      <c r="I8" s="68"/>
      <c r="J8" s="68"/>
      <c r="K8" s="68"/>
      <c r="L8" s="68"/>
    </row>
    <row r="9" spans="1:30" ht="13">
      <c r="A9" s="68"/>
      <c r="B9" s="68"/>
      <c r="C9" s="68"/>
      <c r="D9" s="68"/>
      <c r="E9" s="68"/>
      <c r="F9" s="68"/>
      <c r="G9" s="68"/>
      <c r="H9" s="68"/>
      <c r="I9" s="68"/>
      <c r="J9" s="68"/>
      <c r="K9" s="68"/>
      <c r="L9" s="68"/>
    </row>
    <row r="10" spans="1:30" ht="13">
      <c r="A10" s="68"/>
      <c r="B10" s="68"/>
      <c r="C10" s="68"/>
      <c r="D10" s="68"/>
      <c r="E10" s="68"/>
      <c r="F10" s="68"/>
      <c r="G10" s="68"/>
      <c r="H10" s="68"/>
      <c r="I10" s="68"/>
      <c r="J10" s="68"/>
      <c r="K10" s="68"/>
      <c r="L10" s="68"/>
    </row>
    <row r="11" spans="1:30" ht="13">
      <c r="A11" s="68"/>
      <c r="B11" s="68"/>
      <c r="C11" s="68"/>
      <c r="D11" s="68"/>
      <c r="E11" s="68"/>
      <c r="F11" s="68"/>
      <c r="G11" s="68"/>
      <c r="H11" s="68"/>
      <c r="I11" s="68"/>
      <c r="J11" s="68"/>
      <c r="K11" s="68"/>
      <c r="L11" s="68"/>
    </row>
    <row r="12" spans="1:30" ht="13">
      <c r="A12" s="68"/>
      <c r="B12" s="68"/>
      <c r="C12" s="68"/>
      <c r="D12" s="68"/>
      <c r="E12" s="68"/>
      <c r="F12" s="68"/>
      <c r="G12" s="68"/>
      <c r="H12" s="68"/>
      <c r="I12" s="68"/>
      <c r="J12" s="68"/>
      <c r="K12" s="68"/>
      <c r="L12" s="68"/>
      <c r="Z12" s="1"/>
    </row>
    <row r="13" spans="1:30" ht="13">
      <c r="A13" s="68"/>
      <c r="B13" s="68"/>
      <c r="C13" s="68"/>
      <c r="D13" s="68"/>
      <c r="E13" s="68"/>
      <c r="F13" s="68"/>
      <c r="G13" s="68"/>
      <c r="H13" s="68"/>
      <c r="I13" s="68"/>
      <c r="J13" s="68"/>
      <c r="K13" s="68"/>
      <c r="L13" s="68"/>
    </row>
    <row r="14" spans="1:30" ht="13">
      <c r="A14" s="68"/>
      <c r="B14" s="68"/>
      <c r="C14" s="68"/>
      <c r="D14" s="68"/>
      <c r="E14" s="68"/>
      <c r="F14" s="68"/>
      <c r="G14" s="68"/>
      <c r="H14" s="68"/>
      <c r="I14" s="68"/>
      <c r="J14" s="68"/>
      <c r="K14" s="68"/>
      <c r="L14" s="68"/>
    </row>
    <row r="15" spans="1:30" ht="13">
      <c r="A15" s="68"/>
      <c r="B15" s="68"/>
      <c r="C15" s="68"/>
      <c r="D15" s="68"/>
      <c r="E15" s="68"/>
      <c r="F15" s="68"/>
      <c r="G15" s="68"/>
      <c r="H15" s="68"/>
      <c r="I15" s="68"/>
      <c r="J15" s="68"/>
      <c r="K15" s="68"/>
      <c r="L15" s="68"/>
      <c r="AD15" s="102"/>
    </row>
    <row r="16" spans="1:30" ht="13">
      <c r="A16" s="68" t="s">
        <v>19</v>
      </c>
      <c r="B16" s="68"/>
      <c r="C16" s="68"/>
      <c r="D16" s="68"/>
      <c r="E16" s="68" t="s">
        <v>41</v>
      </c>
      <c r="F16" s="68"/>
      <c r="G16" s="68"/>
      <c r="H16" s="68"/>
      <c r="I16" s="68"/>
      <c r="J16" s="68"/>
      <c r="K16" s="68"/>
      <c r="L16" s="68"/>
      <c r="AD16" s="102"/>
    </row>
    <row r="17" spans="4:30">
      <c r="AD17" s="102"/>
    </row>
    <row r="18" spans="4:30">
      <c r="AD18" s="102"/>
    </row>
    <row r="19" spans="4:30">
      <c r="AD19" s="102"/>
    </row>
    <row r="20" spans="4:30">
      <c r="AD20" s="102"/>
    </row>
    <row r="21" spans="4:30">
      <c r="AD21" s="102"/>
    </row>
    <row r="22" spans="4:30">
      <c r="AD22" s="102"/>
    </row>
    <row r="23" spans="4:30">
      <c r="AD23" s="102"/>
    </row>
    <row r="24" spans="4:30">
      <c r="AD24" s="102"/>
    </row>
    <row r="25" spans="4:30">
      <c r="AD25" s="102"/>
    </row>
    <row r="26" spans="4:30">
      <c r="K26" s="173"/>
      <c r="AD26" s="102"/>
    </row>
    <row r="27" spans="4:30">
      <c r="K27" s="173"/>
      <c r="AD27" s="102"/>
    </row>
    <row r="31" spans="4:30">
      <c r="D31" s="236">
        <v>1E-3</v>
      </c>
      <c r="E31" s="237">
        <f>1/((1+$B$59+$D31)^(E35-2021))</f>
        <v>0.92250922509225108</v>
      </c>
      <c r="F31" s="237">
        <f t="shared" ref="F31:AC31" si="0">1/((1+$B$59+$D31)^(F35-2021))</f>
        <v>0.85102327038030556</v>
      </c>
      <c r="G31" s="237">
        <f t="shared" si="0"/>
        <v>0.78507681769400894</v>
      </c>
      <c r="H31" s="237">
        <f t="shared" si="0"/>
        <v>0.72424060672879054</v>
      </c>
      <c r="I31" s="237">
        <f t="shared" si="0"/>
        <v>0.66811864089371831</v>
      </c>
      <c r="J31" s="237">
        <f t="shared" si="0"/>
        <v>0.61634560968055208</v>
      </c>
      <c r="K31" s="237">
        <f t="shared" si="0"/>
        <v>0.56858451077541716</v>
      </c>
      <c r="L31" s="237">
        <f t="shared" si="0"/>
        <v>0.52452445643488677</v>
      </c>
      <c r="M31" s="237">
        <f t="shared" si="0"/>
        <v>0.48387864984768159</v>
      </c>
      <c r="N31" s="237">
        <f t="shared" si="0"/>
        <v>0.44638251830966935</v>
      </c>
      <c r="O31" s="237">
        <f t="shared" si="0"/>
        <v>0.41179199106058068</v>
      </c>
      <c r="P31" s="237">
        <f t="shared" si="0"/>
        <v>0.37988191057249149</v>
      </c>
      <c r="Q31" s="237">
        <f t="shared" si="0"/>
        <v>0.35044456694879283</v>
      </c>
      <c r="R31" s="237">
        <f t="shared" si="0"/>
        <v>0.32328834589372041</v>
      </c>
      <c r="S31" s="237">
        <f t="shared" si="0"/>
        <v>0.29823648145177167</v>
      </c>
      <c r="T31" s="237">
        <f t="shared" si="0"/>
        <v>0.27512590539831339</v>
      </c>
      <c r="U31" s="237">
        <f t="shared" si="0"/>
        <v>0.25380618579180203</v>
      </c>
      <c r="V31" s="237">
        <f t="shared" si="0"/>
        <v>0.2341385477784152</v>
      </c>
      <c r="W31" s="237">
        <f t="shared" si="0"/>
        <v>0.21599497027529083</v>
      </c>
      <c r="X31" s="237">
        <f t="shared" si="0"/>
        <v>0.19925735265248232</v>
      </c>
      <c r="Y31" s="237">
        <f t="shared" si="0"/>
        <v>0.18381674598937486</v>
      </c>
      <c r="Z31" s="237">
        <f t="shared" si="0"/>
        <v>0.16957264390163737</v>
      </c>
      <c r="AA31" s="237">
        <f t="shared" si="0"/>
        <v>0.1564323283225437</v>
      </c>
      <c r="AB31" s="237">
        <f t="shared" si="0"/>
        <v>0.14431026598020638</v>
      </c>
      <c r="AC31" s="237">
        <f t="shared" si="0"/>
        <v>0.13312755164225684</v>
      </c>
    </row>
    <row r="32" spans="4:30">
      <c r="D32" s="238">
        <v>5.0000000000000001E-3</v>
      </c>
      <c r="E32" s="237">
        <f>1/((1+$B$59+$D32)^(E35-2021))</f>
        <v>0.91911764705882371</v>
      </c>
      <c r="F32" s="237">
        <f t="shared" ref="F32:AC32" si="1">1/((1+$B$59+$D32)^(F35-2021))</f>
        <v>0.84477724913494834</v>
      </c>
      <c r="G32" s="237">
        <f t="shared" si="1"/>
        <v>0.77644967751373939</v>
      </c>
      <c r="H32" s="237">
        <f t="shared" si="1"/>
        <v>0.71364860065601055</v>
      </c>
      <c r="I32" s="237">
        <f t="shared" si="1"/>
        <v>0.65592702266177449</v>
      </c>
      <c r="J32" s="237">
        <f t="shared" si="1"/>
        <v>0.60287410171118994</v>
      </c>
      <c r="K32" s="237">
        <f t="shared" si="1"/>
        <v>0.55411222583749076</v>
      </c>
      <c r="L32" s="237">
        <f t="shared" si="1"/>
        <v>0.509294325218282</v>
      </c>
      <c r="M32" s="237">
        <f t="shared" si="1"/>
        <v>0.46810140185503862</v>
      </c>
      <c r="N32" s="237">
        <f t="shared" si="1"/>
        <v>0.43024025905793994</v>
      </c>
      <c r="O32" s="237">
        <f t="shared" si="1"/>
        <v>0.39544141457531257</v>
      </c>
      <c r="P32" s="237">
        <f t="shared" si="1"/>
        <v>0.36345718251407405</v>
      </c>
      <c r="Q32" s="237">
        <f t="shared" si="1"/>
        <v>0.33405991039896515</v>
      </c>
      <c r="R32" s="237">
        <f t="shared" si="1"/>
        <v>0.30704035882257835</v>
      </c>
      <c r="S32" s="237">
        <f t="shared" si="1"/>
        <v>0.28220621215310515</v>
      </c>
      <c r="T32" s="237">
        <f t="shared" si="1"/>
        <v>0.25938070969954519</v>
      </c>
      <c r="U32" s="237">
        <f t="shared" si="1"/>
        <v>0.23840138759149374</v>
      </c>
      <c r="V32" s="237">
        <f t="shared" si="1"/>
        <v>0.21911892241865238</v>
      </c>
      <c r="W32" s="237">
        <f t="shared" si="1"/>
        <v>0.2013960683994967</v>
      </c>
      <c r="X32" s="237">
        <f t="shared" si="1"/>
        <v>0.18510668051424331</v>
      </c>
      <c r="Y32" s="237">
        <f t="shared" si="1"/>
        <v>0.17013481664912072</v>
      </c>
      <c r="Z32" s="237">
        <f t="shared" si="1"/>
        <v>0.15637391236132422</v>
      </c>
      <c r="AA32" s="237">
        <f t="shared" si="1"/>
        <v>0.143726022390923</v>
      </c>
      <c r="AB32" s="237">
        <f t="shared" si="1"/>
        <v>0.13210112352106895</v>
      </c>
      <c r="AC32" s="237">
        <f t="shared" si="1"/>
        <v>0.1214164738245119</v>
      </c>
    </row>
    <row r="33" spans="1:30">
      <c r="D33" s="113" t="s">
        <v>267</v>
      </c>
      <c r="E33" s="237">
        <f>1/((1+$B$59)^(E35-2021))</f>
        <v>0.92336103416435833</v>
      </c>
      <c r="F33" s="237">
        <f t="shared" ref="F33:AC33" si="2">1/((1+$B$59)^(F35-2021))</f>
        <v>0.85259559941307328</v>
      </c>
      <c r="G33" s="237">
        <f t="shared" si="2"/>
        <v>0.78725355439803635</v>
      </c>
      <c r="H33" s="237">
        <f t="shared" si="2"/>
        <v>0.72691925613853769</v>
      </c>
      <c r="I33" s="237">
        <f t="shared" si="2"/>
        <v>0.67120891610206623</v>
      </c>
      <c r="J33" s="237">
        <f t="shared" si="2"/>
        <v>0.61976815891234194</v>
      </c>
      <c r="K33" s="237">
        <f t="shared" si="2"/>
        <v>0.57226976815544039</v>
      </c>
      <c r="L33" s="237">
        <f t="shared" si="2"/>
        <v>0.52841160494500505</v>
      </c>
      <c r="M33" s="237">
        <f t="shared" si="2"/>
        <v>0.48791468600646815</v>
      </c>
      <c r="N33" s="237">
        <f t="shared" si="2"/>
        <v>0.45052140905491062</v>
      </c>
      <c r="O33" s="237">
        <f t="shared" si="2"/>
        <v>0.4159939141781262</v>
      </c>
      <c r="P33" s="237">
        <f t="shared" si="2"/>
        <v>0.38411257080159389</v>
      </c>
      <c r="Q33" s="237">
        <f t="shared" si="2"/>
        <v>0.35467458061089008</v>
      </c>
      <c r="R33" s="237">
        <f t="shared" si="2"/>
        <v>0.32749268754468147</v>
      </c>
      <c r="S33" s="237">
        <f t="shared" si="2"/>
        <v>0.30239398665252215</v>
      </c>
      <c r="T33" s="237">
        <f t="shared" si="2"/>
        <v>0.27921882424055605</v>
      </c>
      <c r="U33" s="237">
        <f t="shared" si="2"/>
        <v>0.25781978230891606</v>
      </c>
      <c r="V33" s="237">
        <f t="shared" si="2"/>
        <v>0.23806074082079043</v>
      </c>
      <c r="W33" s="237">
        <f t="shared" si="2"/>
        <v>0.21981601183821831</v>
      </c>
      <c r="X33" s="237">
        <f t="shared" si="2"/>
        <v>0.2029695400168221</v>
      </c>
      <c r="Y33" s="237">
        <f t="shared" si="2"/>
        <v>0.18741416437379693</v>
      </c>
      <c r="Z33" s="237">
        <f t="shared" si="2"/>
        <v>0.1730509366332382</v>
      </c>
      <c r="AA33" s="237">
        <f t="shared" si="2"/>
        <v>0.15978849181277768</v>
      </c>
      <c r="AB33" s="237">
        <f t="shared" si="2"/>
        <v>0.14754246704780949</v>
      </c>
      <c r="AC33" s="237">
        <f t="shared" si="2"/>
        <v>0.13623496495642612</v>
      </c>
    </row>
    <row r="35" spans="1:30" ht="13">
      <c r="B35" s="38" t="s">
        <v>176</v>
      </c>
      <c r="C35" s="38" t="s">
        <v>200</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9" customFormat="1" ht="13">
      <c r="A36" s="35" t="s">
        <v>10</v>
      </c>
      <c r="B36" s="56">
        <f>OP!N34</f>
        <v>0.41687979539641939</v>
      </c>
      <c r="C36" s="56">
        <f>OP!N35</f>
        <v>1.1137184115523464</v>
      </c>
      <c r="D36" s="190">
        <v>0.35</v>
      </c>
      <c r="E36" s="190">
        <v>3.4000000000000002E-2</v>
      </c>
      <c r="F36" s="190">
        <v>9.5000000000000001E-2</v>
      </c>
      <c r="G36" s="190">
        <v>9.5000000000000001E-2</v>
      </c>
      <c r="H36" s="190">
        <v>9.5000000000000001E-2</v>
      </c>
      <c r="I36" s="190">
        <v>9.5000000000000001E-2</v>
      </c>
      <c r="J36" s="190">
        <v>9.5000000000000001E-2</v>
      </c>
      <c r="K36" s="56">
        <v>0.08</v>
      </c>
      <c r="L36" s="56">
        <v>0.06</v>
      </c>
      <c r="M36" s="56">
        <v>0.05</v>
      </c>
      <c r="N36" s="56">
        <v>0.04</v>
      </c>
      <c r="O36" s="56">
        <v>3.5000000000000003E-2</v>
      </c>
      <c r="P36" s="56">
        <v>3.5000000000000003E-2</v>
      </c>
      <c r="Q36" s="56">
        <v>3.5000000000000003E-2</v>
      </c>
      <c r="R36" s="56">
        <v>3.5000000000000003E-2</v>
      </c>
      <c r="S36" s="56">
        <v>3.5000000000000003E-2</v>
      </c>
      <c r="T36" s="56">
        <v>3.5000000000000003E-2</v>
      </c>
      <c r="U36" s="56">
        <v>3.5000000000000003E-2</v>
      </c>
      <c r="V36" s="56">
        <v>3.5000000000000003E-2</v>
      </c>
      <c r="W36" s="56">
        <v>3.5000000000000003E-2</v>
      </c>
      <c r="X36" s="56">
        <v>3.5000000000000003E-2</v>
      </c>
      <c r="Y36" s="56">
        <v>3.5000000000000003E-2</v>
      </c>
      <c r="Z36" s="56">
        <v>3.5000000000000003E-2</v>
      </c>
      <c r="AA36" s="56">
        <v>3.5000000000000003E-2</v>
      </c>
      <c r="AB36" s="56">
        <v>3.5000000000000003E-2</v>
      </c>
      <c r="AC36" s="56">
        <v>3.5000000000000003E-2</v>
      </c>
    </row>
    <row r="37" spans="1:30" s="7" customFormat="1">
      <c r="A37" s="14" t="s">
        <v>9</v>
      </c>
      <c r="B37" s="77">
        <f>OP!C34</f>
        <v>221.6</v>
      </c>
      <c r="C37" s="77">
        <f>OP!C35</f>
        <v>468.4</v>
      </c>
      <c r="D37" s="1">
        <f>OP!C34*(1+D36)</f>
        <v>299.16000000000003</v>
      </c>
      <c r="E37" s="1">
        <f t="shared" ref="E37:AC37" si="4">D37*(1+E36)</f>
        <v>309.33144000000004</v>
      </c>
      <c r="F37" s="1">
        <f t="shared" si="4"/>
        <v>338.71792680000004</v>
      </c>
      <c r="G37" s="1">
        <f t="shared" si="4"/>
        <v>370.89612984600006</v>
      </c>
      <c r="H37" s="1">
        <f t="shared" si="4"/>
        <v>406.13126218137006</v>
      </c>
      <c r="I37" s="1">
        <f t="shared" si="4"/>
        <v>444.71373208860018</v>
      </c>
      <c r="J37" s="1">
        <f t="shared" si="4"/>
        <v>486.96153663701716</v>
      </c>
      <c r="K37" s="1">
        <f t="shared" si="4"/>
        <v>525.91845956797852</v>
      </c>
      <c r="L37" s="1">
        <f t="shared" si="4"/>
        <v>557.47356714205728</v>
      </c>
      <c r="M37" s="1">
        <f t="shared" si="4"/>
        <v>585.34724549916018</v>
      </c>
      <c r="N37" s="1">
        <f t="shared" si="4"/>
        <v>608.76113531912665</v>
      </c>
      <c r="O37" s="1">
        <f t="shared" si="4"/>
        <v>630.06777505529601</v>
      </c>
      <c r="P37" s="1">
        <f t="shared" si="4"/>
        <v>652.12014718223134</v>
      </c>
      <c r="Q37" s="1">
        <f t="shared" si="4"/>
        <v>674.94435233360934</v>
      </c>
      <c r="R37" s="1">
        <f t="shared" si="4"/>
        <v>698.56740466528561</v>
      </c>
      <c r="S37" s="1">
        <f t="shared" si="4"/>
        <v>723.01726382857055</v>
      </c>
      <c r="T37" s="1">
        <f t="shared" si="4"/>
        <v>748.32286806257048</v>
      </c>
      <c r="U37" s="1">
        <f t="shared" si="4"/>
        <v>774.51416844476034</v>
      </c>
      <c r="V37" s="1">
        <f t="shared" si="4"/>
        <v>801.62216434032689</v>
      </c>
      <c r="W37" s="1">
        <f t="shared" si="4"/>
        <v>829.67894009223824</v>
      </c>
      <c r="X37" s="1">
        <f t="shared" si="4"/>
        <v>858.71770299546654</v>
      </c>
      <c r="Y37" s="1">
        <f t="shared" si="4"/>
        <v>888.77282260030779</v>
      </c>
      <c r="Z37" s="1">
        <f t="shared" si="4"/>
        <v>919.87987139131849</v>
      </c>
      <c r="AA37" s="1">
        <f t="shared" si="4"/>
        <v>952.07566689001453</v>
      </c>
      <c r="AB37" s="1">
        <f t="shared" si="4"/>
        <v>985.39831523116493</v>
      </c>
      <c r="AC37" s="1">
        <f t="shared" si="4"/>
        <v>1019.8872562642556</v>
      </c>
    </row>
    <row r="38" spans="1:30" s="19" customFormat="1" ht="13">
      <c r="A38" s="35" t="s">
        <v>1</v>
      </c>
      <c r="B38" s="92">
        <f>+OP!D34</f>
        <v>-0.24368231046931407</v>
      </c>
      <c r="C38" s="92">
        <f>+OP!D35</f>
        <v>-0.17292912040990607</v>
      </c>
      <c r="D38" s="190">
        <f>108166.4/365513.2</f>
        <v>0.29593021537936248</v>
      </c>
      <c r="E38" s="190">
        <f>108162.8/377959.8</f>
        <v>0.28617540807249875</v>
      </c>
      <c r="F38" s="190">
        <v>0.27</v>
      </c>
      <c r="G38" s="190">
        <v>0.27500000000000002</v>
      </c>
      <c r="H38" s="190">
        <v>0.26</v>
      </c>
      <c r="I38" s="190">
        <v>0.255</v>
      </c>
      <c r="J38" s="190">
        <v>0.25</v>
      </c>
      <c r="K38" s="56">
        <v>0.25</v>
      </c>
      <c r="L38" s="56">
        <v>0.25</v>
      </c>
      <c r="M38" s="56">
        <v>0.25</v>
      </c>
      <c r="N38" s="56">
        <v>0.25</v>
      </c>
      <c r="O38" s="56">
        <v>0.25</v>
      </c>
      <c r="P38" s="56">
        <v>0.25</v>
      </c>
      <c r="Q38" s="56">
        <v>0.25</v>
      </c>
      <c r="R38" s="56">
        <v>0.25</v>
      </c>
      <c r="S38" s="56">
        <v>0.25</v>
      </c>
      <c r="T38" s="56">
        <v>0.25</v>
      </c>
      <c r="U38" s="56">
        <v>0.25</v>
      </c>
      <c r="V38" s="56">
        <v>0.25</v>
      </c>
      <c r="W38" s="56">
        <v>0.25</v>
      </c>
      <c r="X38" s="56">
        <v>0.25</v>
      </c>
      <c r="Y38" s="56">
        <v>0.25</v>
      </c>
      <c r="Z38" s="56">
        <v>0.25</v>
      </c>
      <c r="AA38" s="56">
        <v>0.25</v>
      </c>
      <c r="AB38" s="56">
        <v>0.25</v>
      </c>
      <c r="AC38" s="56">
        <v>0.25</v>
      </c>
    </row>
    <row r="39" spans="1:30">
      <c r="A39" s="11" t="s">
        <v>3</v>
      </c>
      <c r="B39" s="77">
        <v>63930</v>
      </c>
      <c r="C39" s="77">
        <v>66288</v>
      </c>
      <c r="D39" s="1">
        <f t="shared" ref="D39:AC39" si="5">D37*D38</f>
        <v>88.530483232890091</v>
      </c>
      <c r="E39" s="1">
        <f t="shared" si="5"/>
        <v>88.523051071653668</v>
      </c>
      <c r="F39" s="1">
        <f t="shared" si="5"/>
        <v>91.453840236000019</v>
      </c>
      <c r="G39" s="1">
        <f t="shared" si="5"/>
        <v>101.99643570765002</v>
      </c>
      <c r="H39" s="1">
        <f t="shared" si="5"/>
        <v>105.59412816715621</v>
      </c>
      <c r="I39" s="1">
        <f t="shared" si="5"/>
        <v>113.40200168259305</v>
      </c>
      <c r="J39" s="1">
        <f t="shared" si="5"/>
        <v>121.74038415925429</v>
      </c>
      <c r="K39" s="1">
        <f t="shared" si="5"/>
        <v>131.47961489199463</v>
      </c>
      <c r="L39" s="1">
        <f t="shared" si="5"/>
        <v>139.36839178551432</v>
      </c>
      <c r="M39" s="1">
        <f t="shared" si="5"/>
        <v>146.33681137479005</v>
      </c>
      <c r="N39" s="1">
        <f t="shared" si="5"/>
        <v>152.19028382978166</v>
      </c>
      <c r="O39" s="1">
        <f t="shared" si="5"/>
        <v>157.516943763824</v>
      </c>
      <c r="P39" s="1">
        <f t="shared" si="5"/>
        <v>163.03003679555783</v>
      </c>
      <c r="Q39" s="1">
        <f t="shared" si="5"/>
        <v>168.73608808340234</v>
      </c>
      <c r="R39" s="1">
        <f t="shared" si="5"/>
        <v>174.6418511663214</v>
      </c>
      <c r="S39" s="1">
        <f t="shared" si="5"/>
        <v>180.75431595714264</v>
      </c>
      <c r="T39" s="1">
        <f t="shared" si="5"/>
        <v>187.08071701564262</v>
      </c>
      <c r="U39" s="1">
        <f t="shared" si="5"/>
        <v>193.62854211119009</v>
      </c>
      <c r="V39" s="1">
        <f t="shared" si="5"/>
        <v>200.40554108508172</v>
      </c>
      <c r="W39" s="1">
        <f t="shared" si="5"/>
        <v>207.41973502305956</v>
      </c>
      <c r="X39" s="1">
        <f t="shared" si="5"/>
        <v>214.67942574886663</v>
      </c>
      <c r="Y39" s="1">
        <f t="shared" si="5"/>
        <v>222.19320565007695</v>
      </c>
      <c r="Z39" s="1">
        <f t="shared" si="5"/>
        <v>229.96996784782962</v>
      </c>
      <c r="AA39" s="1">
        <f t="shared" si="5"/>
        <v>238.01891672250363</v>
      </c>
      <c r="AB39" s="1">
        <f t="shared" si="5"/>
        <v>246.34957880779123</v>
      </c>
      <c r="AC39" s="1">
        <f t="shared" si="5"/>
        <v>254.9718140660639</v>
      </c>
    </row>
    <row r="40" spans="1:30">
      <c r="A40" s="11" t="s">
        <v>21</v>
      </c>
      <c r="B40" s="77">
        <f>OP!H34</f>
        <v>-49.2</v>
      </c>
      <c r="C40" s="77">
        <f>OP!H35</f>
        <v>-146.88</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c r="A41" s="14" t="s">
        <v>22</v>
      </c>
      <c r="B41" s="77">
        <f>+B39+B40</f>
        <v>63880.800000000003</v>
      </c>
      <c r="C41" s="77">
        <f>+C39+C40</f>
        <v>66141.119999999995</v>
      </c>
      <c r="D41" s="1">
        <f>D39+D40</f>
        <v>11088.530483232889</v>
      </c>
      <c r="E41" s="1">
        <f t="shared" ref="E41:AC41" si="7">E39+E40</f>
        <v>11462.523051071654</v>
      </c>
      <c r="F41" s="1">
        <f t="shared" si="7"/>
        <v>12545.983840235998</v>
      </c>
      <c r="G41" s="1">
        <f t="shared" si="7"/>
        <v>13739.706785707647</v>
      </c>
      <c r="H41" s="1">
        <f t="shared" si="7"/>
        <v>15038.886961417154</v>
      </c>
      <c r="I41" s="1">
        <f t="shared" si="7"/>
        <v>16465.357654091342</v>
      </c>
      <c r="J41" s="1">
        <f t="shared" si="7"/>
        <v>18027.131823546832</v>
      </c>
      <c r="K41" s="1">
        <f t="shared" si="7"/>
        <v>19469.302369430581</v>
      </c>
      <c r="L41" s="1">
        <f t="shared" si="7"/>
        <v>20637.460511596419</v>
      </c>
      <c r="M41" s="1">
        <f t="shared" si="7"/>
        <v>21669.333537176237</v>
      </c>
      <c r="N41" s="1">
        <f t="shared" si="7"/>
        <v>22536.10687866329</v>
      </c>
      <c r="O41" s="1">
        <f t="shared" si="7"/>
        <v>23324.870619416502</v>
      </c>
      <c r="P41" s="1">
        <f t="shared" si="7"/>
        <v>24141.241091096075</v>
      </c>
      <c r="Q41" s="1">
        <f t="shared" si="7"/>
        <v>24986.184529284437</v>
      </c>
      <c r="R41" s="1">
        <f t="shared" si="7"/>
        <v>25860.700987809392</v>
      </c>
      <c r="S41" s="1">
        <f t="shared" si="7"/>
        <v>26765.825522382718</v>
      </c>
      <c r="T41" s="1">
        <f t="shared" si="7"/>
        <v>27702.629415666113</v>
      </c>
      <c r="U41" s="1">
        <f t="shared" si="7"/>
        <v>28672.221445214422</v>
      </c>
      <c r="V41" s="1">
        <f t="shared" si="7"/>
        <v>29675.749195796925</v>
      </c>
      <c r="W41" s="1">
        <f t="shared" si="7"/>
        <v>30714.400417649817</v>
      </c>
      <c r="X41" s="1">
        <f t="shared" si="7"/>
        <v>31789.404432267555</v>
      </c>
      <c r="Y41" s="1">
        <f t="shared" si="7"/>
        <v>32902.033587396916</v>
      </c>
      <c r="Z41" s="1">
        <f t="shared" si="7"/>
        <v>34053.604762955802</v>
      </c>
      <c r="AA41" s="1">
        <f t="shared" si="7"/>
        <v>35245.48092965925</v>
      </c>
      <c r="AB41" s="1">
        <f t="shared" si="7"/>
        <v>36479.07276219732</v>
      </c>
      <c r="AC41" s="1">
        <f t="shared" si="7"/>
        <v>37755.84030887422</v>
      </c>
    </row>
    <row r="42" spans="1:30" s="19" customFormat="1">
      <c r="A42" s="36" t="s">
        <v>177</v>
      </c>
      <c r="B42" s="37">
        <v>-1385</v>
      </c>
      <c r="C42" s="37">
        <v>-890</v>
      </c>
      <c r="D42" s="37">
        <f t="shared" ref="D42:AC42" si="8">(C48)*$H$60</f>
        <v>-1124.3600000000001</v>
      </c>
      <c r="E42" s="37">
        <f t="shared" si="8"/>
        <v>-1113.1164000000001</v>
      </c>
      <c r="F42" s="37">
        <f t="shared" si="8"/>
        <v>-1113.1164000000001</v>
      </c>
      <c r="G42" s="37">
        <f t="shared" si="8"/>
        <v>-1113.1164000000001</v>
      </c>
      <c r="H42" s="37">
        <f t="shared" si="8"/>
        <v>-1113.1164000000001</v>
      </c>
      <c r="I42" s="37">
        <f t="shared" si="8"/>
        <v>-1113.1164000000001</v>
      </c>
      <c r="J42" s="37">
        <f t="shared" si="8"/>
        <v>-1113.1164000000001</v>
      </c>
      <c r="K42" s="37">
        <f t="shared" si="8"/>
        <v>-1113.1164000000001</v>
      </c>
      <c r="L42" s="37">
        <f t="shared" si="8"/>
        <v>-1113.1164000000001</v>
      </c>
      <c r="M42" s="37">
        <f t="shared" si="8"/>
        <v>-1113.1164000000001</v>
      </c>
      <c r="N42" s="37">
        <f t="shared" si="8"/>
        <v>-1113.1164000000001</v>
      </c>
      <c r="O42" s="37">
        <f t="shared" si="8"/>
        <v>-1113.1164000000001</v>
      </c>
      <c r="P42" s="37">
        <f t="shared" si="8"/>
        <v>-1113.1164000000001</v>
      </c>
      <c r="Q42" s="37">
        <f t="shared" si="8"/>
        <v>-1113.1164000000001</v>
      </c>
      <c r="R42" s="37">
        <f t="shared" si="8"/>
        <v>-1113.1164000000001</v>
      </c>
      <c r="S42" s="37">
        <f t="shared" si="8"/>
        <v>-1113.1164000000001</v>
      </c>
      <c r="T42" s="37">
        <f t="shared" si="8"/>
        <v>-1113.1164000000001</v>
      </c>
      <c r="U42" s="37">
        <f t="shared" si="8"/>
        <v>-1113.1164000000001</v>
      </c>
      <c r="V42" s="37">
        <f t="shared" si="8"/>
        <v>-1113.1164000000001</v>
      </c>
      <c r="W42" s="37">
        <f t="shared" si="8"/>
        <v>-1113.1164000000001</v>
      </c>
      <c r="X42" s="37">
        <f t="shared" si="8"/>
        <v>-1113.1164000000001</v>
      </c>
      <c r="Y42" s="37">
        <f t="shared" si="8"/>
        <v>-1113.1164000000001</v>
      </c>
      <c r="Z42" s="37">
        <f t="shared" si="8"/>
        <v>-1113.1164000000001</v>
      </c>
      <c r="AA42" s="37">
        <f t="shared" si="8"/>
        <v>-1113.1164000000001</v>
      </c>
      <c r="AB42" s="37">
        <f t="shared" si="8"/>
        <v>-1113.1164000000001</v>
      </c>
      <c r="AC42" s="37">
        <f t="shared" si="8"/>
        <v>-1113.1164000000001</v>
      </c>
    </row>
    <row r="43" spans="1:30">
      <c r="A43" s="14" t="s">
        <v>23</v>
      </c>
      <c r="B43" s="77">
        <f>-422-2817</f>
        <v>-3239</v>
      </c>
      <c r="C43" s="77">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c r="A44" s="14" t="s">
        <v>18</v>
      </c>
      <c r="B44" s="77">
        <f>B39-B42-B43</f>
        <v>68554</v>
      </c>
      <c r="C44" s="77">
        <f>C39-C42-C43</f>
        <v>70725</v>
      </c>
      <c r="D44" s="1">
        <f>D39-D42-D43</f>
        <v>-3575.5595167671108</v>
      </c>
      <c r="E44" s="1">
        <f t="shared" ref="E44:AC44" si="10">E39-E42-E43</f>
        <v>-3668.2141989283464</v>
      </c>
      <c r="F44" s="1">
        <f t="shared" si="10"/>
        <v>-3896.601458139</v>
      </c>
      <c r="G44" s="1">
        <f t="shared" si="10"/>
        <v>-4128.3645183401632</v>
      </c>
      <c r="H44" s="1">
        <f t="shared" si="10"/>
        <v>-4378.5820001979291</v>
      </c>
      <c r="I44" s="1">
        <f t="shared" si="10"/>
        <v>-4636.6455217798348</v>
      </c>
      <c r="J44" s="1">
        <f t="shared" si="10"/>
        <v>-4906.8074256676391</v>
      </c>
      <c r="K44" s="1">
        <f t="shared" si="10"/>
        <v>-5142.7347633279751</v>
      </c>
      <c r="L44" s="1">
        <f t="shared" si="10"/>
        <v>-5326.4659097810545</v>
      </c>
      <c r="M44" s="1">
        <f t="shared" si="10"/>
        <v>-5483.9712577309429</v>
      </c>
      <c r="N44" s="1">
        <f t="shared" si="10"/>
        <v>-5612.9862746580657</v>
      </c>
      <c r="O44" s="1">
        <f t="shared" si="10"/>
        <v>-5728.0297414975612</v>
      </c>
      <c r="P44" s="1">
        <f t="shared" si="10"/>
        <v>-5844.9932524579026</v>
      </c>
      <c r="Q44" s="1">
        <f t="shared" si="10"/>
        <v>-5963.9071457319933</v>
      </c>
      <c r="R44" s="1">
        <f t="shared" si="10"/>
        <v>-6084.8021762408453</v>
      </c>
      <c r="S44" s="1">
        <f t="shared" si="10"/>
        <v>-6207.7095189296506</v>
      </c>
      <c r="T44" s="1">
        <f t="shared" si="10"/>
        <v>-6332.6607719816693</v>
      </c>
      <c r="U44" s="1">
        <f t="shared" si="10"/>
        <v>-6459.6879599435761</v>
      </c>
      <c r="V44" s="1">
        <f t="shared" si="10"/>
        <v>-6588.8235367556426</v>
      </c>
      <c r="W44" s="1">
        <f t="shared" si="10"/>
        <v>-6720.100388679879</v>
      </c>
      <c r="X44" s="1">
        <f t="shared" si="10"/>
        <v>-6853.5518371188737</v>
      </c>
      <c r="Y44" s="1">
        <f t="shared" si="10"/>
        <v>-6989.2116413178492</v>
      </c>
      <c r="Z44" s="1">
        <f t="shared" si="10"/>
        <v>-7127.1140009420351</v>
      </c>
      <c r="AA44" s="1">
        <f t="shared" si="10"/>
        <v>-7267.2935585211835</v>
      </c>
      <c r="AB44" s="1">
        <f t="shared" si="10"/>
        <v>-7409.7854017526606</v>
      </c>
      <c r="AC44" s="1">
        <f t="shared" si="10"/>
        <v>-7554.625065654197</v>
      </c>
    </row>
    <row r="45" spans="1:30">
      <c r="A45" s="14" t="s">
        <v>11</v>
      </c>
      <c r="B45" s="77">
        <v>10481</v>
      </c>
      <c r="C45" s="77">
        <v>9680</v>
      </c>
      <c r="D45" s="1">
        <f>$H$61*D44</f>
        <v>-750.86749852109324</v>
      </c>
      <c r="E45" s="1">
        <f>$H$61*E44</f>
        <v>-770.32498177495268</v>
      </c>
      <c r="F45" s="1">
        <f>$H$61*F44</f>
        <v>-818.28630620919</v>
      </c>
      <c r="G45" s="1">
        <f t="shared" ref="G45:AC45" si="11">$I$61*G44</f>
        <v>-949.52383921823753</v>
      </c>
      <c r="H45" s="1">
        <f t="shared" si="11"/>
        <v>-1007.0738600455237</v>
      </c>
      <c r="I45" s="1">
        <f t="shared" si="11"/>
        <v>-1066.4284700093619</v>
      </c>
      <c r="J45" s="1">
        <f t="shared" si="11"/>
        <v>-1128.565707903557</v>
      </c>
      <c r="K45" s="1">
        <f t="shared" si="11"/>
        <v>-1182.8289955654343</v>
      </c>
      <c r="L45" s="1">
        <f t="shared" si="11"/>
        <v>-1225.0871592496426</v>
      </c>
      <c r="M45" s="1">
        <f t="shared" si="11"/>
        <v>-1261.3133892781168</v>
      </c>
      <c r="N45" s="1">
        <f t="shared" si="11"/>
        <v>-1290.9868431713551</v>
      </c>
      <c r="O45" s="1">
        <f t="shared" si="11"/>
        <v>-1317.4468405444391</v>
      </c>
      <c r="P45" s="1">
        <f t="shared" si="11"/>
        <v>-1344.3484480653176</v>
      </c>
      <c r="Q45" s="1">
        <f t="shared" si="11"/>
        <v>-1371.6986435183585</v>
      </c>
      <c r="R45" s="1">
        <f t="shared" si="11"/>
        <v>-1399.5045005353945</v>
      </c>
      <c r="S45" s="1">
        <f t="shared" si="11"/>
        <v>-1427.7731893538196</v>
      </c>
      <c r="T45" s="1">
        <f t="shared" si="11"/>
        <v>-1456.5119775557839</v>
      </c>
      <c r="U45" s="1">
        <f t="shared" si="11"/>
        <v>-1485.7282307870225</v>
      </c>
      <c r="V45" s="1">
        <f t="shared" si="11"/>
        <v>-1515.4294134537979</v>
      </c>
      <c r="W45" s="1">
        <f t="shared" si="11"/>
        <v>-1545.6230893963723</v>
      </c>
      <c r="X45" s="1">
        <f t="shared" si="11"/>
        <v>-1576.316922537341</v>
      </c>
      <c r="Y45" s="1">
        <f t="shared" si="11"/>
        <v>-1607.5186775031054</v>
      </c>
      <c r="Z45" s="1">
        <f t="shared" si="11"/>
        <v>-1639.2362202166682</v>
      </c>
      <c r="AA45" s="1">
        <f t="shared" si="11"/>
        <v>-1671.4775184598723</v>
      </c>
      <c r="AB45" s="1">
        <f t="shared" si="11"/>
        <v>-1704.2506424031121</v>
      </c>
      <c r="AC45" s="1">
        <f t="shared" si="11"/>
        <v>-1737.5637651004654</v>
      </c>
    </row>
    <row r="46" spans="1:30">
      <c r="A46" s="14" t="s">
        <v>41</v>
      </c>
      <c r="B46" s="77">
        <f t="shared" ref="B46:AC46" si="12">B44-B45</f>
        <v>58073</v>
      </c>
      <c r="C46" s="77">
        <f t="shared" si="12"/>
        <v>61045</v>
      </c>
      <c r="D46" s="21">
        <f>D44-D45</f>
        <v>-2824.6920182460176</v>
      </c>
      <c r="E46" s="21">
        <f t="shared" si="12"/>
        <v>-2897.8892171533935</v>
      </c>
      <c r="F46" s="21">
        <f t="shared" si="12"/>
        <v>-3078.3151519298099</v>
      </c>
      <c r="G46" s="21">
        <f t="shared" si="12"/>
        <v>-3178.8406791219259</v>
      </c>
      <c r="H46" s="21">
        <f t="shared" si="12"/>
        <v>-3371.5081401524053</v>
      </c>
      <c r="I46" s="21">
        <f t="shared" si="12"/>
        <v>-3570.2170517704726</v>
      </c>
      <c r="J46" s="21">
        <f t="shared" si="12"/>
        <v>-3778.2417177640818</v>
      </c>
      <c r="K46" s="21">
        <f t="shared" si="12"/>
        <v>-3959.9057677625406</v>
      </c>
      <c r="L46" s="21">
        <f t="shared" si="12"/>
        <v>-4101.3787505314122</v>
      </c>
      <c r="M46" s="21">
        <f t="shared" si="12"/>
        <v>-4222.6578684528258</v>
      </c>
      <c r="N46" s="21">
        <f t="shared" si="12"/>
        <v>-4321.9994314867108</v>
      </c>
      <c r="O46" s="21">
        <f t="shared" si="12"/>
        <v>-4410.5829009531226</v>
      </c>
      <c r="P46" s="21">
        <f t="shared" si="12"/>
        <v>-4500.6448043925848</v>
      </c>
      <c r="Q46" s="21">
        <f t="shared" si="12"/>
        <v>-4592.2085022136343</v>
      </c>
      <c r="R46" s="21">
        <f t="shared" si="12"/>
        <v>-4685.2976757054512</v>
      </c>
      <c r="S46" s="21">
        <f t="shared" si="12"/>
        <v>-4779.9363295758312</v>
      </c>
      <c r="T46" s="21">
        <f t="shared" si="12"/>
        <v>-4876.1487944258852</v>
      </c>
      <c r="U46" s="21">
        <f t="shared" si="12"/>
        <v>-4973.9597291565533</v>
      </c>
      <c r="V46" s="21">
        <f t="shared" si="12"/>
        <v>-5073.394123301845</v>
      </c>
      <c r="W46" s="21">
        <f t="shared" si="12"/>
        <v>-5174.4772992835069</v>
      </c>
      <c r="X46" s="21">
        <f t="shared" si="12"/>
        <v>-5277.2349145815324</v>
      </c>
      <c r="Y46" s="21">
        <f t="shared" si="12"/>
        <v>-5381.692963814744</v>
      </c>
      <c r="Z46" s="21">
        <f t="shared" si="12"/>
        <v>-5487.8777807253664</v>
      </c>
      <c r="AA46" s="21">
        <f t="shared" si="12"/>
        <v>-5595.8160400613115</v>
      </c>
      <c r="AB46" s="21">
        <f t="shared" si="12"/>
        <v>-5705.534759349548</v>
      </c>
      <c r="AC46" s="21">
        <f t="shared" si="12"/>
        <v>-5817.0613005537316</v>
      </c>
    </row>
    <row r="47" spans="1:30">
      <c r="A47" s="130" t="s">
        <v>181</v>
      </c>
      <c r="B47" s="77">
        <f>OP!I34</f>
        <v>-35.299999999999997</v>
      </c>
      <c r="C47" s="77">
        <f>OP!I35</f>
        <v>-708.7</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9" customFormat="1">
      <c r="A48" s="36" t="s">
        <v>265</v>
      </c>
      <c r="B48" s="37">
        <v>108047</v>
      </c>
      <c r="C48" s="37">
        <v>112436</v>
      </c>
      <c r="D48" s="37">
        <f>C48*0.99</f>
        <v>111311.64</v>
      </c>
      <c r="E48" s="37">
        <f>D48</f>
        <v>111311.64</v>
      </c>
      <c r="F48" s="37">
        <f t="shared" ref="F48:AC48" si="14">E48</f>
        <v>111311.64</v>
      </c>
      <c r="G48" s="37">
        <f t="shared" si="14"/>
        <v>111311.64</v>
      </c>
      <c r="H48" s="37">
        <f t="shared" si="14"/>
        <v>111311.64</v>
      </c>
      <c r="I48" s="37">
        <f t="shared" si="14"/>
        <v>111311.64</v>
      </c>
      <c r="J48" s="37">
        <f t="shared" si="14"/>
        <v>111311.64</v>
      </c>
      <c r="K48" s="37">
        <f t="shared" si="14"/>
        <v>111311.64</v>
      </c>
      <c r="L48" s="37">
        <f t="shared" si="14"/>
        <v>111311.64</v>
      </c>
      <c r="M48" s="37">
        <f t="shared" si="14"/>
        <v>111311.64</v>
      </c>
      <c r="N48" s="37">
        <f t="shared" si="14"/>
        <v>111311.64</v>
      </c>
      <c r="O48" s="37">
        <f t="shared" si="14"/>
        <v>111311.64</v>
      </c>
      <c r="P48" s="37">
        <f t="shared" si="14"/>
        <v>111311.64</v>
      </c>
      <c r="Q48" s="37">
        <f t="shared" si="14"/>
        <v>111311.64</v>
      </c>
      <c r="R48" s="37">
        <f t="shared" si="14"/>
        <v>111311.64</v>
      </c>
      <c r="S48" s="37">
        <f t="shared" si="14"/>
        <v>111311.64</v>
      </c>
      <c r="T48" s="37">
        <f t="shared" si="14"/>
        <v>111311.64</v>
      </c>
      <c r="U48" s="37">
        <f t="shared" si="14"/>
        <v>111311.64</v>
      </c>
      <c r="V48" s="37">
        <f t="shared" si="14"/>
        <v>111311.64</v>
      </c>
      <c r="W48" s="37">
        <f t="shared" si="14"/>
        <v>111311.64</v>
      </c>
      <c r="X48" s="37">
        <f t="shared" si="14"/>
        <v>111311.64</v>
      </c>
      <c r="Y48" s="37">
        <f t="shared" si="14"/>
        <v>111311.64</v>
      </c>
      <c r="Z48" s="37">
        <f t="shared" si="14"/>
        <v>111311.64</v>
      </c>
      <c r="AA48" s="37">
        <f t="shared" si="14"/>
        <v>111311.64</v>
      </c>
      <c r="AB48" s="37">
        <f t="shared" si="14"/>
        <v>111311.64</v>
      </c>
      <c r="AC48" s="37">
        <f t="shared" si="14"/>
        <v>111311.64</v>
      </c>
    </row>
    <row r="49" spans="1:29" s="19" customFormat="1">
      <c r="A49" s="14" t="s">
        <v>179</v>
      </c>
      <c r="B49" s="134">
        <f>B48/B41</f>
        <v>1.691384578777974</v>
      </c>
      <c r="C49" s="134">
        <f t="shared" ref="C49:E49" si="15">C48/C41</f>
        <v>1.6999409746916896</v>
      </c>
      <c r="D49" s="135">
        <f t="shared" si="15"/>
        <v>10.038448301902202</v>
      </c>
      <c r="E49" s="135">
        <f t="shared" si="15"/>
        <v>9.7109196207542858</v>
      </c>
      <c r="F49" s="2"/>
      <c r="G49" s="2"/>
      <c r="H49" s="2"/>
      <c r="I49" s="2"/>
      <c r="J49" s="2"/>
      <c r="K49" s="2"/>
      <c r="L49" s="2"/>
      <c r="M49" s="2"/>
      <c r="N49" s="2"/>
      <c r="O49" s="2"/>
      <c r="P49" s="2"/>
      <c r="Q49" s="2"/>
      <c r="R49" s="2"/>
      <c r="S49" s="2"/>
      <c r="T49" s="2"/>
      <c r="U49" s="2"/>
      <c r="V49" s="2"/>
      <c r="W49" s="2"/>
      <c r="X49" s="2"/>
      <c r="Y49" s="2"/>
      <c r="Z49" s="2"/>
      <c r="AA49" s="2"/>
      <c r="AB49" s="2"/>
      <c r="AC49" s="2"/>
    </row>
    <row r="50" spans="1:29">
      <c r="A50" s="14" t="s">
        <v>12</v>
      </c>
      <c r="B50" s="78">
        <f>OP!F34</f>
        <v>29</v>
      </c>
      <c r="C50" s="78">
        <f>OP!F35</f>
        <v>112</v>
      </c>
      <c r="D50" s="1">
        <f t="shared" ref="D50:AC50" si="16">D41-D42-D43-D45-D47+D48-C48</f>
        <v>-2949.0520182460168</v>
      </c>
      <c r="E50" s="1">
        <f t="shared" si="16"/>
        <v>-1931.8892171533953</v>
      </c>
      <c r="F50" s="1">
        <f t="shared" si="16"/>
        <v>-2218.2971519298153</v>
      </c>
      <c r="G50" s="1">
        <f t="shared" si="16"/>
        <v>-2457.4166971219238</v>
      </c>
      <c r="H50" s="1">
        <f t="shared" si="16"/>
        <v>-2826.9583208544063</v>
      </c>
      <c r="I50" s="1">
        <f t="shared" si="16"/>
        <v>-3247.3211169042479</v>
      </c>
      <c r="J50" s="1">
        <f t="shared" si="16"/>
        <v>-3729.2228037188761</v>
      </c>
      <c r="K50" s="1">
        <f t="shared" si="16"/>
        <v>-4192.6673009991937</v>
      </c>
      <c r="L50" s="1">
        <f t="shared" si="16"/>
        <v>-4582.9529872155545</v>
      </c>
      <c r="M50" s="1">
        <f t="shared" si="16"/>
        <v>-4938.1074805361422</v>
      </c>
      <c r="N50" s="1">
        <f t="shared" si="16"/>
        <v>-5243.9745987564238</v>
      </c>
      <c r="O50" s="1">
        <f t="shared" si="16"/>
        <v>-5527.9684414120129</v>
      </c>
      <c r="P50" s="1">
        <f t="shared" si="16"/>
        <v>-5827.1320132803085</v>
      </c>
      <c r="Q50" s="1">
        <f t="shared" si="16"/>
        <v>-6142.2556512547599</v>
      </c>
      <c r="R50" s="1">
        <f t="shared" si="16"/>
        <v>-6474.1689440947084</v>
      </c>
      <c r="S50" s="1">
        <f t="shared" si="16"/>
        <v>-6823.7426051939401</v>
      </c>
      <c r="T50" s="1">
        <f t="shared" si="16"/>
        <v>-7191.8904320649308</v>
      </c>
      <c r="U50" s="1">
        <f t="shared" si="16"/>
        <v>-7579.5713564670004</v>
      </c>
      <c r="V50" s="1">
        <f t="shared" si="16"/>
        <v>-7987.7915892810561</v>
      </c>
      <c r="W50" s="1">
        <f t="shared" si="16"/>
        <v>-8417.6068644168408</v>
      </c>
      <c r="X50" s="1">
        <f t="shared" si="16"/>
        <v>-8870.1247862288583</v>
      </c>
      <c r="Y50" s="1">
        <f t="shared" si="16"/>
        <v>-9346.5072851168807</v>
      </c>
      <c r="Z50" s="1">
        <f t="shared" si="16"/>
        <v>-9847.973186194431</v>
      </c>
      <c r="AA50" s="1">
        <f t="shared" si="16"/>
        <v>-10375.800896125846</v>
      </c>
      <c r="AB50" s="1">
        <f t="shared" si="16"/>
        <v>-10931.331213459358</v>
      </c>
      <c r="AC50" s="1">
        <f t="shared" si="16"/>
        <v>-11515.970268019882</v>
      </c>
    </row>
    <row r="51" spans="1:29">
      <c r="A51" s="14" t="s">
        <v>13</v>
      </c>
      <c r="B51" s="78">
        <v>0</v>
      </c>
      <c r="C51" s="78">
        <v>0</v>
      </c>
      <c r="D51" s="1">
        <f t="shared" ref="D51:AC51" si="17">C51*(1+$B$59)+D50</f>
        <v>-2949.0520182460168</v>
      </c>
      <c r="E51" s="1">
        <f t="shared" si="17"/>
        <v>-5125.712552913832</v>
      </c>
      <c r="F51" s="1">
        <f t="shared" si="17"/>
        <v>-7769.4438467354948</v>
      </c>
      <c r="G51" s="1">
        <f t="shared" si="17"/>
        <v>-10871.724383136465</v>
      </c>
      <c r="H51" s="1">
        <f t="shared" si="17"/>
        <v>-14601.035827791198</v>
      </c>
      <c r="I51" s="1">
        <f t="shared" si="17"/>
        <v>-19060.242918402117</v>
      </c>
      <c r="J51" s="1">
        <f t="shared" si="17"/>
        <v>-24371.465884348367</v>
      </c>
      <c r="K51" s="1">
        <f t="shared" si="17"/>
        <v>-30586.964853748475</v>
      </c>
      <c r="L51" s="1">
        <f t="shared" si="17"/>
        <v>-37708.635923825153</v>
      </c>
      <c r="M51" s="1">
        <f t="shared" si="17"/>
        <v>-45776.560186038783</v>
      </c>
      <c r="N51" s="1">
        <f t="shared" si="17"/>
        <v>-54819.989280236427</v>
      </c>
      <c r="O51" s="1">
        <f t="shared" si="17"/>
        <v>-64898.016831908062</v>
      </c>
      <c r="P51" s="1">
        <f t="shared" si="17"/>
        <v>-76111.684242236734</v>
      </c>
      <c r="Q51" s="1">
        <f t="shared" si="17"/>
        <v>-88571.209685597132</v>
      </c>
      <c r="R51" s="1">
        <f t="shared" si="17"/>
        <v>-102396.7890335964</v>
      </c>
      <c r="S51" s="1">
        <f t="shared" si="17"/>
        <v>-117719.46512857884</v>
      </c>
      <c r="T51" s="1">
        <f t="shared" si="17"/>
        <v>-134682.07116631581</v>
      </c>
      <c r="U51" s="1">
        <f t="shared" si="17"/>
        <v>-153440.25442958702</v>
      </c>
      <c r="V51" s="1">
        <f t="shared" si="17"/>
        <v>-174163.5871365238</v>
      </c>
      <c r="W51" s="1">
        <f t="shared" si="17"/>
        <v>-197036.77173327212</v>
      </c>
      <c r="X51" s="1">
        <f t="shared" si="17"/>
        <v>-222260.94857336255</v>
      </c>
      <c r="Y51" s="1">
        <f t="shared" si="17"/>
        <v>-250055.11459006852</v>
      </c>
      <c r="Z51" s="1">
        <f t="shared" si="17"/>
        <v>-280657.66228723864</v>
      </c>
      <c r="AA51" s="1">
        <f t="shared" si="17"/>
        <v>-314328.0491532053</v>
      </c>
      <c r="AB51" s="1">
        <f t="shared" si="17"/>
        <v>-351348.60844638071</v>
      </c>
      <c r="AC51" s="1">
        <f t="shared" si="17"/>
        <v>-392026.51321545016</v>
      </c>
    </row>
    <row r="52" spans="1:29">
      <c r="A52" s="14"/>
      <c r="B52" s="64"/>
      <c r="C52" s="64"/>
      <c r="K52" s="1"/>
      <c r="L52" s="1"/>
      <c r="M52" s="1"/>
      <c r="N52" s="1"/>
      <c r="O52" s="1"/>
      <c r="P52" s="1"/>
      <c r="Q52" s="1"/>
      <c r="R52" s="1"/>
      <c r="S52" s="1"/>
      <c r="T52" s="1"/>
      <c r="U52" s="1"/>
      <c r="V52" s="1"/>
      <c r="W52" s="1"/>
      <c r="X52" s="1"/>
      <c r="Y52" s="1"/>
      <c r="Z52" s="1"/>
      <c r="AA52" s="1"/>
      <c r="AB52" s="1">
        <f>AB51-AB48</f>
        <v>-462660.24844638072</v>
      </c>
      <c r="AC52" s="1">
        <f>AC50/(B59-AC36)</f>
        <v>-239916.04725041421</v>
      </c>
    </row>
    <row r="53" spans="1:29">
      <c r="A53" s="79" t="s">
        <v>134</v>
      </c>
      <c r="B53" s="80"/>
      <c r="C53" s="87">
        <f ca="1">1000000*C46/OP!$C$7</f>
        <v>6306301652.8925619</v>
      </c>
      <c r="D53" s="87">
        <f ca="1">1000000*D46/OP!$C$7</f>
        <v>-291807026.67830759</v>
      </c>
      <c r="E53" s="87">
        <f ca="1">1000000*E46/OP!$C$7</f>
        <v>-299368720.78030926</v>
      </c>
      <c r="F53" s="87">
        <f ca="1">1000000*F46/OP!$C$7</f>
        <v>-318007763.6291126</v>
      </c>
      <c r="G53" s="1"/>
      <c r="H53"/>
      <c r="I53"/>
      <c r="J53"/>
      <c r="K53" s="1"/>
      <c r="L53" s="1"/>
      <c r="M53" s="1"/>
      <c r="N53" s="1"/>
      <c r="O53" s="1"/>
      <c r="P53" s="1"/>
      <c r="Q53" s="1"/>
      <c r="R53" s="1"/>
      <c r="S53" s="1"/>
      <c r="T53" s="1"/>
      <c r="U53" s="1"/>
      <c r="V53" s="1"/>
      <c r="W53" s="1"/>
      <c r="X53" s="1"/>
      <c r="Y53" s="1"/>
      <c r="Z53" s="1"/>
      <c r="AA53" s="1"/>
      <c r="AB53" s="1"/>
      <c r="AC53" s="1"/>
    </row>
    <row r="54" spans="1:29">
      <c r="A54" s="14" t="s">
        <v>153</v>
      </c>
      <c r="B54" s="1"/>
      <c r="C54" s="95">
        <v>3.3</v>
      </c>
      <c r="D54" s="95">
        <v>5.6</v>
      </c>
      <c r="E54" s="95">
        <v>5.6</v>
      </c>
      <c r="F54" s="82"/>
      <c r="G54" s="1"/>
      <c r="H54"/>
      <c r="I54"/>
      <c r="J54"/>
      <c r="K54" s="1"/>
      <c r="L54" s="1"/>
      <c r="M54" s="1"/>
      <c r="N54" s="1"/>
      <c r="O54" s="1"/>
      <c r="P54" s="1"/>
      <c r="Q54" s="1"/>
      <c r="R54" s="1"/>
      <c r="S54" s="1"/>
      <c r="T54" s="1"/>
      <c r="U54" s="1"/>
      <c r="V54" s="1"/>
      <c r="W54" s="1"/>
      <c r="X54" s="1"/>
      <c r="Y54" s="1"/>
      <c r="Z54" s="1"/>
      <c r="AA54" s="1"/>
      <c r="AB54" s="1"/>
      <c r="AC54" s="1"/>
    </row>
    <row r="55" spans="1:29">
      <c r="A55" s="81" t="s">
        <v>135</v>
      </c>
      <c r="B55" s="21"/>
      <c r="C55" s="21"/>
      <c r="D55" s="65">
        <f>$B$61/D46</f>
        <v>33.885271882809619</v>
      </c>
      <c r="E55" s="65">
        <f>$B$61/E46</f>
        <v>33.02937063877485</v>
      </c>
      <c r="F55" s="82">
        <f>$B$61/F46</f>
        <v>31.09345609511881</v>
      </c>
      <c r="G55" s="1"/>
      <c r="H55"/>
      <c r="I55"/>
      <c r="J55"/>
      <c r="K55" s="1"/>
      <c r="L55" s="1"/>
      <c r="M55" s="1"/>
      <c r="N55" s="1"/>
      <c r="O55" s="1"/>
      <c r="P55" s="1"/>
      <c r="Q55" s="1"/>
      <c r="R55" s="1"/>
      <c r="S55" s="1"/>
      <c r="T55" s="1"/>
      <c r="U55" s="1"/>
      <c r="V55" s="1"/>
      <c r="W55" s="1"/>
      <c r="X55" s="1"/>
      <c r="Y55" s="1"/>
      <c r="Z55" s="1"/>
      <c r="AA55" s="1"/>
      <c r="AB55" s="1"/>
      <c r="AC55" s="1"/>
    </row>
    <row r="56" spans="1:29">
      <c r="A56" s="83" t="s">
        <v>136</v>
      </c>
      <c r="B56" s="84"/>
      <c r="C56" s="84"/>
      <c r="D56" s="85">
        <f>($B$61+D48-D51)/D41</f>
        <v>1.672470037650162</v>
      </c>
      <c r="E56" s="85">
        <f>($B$61+E48-E51)/E41</f>
        <v>1.807795320202908</v>
      </c>
      <c r="F56" s="86">
        <f>($B$61+F48-F51)/F41</f>
        <v>1.8623989254897235</v>
      </c>
      <c r="G56" s="1"/>
      <c r="H56"/>
      <c r="I56"/>
      <c r="J56"/>
      <c r="K56" s="1"/>
      <c r="L56" s="6"/>
      <c r="M56" s="1"/>
      <c r="N56" s="1"/>
      <c r="O56" s="1"/>
      <c r="P56" s="1"/>
      <c r="Q56" s="1"/>
      <c r="R56" s="1"/>
      <c r="S56" s="1"/>
      <c r="T56" s="1"/>
      <c r="U56" s="1"/>
      <c r="V56" s="1"/>
      <c r="W56" s="1"/>
      <c r="X56" s="1"/>
      <c r="Y56" s="1"/>
      <c r="Z56" s="1"/>
      <c r="AA56" s="1"/>
      <c r="AB56"/>
      <c r="AC56"/>
    </row>
    <row r="57" spans="1:29">
      <c r="A57" s="14"/>
      <c r="B57" s="1"/>
      <c r="C57" s="1"/>
      <c r="D57" s="65"/>
      <c r="E57" s="65"/>
      <c r="F57" s="65"/>
      <c r="G57" s="1"/>
      <c r="H57" s="1"/>
      <c r="I57" s="1"/>
      <c r="J57" s="1"/>
      <c r="K57" s="1"/>
      <c r="L57" s="1"/>
      <c r="M57" s="1"/>
      <c r="N57" s="1"/>
      <c r="O57" s="1"/>
      <c r="P57" s="1"/>
      <c r="Q57" s="1"/>
      <c r="R57" s="1"/>
      <c r="S57" s="1"/>
      <c r="T57" s="1"/>
      <c r="U57" s="1"/>
      <c r="V57" s="1"/>
      <c r="W57" s="1"/>
      <c r="X57" s="1"/>
      <c r="Y57" s="1"/>
      <c r="Z57" s="1"/>
      <c r="AA57" s="1"/>
      <c r="AB57"/>
      <c r="AC57"/>
    </row>
    <row r="58" spans="1:29" ht="13">
      <c r="A58" s="7"/>
      <c r="B58" s="21"/>
      <c r="C58" s="40" t="s">
        <v>54</v>
      </c>
      <c r="D58" s="40" t="s">
        <v>152</v>
      </c>
      <c r="E58" s="40" t="s">
        <v>113</v>
      </c>
      <c r="F58"/>
      <c r="G58"/>
      <c r="H58" s="40" t="s">
        <v>144</v>
      </c>
      <c r="I58" s="40" t="s">
        <v>145</v>
      </c>
      <c r="J58" s="1"/>
      <c r="K58" s="1"/>
      <c r="L58" s="1"/>
      <c r="M58" s="1"/>
      <c r="N58" s="1"/>
      <c r="O58" s="1"/>
      <c r="P58" s="1"/>
      <c r="Q58" s="1"/>
      <c r="R58" s="1"/>
      <c r="S58" s="1"/>
      <c r="T58" s="1"/>
      <c r="U58" s="1"/>
      <c r="V58" s="1"/>
      <c r="W58" s="1"/>
      <c r="X58" s="1"/>
      <c r="Y58" s="1"/>
      <c r="Z58" s="1"/>
      <c r="AA58" s="1"/>
      <c r="AB58" s="1"/>
      <c r="AC58" s="1"/>
    </row>
    <row r="59" spans="1:29" ht="13">
      <c r="A59" s="42" t="s">
        <v>107</v>
      </c>
      <c r="B59" s="38">
        <f>SUM(C59:E59)</f>
        <v>8.3000000000000004E-2</v>
      </c>
      <c r="C59" s="39">
        <v>3.0700000000000002E-2</v>
      </c>
      <c r="D59" s="39">
        <v>5.2299999999999999E-2</v>
      </c>
      <c r="E59" s="38">
        <v>0</v>
      </c>
      <c r="F59"/>
      <c r="G59" s="11" t="s">
        <v>143</v>
      </c>
      <c r="H59" s="5">
        <v>1</v>
      </c>
      <c r="I59" s="5">
        <v>1</v>
      </c>
      <c r="J59" s="1"/>
    </row>
    <row r="60" spans="1:29" ht="13">
      <c r="A60" s="42"/>
      <c r="C60" s="39"/>
      <c r="D60" s="39"/>
      <c r="E60" s="113"/>
      <c r="F60"/>
      <c r="G60" t="s">
        <v>164</v>
      </c>
      <c r="H60" s="691">
        <v>-0.01</v>
      </c>
      <c r="I60" s="691"/>
    </row>
    <row r="61" spans="1:29">
      <c r="A61" s="41" t="s">
        <v>15</v>
      </c>
      <c r="B61" s="4">
        <f>C62+C63</f>
        <v>-95715.457023468538</v>
      </c>
      <c r="C61" s="246" t="s">
        <v>267</v>
      </c>
      <c r="D61" s="239">
        <f>D31</f>
        <v>1E-3</v>
      </c>
      <c r="E61" s="240">
        <f>D32</f>
        <v>5.0000000000000001E-3</v>
      </c>
      <c r="F61"/>
      <c r="G61" t="s">
        <v>165</v>
      </c>
      <c r="H61" s="3">
        <v>0.21</v>
      </c>
      <c r="I61" s="3">
        <v>0.23</v>
      </c>
      <c r="AA61" s="3"/>
      <c r="AB61" s="3"/>
      <c r="AC61" s="3"/>
    </row>
    <row r="62" spans="1:29">
      <c r="A62" s="41" t="s">
        <v>69</v>
      </c>
      <c r="B62" s="3">
        <f>C62/B61</f>
        <v>0.65851958183065029</v>
      </c>
      <c r="C62" s="237">
        <f>AB52/(1+B59)^25</f>
        <v>-63030.502733824083</v>
      </c>
      <c r="D62" s="241">
        <f>SUMPRODUCT(E50:AB50,E31:AB31)</f>
        <v>-48350.271638119302</v>
      </c>
      <c r="E62" s="242">
        <f>SUMPRODUCT(E50:AB50,E32:AB32)</f>
        <v>-46273.005785193825</v>
      </c>
      <c r="F62"/>
      <c r="G62" s="97" t="s">
        <v>166</v>
      </c>
      <c r="H62" s="692">
        <v>1.2</v>
      </c>
      <c r="I62" s="692"/>
    </row>
    <row r="63" spans="1:29">
      <c r="A63" s="41" t="s">
        <v>53</v>
      </c>
      <c r="B63" s="3">
        <f>1-B62</f>
        <v>0.34148041816934971</v>
      </c>
      <c r="C63" s="237">
        <f>AC52/(1+B59)^25</f>
        <v>-32684.954289644455</v>
      </c>
      <c r="D63" s="243">
        <f>(AC50/($B$59+D31-$AC$36))*AC31</f>
        <v>-31287.61074625533</v>
      </c>
      <c r="E63" s="244">
        <f>(AC50/($B$59+D32-$AC$36))*AC32</f>
        <v>-26381.66986058289</v>
      </c>
      <c r="F63"/>
      <c r="G63" t="s">
        <v>167</v>
      </c>
      <c r="H63" s="689">
        <f>SUM(40:40)</f>
        <v>628233.49179785396</v>
      </c>
      <c r="I63" s="689"/>
    </row>
    <row r="64" spans="1:29" ht="13">
      <c r="A64" s="42" t="s">
        <v>14</v>
      </c>
      <c r="B64" s="43">
        <f ca="1">1000000*B61/OP!C7</f>
        <v>-9887960436.308733</v>
      </c>
      <c r="C64" s="4"/>
      <c r="D64" s="43">
        <f ca="1">1000000*SUM(D62:D63)/OP!C7</f>
        <v>-8227053965.3279581</v>
      </c>
      <c r="E64" s="245">
        <f ca="1">1000000*SUM(E62:E63)/OP!C7</f>
        <v>-7505648310.5141239</v>
      </c>
      <c r="F64"/>
      <c r="G64" t="s">
        <v>168</v>
      </c>
      <c r="H64" s="689">
        <f>SUM(47:47)</f>
        <v>672101.39331143443</v>
      </c>
      <c r="I64" s="689"/>
    </row>
    <row r="65" spans="1:29" ht="13">
      <c r="B65" s="44" t="e">
        <f ca="1">B64/OP!#REF!-1</f>
        <v>#REF!</v>
      </c>
      <c r="C65" s="2"/>
      <c r="D65" s="10">
        <f ca="1">D64/B64-1</f>
        <v>-0.16797260483384446</v>
      </c>
      <c r="E65" s="112">
        <f ca="1">E64/B64-1</f>
        <v>-0.24093058837965453</v>
      </c>
      <c r="F65"/>
      <c r="G65" s="102" t="s">
        <v>169</v>
      </c>
      <c r="H65" s="689">
        <f>SUM(47:47)+(OP!E12*OP!E7)</f>
        <v>673240.9933114344</v>
      </c>
      <c r="I65" s="689"/>
    </row>
    <row r="66" spans="1:29">
      <c r="B66" s="4"/>
      <c r="C66" s="4"/>
      <c r="G66" s="2"/>
      <c r="I66" s="6"/>
    </row>
    <row r="67" spans="1:29">
      <c r="A67" t="s">
        <v>268</v>
      </c>
      <c r="B67" s="247">
        <f>B62*D68+B63*D69</f>
        <v>20.923610497101777</v>
      </c>
      <c r="C67" s="102"/>
      <c r="E67" s="248">
        <v>1</v>
      </c>
      <c r="F67" s="248">
        <v>2</v>
      </c>
      <c r="G67" s="248">
        <v>3</v>
      </c>
      <c r="H67" s="4">
        <v>4</v>
      </c>
      <c r="I67" s="248">
        <v>5</v>
      </c>
      <c r="J67" s="248">
        <v>6</v>
      </c>
      <c r="K67" s="248">
        <v>7</v>
      </c>
      <c r="L67" s="4">
        <v>8</v>
      </c>
      <c r="M67" s="248">
        <v>9</v>
      </c>
      <c r="N67" s="248">
        <v>10</v>
      </c>
      <c r="O67" s="248">
        <v>11</v>
      </c>
      <c r="P67" s="4">
        <v>12</v>
      </c>
      <c r="Q67" s="248">
        <v>13</v>
      </c>
      <c r="R67" s="248">
        <v>14</v>
      </c>
      <c r="S67" s="248">
        <v>15</v>
      </c>
      <c r="T67" s="4">
        <v>16</v>
      </c>
      <c r="U67" s="248">
        <v>17</v>
      </c>
      <c r="V67" s="248">
        <v>18</v>
      </c>
      <c r="W67" s="248">
        <v>19</v>
      </c>
      <c r="X67" s="4">
        <v>20</v>
      </c>
      <c r="Y67" s="248">
        <v>21</v>
      </c>
      <c r="Z67" s="248">
        <v>22</v>
      </c>
      <c r="AA67" s="248">
        <v>23</v>
      </c>
      <c r="AB67" s="4">
        <v>24</v>
      </c>
      <c r="AC67" s="248">
        <v>25</v>
      </c>
    </row>
    <row r="68" spans="1:29">
      <c r="A68" s="236">
        <v>1E-3</v>
      </c>
      <c r="B68" s="249">
        <f>-$B$67*A68</f>
        <v>-2.0923610497101779E-2</v>
      </c>
      <c r="C68" s="102"/>
      <c r="D68" s="237">
        <f>SUM(E68:AB68)/SUMPRODUCT(E50:AB50,E33:AB33)</f>
        <v>12.043526020891258</v>
      </c>
      <c r="E68" s="250">
        <f>E67*E50*E33</f>
        <v>-1783.8312254417317</v>
      </c>
      <c r="F68" s="250">
        <f t="shared" ref="F68:AC68" si="18">F67*F50*F33</f>
        <v>-3782.6207798518285</v>
      </c>
      <c r="G68" s="250">
        <f t="shared" si="18"/>
        <v>-5803.830088338952</v>
      </c>
      <c r="H68" s="250">
        <f t="shared" si="18"/>
        <v>-8219.8817589205391</v>
      </c>
      <c r="I68" s="250">
        <f t="shared" si="18"/>
        <v>-10898.154435563256</v>
      </c>
      <c r="J68" s="250">
        <f t="shared" si="18"/>
        <v>-13867.521307408619</v>
      </c>
      <c r="K68" s="250">
        <f t="shared" si="18"/>
        <v>-16795.357210069931</v>
      </c>
      <c r="L68" s="250">
        <f t="shared" si="18"/>
        <v>-19373.48434689661</v>
      </c>
      <c r="M68" s="250">
        <f t="shared" si="18"/>
        <v>-21684.376447487852</v>
      </c>
      <c r="N68" s="250">
        <f t="shared" si="18"/>
        <v>-23625.228252799036</v>
      </c>
      <c r="O68" s="250">
        <f t="shared" si="18"/>
        <v>-25295.61352335753</v>
      </c>
      <c r="P68" s="250">
        <f t="shared" si="18"/>
        <v>-26859.295896256401</v>
      </c>
      <c r="Q68" s="250">
        <f t="shared" si="18"/>
        <v>-28320.525312477468</v>
      </c>
      <c r="R68" s="250">
        <f t="shared" si="18"/>
        <v>-29683.401819678442</v>
      </c>
      <c r="S68" s="250">
        <f t="shared" si="18"/>
        <v>-30951.880954128945</v>
      </c>
      <c r="T68" s="250">
        <f t="shared" si="18"/>
        <v>-32129.779048129196</v>
      </c>
      <c r="U68" s="250">
        <f t="shared" si="18"/>
        <v>-33220.778431026702</v>
      </c>
      <c r="V68" s="250">
        <f t="shared" si="18"/>
        <v>-34228.432498793889</v>
      </c>
      <c r="W68" s="250">
        <f t="shared" si="18"/>
        <v>-35156.170633004273</v>
      </c>
      <c r="X68" s="250">
        <f t="shared" si="18"/>
        <v>-36007.302955053674</v>
      </c>
      <c r="Y68" s="250">
        <f t="shared" si="18"/>
        <v>-36785.0249057295</v>
      </c>
      <c r="Z68" s="250">
        <f t="shared" si="18"/>
        <v>-37492.421643819151</v>
      </c>
      <c r="AA68" s="250">
        <f t="shared" si="18"/>
        <v>-38132.472260457165</v>
      </c>
      <c r="AB68" s="250">
        <f t="shared" si="18"/>
        <v>-38708.053808412449</v>
      </c>
      <c r="AC68" s="250">
        <f t="shared" si="18"/>
        <v>-39221.945147573344</v>
      </c>
    </row>
    <row r="69" spans="1:29" ht="14.5">
      <c r="A69" s="236">
        <v>5.0000000000000001E-3</v>
      </c>
      <c r="B69" s="249">
        <f>-$B$67*A69</f>
        <v>-0.10461805248550889</v>
      </c>
      <c r="C69" s="102"/>
      <c r="D69" s="251">
        <f>(1+B59)/B59+AC67</f>
        <v>38.048192771084338</v>
      </c>
      <c r="E69" s="3"/>
      <c r="F69" s="44"/>
      <c r="H69" s="6"/>
    </row>
    <row r="70" spans="1:29">
      <c r="D70" s="125"/>
      <c r="E70" s="10"/>
      <c r="F70" s="9"/>
      <c r="H70" s="6"/>
    </row>
    <row r="71" spans="1:29">
      <c r="C71" s="102"/>
      <c r="D71" s="126"/>
      <c r="E71" s="126"/>
      <c r="F71" s="126"/>
    </row>
    <row r="72" spans="1:29" ht="13">
      <c r="C72" s="102"/>
      <c r="D72" s="44"/>
      <c r="E72" s="3"/>
      <c r="F72" s="3"/>
    </row>
    <row r="73" spans="1:29" ht="13">
      <c r="C73" s="102"/>
      <c r="D73" s="3"/>
      <c r="E73" s="44"/>
      <c r="F73" s="3"/>
    </row>
    <row r="74" spans="1:29">
      <c r="C74" s="102"/>
      <c r="D74" s="3"/>
      <c r="E74" s="3"/>
      <c r="F74" s="3"/>
      <c r="J74" s="9"/>
    </row>
    <row r="75" spans="1:29">
      <c r="C75" s="102"/>
      <c r="D75" s="3"/>
      <c r="E75" s="3"/>
      <c r="F75" s="3"/>
    </row>
    <row r="76" spans="1:29">
      <c r="C76" s="102"/>
      <c r="D76" s="3"/>
      <c r="E76" s="3"/>
      <c r="F76" s="3"/>
    </row>
    <row r="77" spans="1:29">
      <c r="C77" s="102"/>
      <c r="D77" s="3"/>
      <c r="E77" s="3"/>
      <c r="F77" s="3"/>
    </row>
    <row r="78" spans="1:29" ht="13">
      <c r="C78" s="102"/>
      <c r="D78" s="3"/>
      <c r="E78" s="3"/>
      <c r="F78" s="44"/>
    </row>
    <row r="79" spans="1:29">
      <c r="F79" s="8"/>
    </row>
    <row r="81" spans="4:9">
      <c r="G81" s="10"/>
    </row>
    <row r="82" spans="4:9">
      <c r="D82" s="3"/>
      <c r="E82" s="3"/>
      <c r="F82" s="3"/>
      <c r="G82" s="9"/>
    </row>
    <row r="83" spans="4:9">
      <c r="D83" s="3"/>
      <c r="E83" s="3"/>
      <c r="F83" s="3"/>
      <c r="G83" s="9"/>
    </row>
    <row r="84" spans="4:9">
      <c r="D84" s="3"/>
      <c r="E84" s="3"/>
      <c r="F84" s="3"/>
      <c r="H84" s="9"/>
    </row>
    <row r="85" spans="4:9">
      <c r="I85" s="10"/>
    </row>
    <row r="86" spans="4:9">
      <c r="D86" s="3"/>
      <c r="E86" s="3"/>
      <c r="F86" s="3"/>
    </row>
    <row r="87" spans="4:9">
      <c r="D87" s="3"/>
      <c r="E87" s="3"/>
      <c r="F87" s="3"/>
    </row>
    <row r="88" spans="4:9">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H75"/>
  <sheetViews>
    <sheetView topLeftCell="B1" zoomScale="115" zoomScaleNormal="115" workbookViewId="0">
      <selection activeCell="D65" sqref="D65"/>
    </sheetView>
  </sheetViews>
  <sheetFormatPr defaultColWidth="11.453125" defaultRowHeight="14.5"/>
  <cols>
    <col min="1" max="1" width="14.453125" style="274" customWidth="1"/>
    <col min="2" max="2" width="6.7265625" style="274" customWidth="1"/>
    <col min="3" max="3" width="35.453125" style="274" customWidth="1"/>
    <col min="4" max="5" width="12.453125" style="274" customWidth="1"/>
    <col min="6" max="6" width="22" style="275" customWidth="1"/>
    <col min="7" max="7" width="14" style="275" customWidth="1"/>
    <col min="8" max="8" width="9.26953125" style="275" customWidth="1"/>
    <col min="9" max="9" width="11.1796875" style="275" customWidth="1"/>
    <col min="10" max="11" width="9.26953125" style="275" customWidth="1"/>
    <col min="12" max="12" width="9.453125" style="275" bestFit="1" customWidth="1"/>
    <col min="13" max="13" width="9.1796875" style="275" bestFit="1" customWidth="1"/>
    <col min="14" max="20" width="10.7265625" style="275" customWidth="1"/>
    <col min="21" max="21" width="10" style="275" bestFit="1" customWidth="1"/>
    <col min="22" max="22" width="9.7265625" style="275" bestFit="1" customWidth="1"/>
    <col min="23" max="23" width="10" style="275" bestFit="1" customWidth="1"/>
    <col min="24" max="25" width="9.7265625" style="275" bestFit="1" customWidth="1"/>
    <col min="26" max="26" width="12.7265625" style="275" customWidth="1"/>
    <col min="27" max="28" width="10" style="275" bestFit="1" customWidth="1"/>
    <col min="29" max="29" width="10.453125" style="275" bestFit="1" customWidth="1"/>
    <col min="30" max="30" width="11.453125" style="274"/>
    <col min="31" max="31" width="12.453125" style="274" bestFit="1" customWidth="1"/>
    <col min="32" max="32" width="11.453125" style="274"/>
    <col min="33" max="33" width="143.1796875" style="274" customWidth="1"/>
    <col min="34" max="16384" width="11.453125" style="274"/>
  </cols>
  <sheetData>
    <row r="1" spans="1:33" ht="20">
      <c r="C1" s="699" t="s">
        <v>274</v>
      </c>
      <c r="D1" s="699"/>
      <c r="E1" s="699"/>
      <c r="F1" s="699"/>
      <c r="G1" s="699"/>
      <c r="H1" s="699"/>
      <c r="I1" s="699"/>
      <c r="J1" s="699"/>
      <c r="K1" s="699"/>
      <c r="L1" s="699"/>
    </row>
    <row r="2" spans="1:33">
      <c r="C2" s="276" t="s">
        <v>417</v>
      </c>
      <c r="D2" s="276"/>
      <c r="E2" s="276"/>
      <c r="F2" s="276"/>
      <c r="G2" s="276"/>
      <c r="H2" s="276" t="s">
        <v>266</v>
      </c>
      <c r="I2" s="276"/>
      <c r="J2" s="276"/>
      <c r="K2" s="276"/>
      <c r="L2" s="276"/>
    </row>
    <row r="3" spans="1:33">
      <c r="D3" s="368"/>
      <c r="E3" s="368"/>
      <c r="F3" s="368"/>
      <c r="G3" s="275">
        <v>0</v>
      </c>
      <c r="H3" s="275">
        <v>0.25</v>
      </c>
      <c r="I3" s="275">
        <f>H3+1</f>
        <v>1.25</v>
      </c>
      <c r="J3" s="275">
        <f t="shared" ref="J3:AF3" si="0">I3+1</f>
        <v>2.25</v>
      </c>
      <c r="K3" s="275">
        <f t="shared" si="0"/>
        <v>3.25</v>
      </c>
      <c r="L3" s="275">
        <f t="shared" si="0"/>
        <v>4.25</v>
      </c>
      <c r="M3" s="275">
        <f t="shared" si="0"/>
        <v>5.25</v>
      </c>
      <c r="N3" s="275">
        <f t="shared" si="0"/>
        <v>6.25</v>
      </c>
      <c r="O3" s="275">
        <f t="shared" si="0"/>
        <v>7.25</v>
      </c>
      <c r="P3" s="275">
        <f t="shared" si="0"/>
        <v>8.25</v>
      </c>
      <c r="Q3" s="275">
        <f t="shared" si="0"/>
        <v>9.25</v>
      </c>
      <c r="R3" s="275">
        <f t="shared" si="0"/>
        <v>10.25</v>
      </c>
      <c r="S3" s="275">
        <f t="shared" si="0"/>
        <v>11.25</v>
      </c>
      <c r="T3" s="275">
        <f t="shared" si="0"/>
        <v>12.25</v>
      </c>
      <c r="U3" s="275">
        <f t="shared" si="0"/>
        <v>13.25</v>
      </c>
      <c r="V3" s="275">
        <f t="shared" si="0"/>
        <v>14.25</v>
      </c>
      <c r="W3" s="275">
        <f t="shared" si="0"/>
        <v>15.25</v>
      </c>
      <c r="X3" s="275">
        <f t="shared" si="0"/>
        <v>16.25</v>
      </c>
      <c r="Y3" s="275">
        <f t="shared" si="0"/>
        <v>17.25</v>
      </c>
      <c r="Z3" s="275">
        <f t="shared" si="0"/>
        <v>18.25</v>
      </c>
      <c r="AA3" s="275">
        <f t="shared" si="0"/>
        <v>19.25</v>
      </c>
      <c r="AB3" s="275">
        <f t="shared" si="0"/>
        <v>20.25</v>
      </c>
      <c r="AC3" s="275">
        <f t="shared" si="0"/>
        <v>21.25</v>
      </c>
      <c r="AD3" s="275">
        <f t="shared" si="0"/>
        <v>22.25</v>
      </c>
      <c r="AE3" s="275">
        <f t="shared" si="0"/>
        <v>23.25</v>
      </c>
      <c r="AF3" s="275">
        <f t="shared" si="0"/>
        <v>24.25</v>
      </c>
    </row>
    <row r="4" spans="1:33">
      <c r="A4" s="277" t="s">
        <v>275</v>
      </c>
      <c r="B4" s="277" t="s">
        <v>276</v>
      </c>
      <c r="C4" s="278" t="s">
        <v>277</v>
      </c>
      <c r="D4" s="279" t="s">
        <v>200</v>
      </c>
      <c r="E4" s="279" t="s">
        <v>278</v>
      </c>
      <c r="F4" s="279" t="s">
        <v>366</v>
      </c>
      <c r="G4" s="280" t="s">
        <v>422</v>
      </c>
      <c r="H4" s="280">
        <v>2024</v>
      </c>
      <c r="I4" s="280">
        <f t="shared" ref="I4:AF4" si="1">+H4+1</f>
        <v>2025</v>
      </c>
      <c r="J4" s="280">
        <f t="shared" si="1"/>
        <v>2026</v>
      </c>
      <c r="K4" s="280">
        <f t="shared" si="1"/>
        <v>2027</v>
      </c>
      <c r="L4" s="280">
        <f t="shared" si="1"/>
        <v>2028</v>
      </c>
      <c r="M4" s="280">
        <f t="shared" si="1"/>
        <v>2029</v>
      </c>
      <c r="N4" s="280">
        <f t="shared" si="1"/>
        <v>2030</v>
      </c>
      <c r="O4" s="280">
        <f t="shared" si="1"/>
        <v>2031</v>
      </c>
      <c r="P4" s="280">
        <f t="shared" si="1"/>
        <v>2032</v>
      </c>
      <c r="Q4" s="280">
        <f t="shared" si="1"/>
        <v>2033</v>
      </c>
      <c r="R4" s="280">
        <f t="shared" si="1"/>
        <v>2034</v>
      </c>
      <c r="S4" s="280">
        <f t="shared" si="1"/>
        <v>2035</v>
      </c>
      <c r="T4" s="280">
        <f t="shared" si="1"/>
        <v>2036</v>
      </c>
      <c r="U4" s="280">
        <f t="shared" si="1"/>
        <v>2037</v>
      </c>
      <c r="V4" s="280">
        <f t="shared" si="1"/>
        <v>2038</v>
      </c>
      <c r="W4" s="280">
        <f t="shared" si="1"/>
        <v>2039</v>
      </c>
      <c r="X4" s="280">
        <f t="shared" si="1"/>
        <v>2040</v>
      </c>
      <c r="Y4" s="280">
        <f t="shared" si="1"/>
        <v>2041</v>
      </c>
      <c r="Z4" s="280">
        <f t="shared" si="1"/>
        <v>2042</v>
      </c>
      <c r="AA4" s="280">
        <f t="shared" si="1"/>
        <v>2043</v>
      </c>
      <c r="AB4" s="280">
        <f t="shared" si="1"/>
        <v>2044</v>
      </c>
      <c r="AC4" s="280">
        <f t="shared" si="1"/>
        <v>2045</v>
      </c>
      <c r="AD4" s="280">
        <f t="shared" si="1"/>
        <v>2046</v>
      </c>
      <c r="AE4" s="280">
        <f t="shared" si="1"/>
        <v>2047</v>
      </c>
      <c r="AF4" s="280">
        <f t="shared" si="1"/>
        <v>2048</v>
      </c>
      <c r="AG4" s="274" t="s">
        <v>279</v>
      </c>
    </row>
    <row r="5" spans="1:33" s="286" customFormat="1" ht="13">
      <c r="A5" s="700" t="s">
        <v>280</v>
      </c>
      <c r="B5" s="281">
        <v>1</v>
      </c>
      <c r="C5" s="282" t="s">
        <v>281</v>
      </c>
      <c r="D5" s="283">
        <f>Cifras_en_Millones!F6</f>
        <v>0.41687979539641939</v>
      </c>
      <c r="E5" s="283">
        <f>Cifras_en_Millones!E6</f>
        <v>1.1137184115523464</v>
      </c>
      <c r="F5" s="283">
        <f>Cifras_en_Millones!D6</f>
        <v>0.23206660973526905</v>
      </c>
      <c r="G5" s="283">
        <f>Cifras_en_Millones!C6</f>
        <v>7.3817362675446141E-2</v>
      </c>
      <c r="H5" s="285">
        <v>8.5999999999999993E-2</v>
      </c>
      <c r="I5" s="285">
        <v>0.09</v>
      </c>
      <c r="J5" s="285">
        <v>0.09</v>
      </c>
      <c r="K5" s="285">
        <v>7.0000000000000007E-2</v>
      </c>
      <c r="L5" s="285">
        <v>5.5E-2</v>
      </c>
      <c r="M5" s="285">
        <v>5.5E-2</v>
      </c>
      <c r="N5" s="285">
        <v>5.5E-2</v>
      </c>
      <c r="O5" s="285">
        <v>0.05</v>
      </c>
      <c r="P5" s="285">
        <v>0.05</v>
      </c>
      <c r="Q5" s="285">
        <v>0.05</v>
      </c>
      <c r="R5" s="285">
        <v>0.03</v>
      </c>
      <c r="S5" s="285">
        <v>0.03</v>
      </c>
      <c r="T5" s="285">
        <v>0.03</v>
      </c>
      <c r="U5" s="285">
        <v>0.03</v>
      </c>
      <c r="V5" s="285">
        <v>0.03</v>
      </c>
      <c r="W5" s="285">
        <v>0.02</v>
      </c>
      <c r="X5" s="285">
        <v>0.02</v>
      </c>
      <c r="Y5" s="285">
        <v>0.02</v>
      </c>
      <c r="Z5" s="285">
        <v>0.02</v>
      </c>
      <c r="AA5" s="285">
        <v>0.02</v>
      </c>
      <c r="AB5" s="285">
        <v>0.02</v>
      </c>
      <c r="AC5" s="285">
        <v>0.02</v>
      </c>
      <c r="AD5" s="285">
        <v>0.02</v>
      </c>
      <c r="AE5" s="285">
        <v>0.02</v>
      </c>
      <c r="AF5" s="285">
        <v>0.02</v>
      </c>
    </row>
    <row r="6" spans="1:33" s="290" customFormat="1">
      <c r="A6" s="700"/>
      <c r="B6" s="281">
        <v>2</v>
      </c>
      <c r="C6" s="287" t="s">
        <v>282</v>
      </c>
      <c r="D6" s="288">
        <f>Cifras_Originales!F6</f>
        <v>221.6</v>
      </c>
      <c r="E6" s="288">
        <f>Cifras_Originales!E6</f>
        <v>468.4</v>
      </c>
      <c r="F6" s="288">
        <f>Cifras_Originales!D6</f>
        <v>577.1</v>
      </c>
      <c r="G6" s="288">
        <f>Cifras_Originales!C6</f>
        <v>619.70000000000005</v>
      </c>
      <c r="H6" s="289">
        <f>G6*(1+H5)</f>
        <v>672.99420000000009</v>
      </c>
      <c r="I6" s="289">
        <f t="shared" ref="I6:AF6" si="2">H6*(1+I5)</f>
        <v>733.56367800000021</v>
      </c>
      <c r="J6" s="289">
        <f t="shared" si="2"/>
        <v>799.58440902000029</v>
      </c>
      <c r="K6" s="289">
        <f t="shared" si="2"/>
        <v>855.5553176514004</v>
      </c>
      <c r="L6" s="289">
        <f t="shared" si="2"/>
        <v>902.61086012222734</v>
      </c>
      <c r="M6" s="289">
        <f t="shared" si="2"/>
        <v>952.25445742894976</v>
      </c>
      <c r="N6" s="289">
        <f t="shared" si="2"/>
        <v>1004.6284525875419</v>
      </c>
      <c r="O6" s="289">
        <f t="shared" si="2"/>
        <v>1054.8598752169191</v>
      </c>
      <c r="P6" s="289">
        <f t="shared" si="2"/>
        <v>1107.6028689777652</v>
      </c>
      <c r="Q6" s="289">
        <f t="shared" si="2"/>
        <v>1162.9830124266534</v>
      </c>
      <c r="R6" s="289">
        <f t="shared" si="2"/>
        <v>1197.8725027994531</v>
      </c>
      <c r="S6" s="289">
        <f t="shared" si="2"/>
        <v>1233.8086778834368</v>
      </c>
      <c r="T6" s="289">
        <f t="shared" si="2"/>
        <v>1270.8229382199399</v>
      </c>
      <c r="U6" s="289">
        <f t="shared" si="2"/>
        <v>1308.9476263665381</v>
      </c>
      <c r="V6" s="289">
        <f t="shared" si="2"/>
        <v>1348.2160551575344</v>
      </c>
      <c r="W6" s="289">
        <f t="shared" si="2"/>
        <v>1375.1803762606851</v>
      </c>
      <c r="X6" s="289">
        <f t="shared" si="2"/>
        <v>1402.6839837858988</v>
      </c>
      <c r="Y6" s="289">
        <f t="shared" si="2"/>
        <v>1430.7376634616169</v>
      </c>
      <c r="Z6" s="289">
        <f t="shared" si="2"/>
        <v>1459.3524167308492</v>
      </c>
      <c r="AA6" s="289">
        <f t="shared" si="2"/>
        <v>1488.5394650654662</v>
      </c>
      <c r="AB6" s="289">
        <f t="shared" si="2"/>
        <v>1518.3102543667756</v>
      </c>
      <c r="AC6" s="289">
        <f t="shared" si="2"/>
        <v>1548.6764594541112</v>
      </c>
      <c r="AD6" s="289">
        <f t="shared" si="2"/>
        <v>1579.6499886431934</v>
      </c>
      <c r="AE6" s="289">
        <f t="shared" si="2"/>
        <v>1611.2429884160574</v>
      </c>
      <c r="AF6" s="289">
        <f t="shared" si="2"/>
        <v>1643.4678481843787</v>
      </c>
    </row>
    <row r="7" spans="1:33" s="286" customFormat="1" ht="13">
      <c r="A7" s="700"/>
      <c r="B7" s="281">
        <v>3</v>
      </c>
      <c r="C7" s="282" t="s">
        <v>283</v>
      </c>
      <c r="D7" s="291">
        <f>Cifras_en_Millones!F12</f>
        <v>-0.24368231046931407</v>
      </c>
      <c r="E7" s="291">
        <f>Cifras_en_Millones!E12</f>
        <v>-0.17292912040990607</v>
      </c>
      <c r="F7" s="291">
        <f>Cifras_en_Millones!D12</f>
        <v>-0.19407381736267543</v>
      </c>
      <c r="G7" s="291">
        <f>Cifras_en_Millones!C12</f>
        <v>-0.2501355494594158</v>
      </c>
      <c r="H7" s="284">
        <v>0.1</v>
      </c>
      <c r="I7" s="284">
        <v>0.11</v>
      </c>
      <c r="J7" s="284">
        <v>0.12</v>
      </c>
      <c r="K7" s="284">
        <v>0.13</v>
      </c>
      <c r="L7" s="284">
        <v>0.14000000000000001</v>
      </c>
      <c r="M7" s="284">
        <v>0.15</v>
      </c>
      <c r="N7" s="284">
        <v>0.15</v>
      </c>
      <c r="O7" s="284">
        <v>0.15</v>
      </c>
      <c r="P7" s="284">
        <v>0.15</v>
      </c>
      <c r="Q7" s="284">
        <v>0.15</v>
      </c>
      <c r="R7" s="284">
        <v>0.15</v>
      </c>
      <c r="S7" s="284">
        <v>0.15</v>
      </c>
      <c r="T7" s="284">
        <v>0.15</v>
      </c>
      <c r="U7" s="284">
        <v>0.15</v>
      </c>
      <c r="V7" s="284">
        <v>0.15</v>
      </c>
      <c r="W7" s="284">
        <v>0.15</v>
      </c>
      <c r="X7" s="284">
        <v>0.15</v>
      </c>
      <c r="Y7" s="284">
        <v>0.15</v>
      </c>
      <c r="Z7" s="284">
        <v>0.15</v>
      </c>
      <c r="AA7" s="284">
        <v>0.15</v>
      </c>
      <c r="AB7" s="284">
        <v>0.15</v>
      </c>
      <c r="AC7" s="284">
        <v>0.15</v>
      </c>
      <c r="AD7" s="284">
        <v>0.15</v>
      </c>
      <c r="AE7" s="284">
        <v>0.15</v>
      </c>
      <c r="AF7" s="284">
        <v>0.15</v>
      </c>
    </row>
    <row r="8" spans="1:33">
      <c r="A8" s="700"/>
      <c r="B8" s="281">
        <v>4</v>
      </c>
      <c r="C8" s="292" t="s">
        <v>3</v>
      </c>
      <c r="D8" s="288">
        <f>D6*D7</f>
        <v>-54</v>
      </c>
      <c r="E8" s="288">
        <f>E6*E7</f>
        <v>-81</v>
      </c>
      <c r="F8" s="288">
        <f>F6*F7</f>
        <v>-112</v>
      </c>
      <c r="G8" s="288">
        <f t="shared" ref="G8:AF8" si="3">G7*G6</f>
        <v>-155.00899999999999</v>
      </c>
      <c r="H8" s="293">
        <f>H7*H6</f>
        <v>67.299420000000012</v>
      </c>
      <c r="I8" s="293">
        <f t="shared" si="3"/>
        <v>80.692004580000017</v>
      </c>
      <c r="J8" s="293">
        <f t="shared" si="3"/>
        <v>95.950129082400025</v>
      </c>
      <c r="K8" s="293">
        <f t="shared" si="3"/>
        <v>111.22219129468206</v>
      </c>
      <c r="L8" s="293">
        <f t="shared" si="3"/>
        <v>126.36552041711184</v>
      </c>
      <c r="M8" s="293">
        <f t="shared" si="3"/>
        <v>142.83816861434246</v>
      </c>
      <c r="N8" s="293">
        <f t="shared" si="3"/>
        <v>150.69426788813129</v>
      </c>
      <c r="O8" s="293">
        <f t="shared" si="3"/>
        <v>158.22898128253786</v>
      </c>
      <c r="P8" s="293">
        <f t="shared" si="3"/>
        <v>166.14043034666477</v>
      </c>
      <c r="Q8" s="293">
        <f t="shared" si="3"/>
        <v>174.447451863998</v>
      </c>
      <c r="R8" s="293">
        <f t="shared" si="3"/>
        <v>179.68087541991795</v>
      </c>
      <c r="S8" s="293">
        <f t="shared" si="3"/>
        <v>185.0713016825155</v>
      </c>
      <c r="T8" s="293">
        <f t="shared" si="3"/>
        <v>190.62344073299099</v>
      </c>
      <c r="U8" s="293">
        <f t="shared" si="3"/>
        <v>196.34214395498071</v>
      </c>
      <c r="V8" s="293">
        <f t="shared" si="3"/>
        <v>202.23240827363014</v>
      </c>
      <c r="W8" s="293">
        <f t="shared" si="3"/>
        <v>206.27705643910275</v>
      </c>
      <c r="X8" s="293">
        <f t="shared" si="3"/>
        <v>210.40259756788481</v>
      </c>
      <c r="Y8" s="293">
        <f t="shared" si="3"/>
        <v>214.61064951924251</v>
      </c>
      <c r="Z8" s="293">
        <f t="shared" si="3"/>
        <v>218.90286250962737</v>
      </c>
      <c r="AA8" s="293">
        <f t="shared" si="3"/>
        <v>223.28091975981991</v>
      </c>
      <c r="AB8" s="293">
        <f t="shared" si="3"/>
        <v>227.74653815501634</v>
      </c>
      <c r="AC8" s="293">
        <f t="shared" si="3"/>
        <v>232.30146891811665</v>
      </c>
      <c r="AD8" s="293">
        <f t="shared" si="3"/>
        <v>236.94749829647901</v>
      </c>
      <c r="AE8" s="293">
        <f>AE7*AE6</f>
        <v>241.68644826240859</v>
      </c>
      <c r="AF8" s="293">
        <f t="shared" si="3"/>
        <v>246.5201772276568</v>
      </c>
    </row>
    <row r="9" spans="1:33">
      <c r="A9" s="700"/>
      <c r="B9" s="281" t="s">
        <v>284</v>
      </c>
      <c r="C9" s="294" t="s">
        <v>285</v>
      </c>
      <c r="D9" s="371">
        <f>Cifras_Originales!F11</f>
        <v>-49.2</v>
      </c>
      <c r="E9" s="371">
        <f>Cifras_Originales!E11</f>
        <v>-146.88</v>
      </c>
      <c r="F9" s="371">
        <f>Cifras_Originales!D11</f>
        <v>-216.1</v>
      </c>
      <c r="G9" s="371">
        <f>Cifras_Originales!C11</f>
        <v>-240.8</v>
      </c>
      <c r="H9" s="308" cm="1">
        <f t="array" ref="H9">(G9-164)*0.7+0.3*(0.1921*AVERAGE(-1*(F22:G22)))</f>
        <v>-278.76400749999999</v>
      </c>
      <c r="I9" s="308" cm="1">
        <f t="array" ref="I9">H9*0.7+0.3*(-$D$50*AVERAGE(-1*(F22:H22)))</f>
        <v>-190.58430524999997</v>
      </c>
      <c r="J9" s="308" cm="1">
        <f t="array" ref="J9">I9*0.7+0.3*(-$D$50*AVERAGE(-1*(F22:I22)))</f>
        <v>-129.05534325796498</v>
      </c>
      <c r="K9" s="308" cm="1">
        <f t="array" ref="K9">J9*0.7+0.3*(-$D$50*AVERAGE(-1*(G22:J22)))</f>
        <v>-86.324752858972332</v>
      </c>
      <c r="L9" s="308" cm="1">
        <f t="array" ref="L9">K9*0.7+0.3*(-$D$50*AVERAGE(-1*(H22:K22)))</f>
        <v>-56.223814884789562</v>
      </c>
      <c r="M9" s="308" cm="1">
        <f t="array" ref="M9">L9*0.7+0.3*(-$D$50*AVERAGE(-1*(I22:L22)))</f>
        <v>-35.26418192232228</v>
      </c>
      <c r="N9" s="308" cm="1">
        <f t="array" ref="N9">M9*0.7+0.3*(-$D$50*AVERAGE(-1*(J22:M22)))</f>
        <v>-20.447664184161184</v>
      </c>
      <c r="O9" s="308" cm="1">
        <f t="array" ref="O9">N9*0.7+0.3*(-$D$50*AVERAGE(-1*(K22:N22)))</f>
        <v>-9.9562923360667668</v>
      </c>
      <c r="P9" s="308" cm="1">
        <f t="array" ref="P9">O9*0.7+0.3*(-$D$50*AVERAGE(-1*(L22:O22)))</f>
        <v>-2.5070414795413081</v>
      </c>
      <c r="Q9" s="308" cm="1">
        <f t="array" ref="Q9">P9*0.7+0.3*(-$D$50*AVERAGE(-1*(M22:P22)))</f>
        <v>2.9411250101218247</v>
      </c>
      <c r="R9" s="308" cm="1">
        <f t="array" ref="R9">Q9*0.7+0.3*(-$D$50*AVERAGE(-1*(N22:Q22)))</f>
        <v>6.9950721055834002</v>
      </c>
      <c r="S9" s="308" cm="1">
        <f t="array" ref="S9">R9*0.7+0.3*(-$D$50*AVERAGE(-1*(O22:R22)))</f>
        <v>10.053133289648081</v>
      </c>
      <c r="T9" s="308" cm="1">
        <f t="array" ref="T9">S9*0.7+0.3*(-$D$50*AVERAGE(-1*(P22:S22)))</f>
        <v>12.397777753533187</v>
      </c>
      <c r="U9" s="308" cm="1">
        <f t="array" ref="U9">T9*0.7+0.3*(-$D$50*AVERAGE(-1*(Q22:T22)))</f>
        <v>14.225099757188843</v>
      </c>
      <c r="V9" s="308" cm="1">
        <f t="array" ref="V9">U9*0.7+0.3*(-$D$50*AVERAGE(-1*(R22:U22)))</f>
        <v>15.670624819639269</v>
      </c>
      <c r="W9" s="308" cm="1">
        <f t="array" ref="W9">V9*0.7+0.3*(-$D$50*AVERAGE(-1*(S22:V22)))</f>
        <v>16.85388401304278</v>
      </c>
      <c r="X9" s="308" cm="1">
        <f t="array" ref="X9">W9*0.7+0.3*(-$D$50*AVERAGE(-1*(T22:W22)))</f>
        <v>17.843329184575303</v>
      </c>
      <c r="Y9" s="308" cm="1">
        <f t="array" ref="Y9">X9*0.7+0.3*(-$D$50*AVERAGE(-1*(U22:X22)))</f>
        <v>18.686262396593261</v>
      </c>
      <c r="Z9" s="308" cm="1">
        <f t="array" ref="Z9">Y9*0.7+0.3*(-$D$50*AVERAGE(-1*(V22:Y22)))</f>
        <v>19.41515628729422</v>
      </c>
      <c r="AA9" s="308" cm="1">
        <f t="array" ref="AA9">Z9*0.7+0.3*(-$D$50*AVERAGE(-1*(W22:Z22)))</f>
        <v>20.05207746297847</v>
      </c>
      <c r="AB9" s="308" cm="1">
        <f t="array" ref="AB9">AA9*0.7+0.3*(-$D$50*AVERAGE(-1*(X22:AA22)))</f>
        <v>20.627151647194896</v>
      </c>
      <c r="AC9" s="308" cm="1">
        <f t="array" ref="AC9">AB9*0.7+0.3*(-$D$50*AVERAGE(-1*(Y22:AB22)))</f>
        <v>21.161517524608595</v>
      </c>
      <c r="AD9" s="308" cm="1">
        <f t="array" ref="AD9">AC9*0.7+0.3*(-$D$50*AVERAGE(-1*(Z22:AC22)))</f>
        <v>21.670023866229627</v>
      </c>
      <c r="AE9" s="308" cm="1">
        <f t="array" ref="AE9">AD9*0.7+0.3*(-$D$50*AVERAGE(-1*(AA22:AD22)))</f>
        <v>22.163117537344419</v>
      </c>
      <c r="AF9" s="308" cm="1">
        <f t="array" ref="AF9">AE9*0.7+0.3*(-$D$50*AVERAGE(-1*(AB22:AE22)))</f>
        <v>22.648165123744448</v>
      </c>
    </row>
    <row r="10" spans="1:33">
      <c r="A10" s="700"/>
      <c r="B10" s="281" t="s">
        <v>286</v>
      </c>
      <c r="C10" s="294" t="s">
        <v>287</v>
      </c>
      <c r="D10" s="371">
        <f>D19</f>
        <v>-28.5</v>
      </c>
      <c r="E10" s="371">
        <f t="shared" ref="E10:G10" si="4">E19</f>
        <v>-40.700000000000003</v>
      </c>
      <c r="F10" s="371">
        <f t="shared" si="4"/>
        <v>-64.12</v>
      </c>
      <c r="G10" s="371">
        <f t="shared" si="4"/>
        <v>-72.617000000000004</v>
      </c>
      <c r="H10" s="308">
        <v>-75</v>
      </c>
      <c r="I10" s="308">
        <f t="shared" ref="I10:K10" si="5">-$D$51*I6</f>
        <v>-81.790758823493377</v>
      </c>
      <c r="J10" s="308">
        <f t="shared" si="5"/>
        <v>-89.151927117607784</v>
      </c>
      <c r="K10" s="308">
        <f t="shared" si="5"/>
        <v>-95.39256201584034</v>
      </c>
      <c r="L10" s="308">
        <f t="shared" ref="L10:T10" si="6">-$E$51*L6</f>
        <v>-100.63915292671155</v>
      </c>
      <c r="M10" s="308">
        <f t="shared" si="6"/>
        <v>-106.17430633768068</v>
      </c>
      <c r="N10" s="308">
        <f t="shared" si="6"/>
        <v>-112.0138931862531</v>
      </c>
      <c r="O10" s="308">
        <f t="shared" si="6"/>
        <v>-117.61458784556577</v>
      </c>
      <c r="P10" s="308">
        <f t="shared" si="6"/>
        <v>-123.49531723784406</v>
      </c>
      <c r="Q10" s="308">
        <f t="shared" si="6"/>
        <v>-129.67008309973627</v>
      </c>
      <c r="R10" s="308">
        <f t="shared" si="6"/>
        <v>-133.56018559272835</v>
      </c>
      <c r="S10" s="308">
        <f t="shared" si="6"/>
        <v>-137.56699116051021</v>
      </c>
      <c r="T10" s="308">
        <f t="shared" si="6"/>
        <v>-141.69400089532553</v>
      </c>
      <c r="U10" s="308">
        <f>-$E$51*U6</f>
        <v>-145.9448209221853</v>
      </c>
      <c r="V10" s="308">
        <f t="shared" ref="V10:AF10" si="7">-$E$51*V6</f>
        <v>-150.32316554985087</v>
      </c>
      <c r="W10" s="308">
        <f t="shared" si="7"/>
        <v>-153.32962886084789</v>
      </c>
      <c r="X10" s="308">
        <f t="shared" si="7"/>
        <v>-156.39622143806486</v>
      </c>
      <c r="Y10" s="308">
        <f t="shared" si="7"/>
        <v>-159.52414586682616</v>
      </c>
      <c r="Z10" s="308">
        <f t="shared" si="7"/>
        <v>-162.71462878416267</v>
      </c>
      <c r="AA10" s="308">
        <f t="shared" si="7"/>
        <v>-165.96892135984592</v>
      </c>
      <c r="AB10" s="308">
        <f t="shared" si="7"/>
        <v>-169.28829978704286</v>
      </c>
      <c r="AC10" s="308">
        <f t="shared" si="7"/>
        <v>-172.67406578278374</v>
      </c>
      <c r="AD10" s="308">
        <f t="shared" si="7"/>
        <v>-176.12754709843941</v>
      </c>
      <c r="AE10" s="308">
        <f t="shared" si="7"/>
        <v>-179.65009804040821</v>
      </c>
      <c r="AF10" s="308">
        <f t="shared" si="7"/>
        <v>-183.24310000121639</v>
      </c>
    </row>
    <row r="11" spans="1:33" s="290" customFormat="1">
      <c r="A11" s="700"/>
      <c r="B11" s="281">
        <v>6</v>
      </c>
      <c r="C11" s="295" t="s">
        <v>22</v>
      </c>
      <c r="D11" s="296">
        <f t="shared" ref="D11:AF11" si="8">D9+D8</f>
        <v>-103.2</v>
      </c>
      <c r="E11" s="296">
        <f t="shared" si="8"/>
        <v>-227.88</v>
      </c>
      <c r="F11" s="296">
        <f t="shared" si="8"/>
        <v>-328.1</v>
      </c>
      <c r="G11" s="296">
        <f t="shared" si="8"/>
        <v>-395.80899999999997</v>
      </c>
      <c r="H11" s="289">
        <f t="shared" si="8"/>
        <v>-211.46458749999999</v>
      </c>
      <c r="I11" s="289">
        <f t="shared" si="8"/>
        <v>-109.89230066999995</v>
      </c>
      <c r="J11" s="289">
        <f t="shared" si="8"/>
        <v>-33.105214175564953</v>
      </c>
      <c r="K11" s="289">
        <f t="shared" si="8"/>
        <v>24.897438435709731</v>
      </c>
      <c r="L11" s="289">
        <f t="shared" si="8"/>
        <v>70.141705532322277</v>
      </c>
      <c r="M11" s="289">
        <f t="shared" si="8"/>
        <v>107.57398669202018</v>
      </c>
      <c r="N11" s="289">
        <f t="shared" si="8"/>
        <v>130.2466037039701</v>
      </c>
      <c r="O11" s="289">
        <f t="shared" si="8"/>
        <v>148.27268894647108</v>
      </c>
      <c r="P11" s="289">
        <f t="shared" si="8"/>
        <v>163.63338886712347</v>
      </c>
      <c r="Q11" s="289">
        <f t="shared" si="8"/>
        <v>177.38857687411982</v>
      </c>
      <c r="R11" s="289">
        <f t="shared" si="8"/>
        <v>186.67594752550136</v>
      </c>
      <c r="S11" s="289">
        <f t="shared" si="8"/>
        <v>195.12443497216358</v>
      </c>
      <c r="T11" s="289">
        <f t="shared" si="8"/>
        <v>203.02121848652416</v>
      </c>
      <c r="U11" s="289">
        <f t="shared" si="8"/>
        <v>210.56724371216956</v>
      </c>
      <c r="V11" s="289">
        <f t="shared" si="8"/>
        <v>217.90303309326941</v>
      </c>
      <c r="W11" s="289">
        <f t="shared" si="8"/>
        <v>223.13094045214552</v>
      </c>
      <c r="X11" s="289">
        <f t="shared" si="8"/>
        <v>228.24592675246012</v>
      </c>
      <c r="Y11" s="289">
        <f t="shared" si="8"/>
        <v>233.29691191583578</v>
      </c>
      <c r="Z11" s="289">
        <f t="shared" si="8"/>
        <v>238.31801879692159</v>
      </c>
      <c r="AA11" s="289">
        <f t="shared" si="8"/>
        <v>243.33299722279838</v>
      </c>
      <c r="AB11" s="289">
        <f t="shared" si="8"/>
        <v>248.37368980221123</v>
      </c>
      <c r="AC11" s="289">
        <f t="shared" si="8"/>
        <v>253.46298644272525</v>
      </c>
      <c r="AD11" s="289">
        <f t="shared" si="8"/>
        <v>258.61752216270861</v>
      </c>
      <c r="AE11" s="289">
        <f t="shared" si="8"/>
        <v>263.84956579975301</v>
      </c>
      <c r="AF11" s="289">
        <f t="shared" si="8"/>
        <v>269.16834235140124</v>
      </c>
    </row>
    <row r="12" spans="1:33" s="286" customFormat="1" ht="13">
      <c r="A12" s="700"/>
      <c r="B12" s="281">
        <v>7</v>
      </c>
      <c r="C12" s="287" t="s">
        <v>288</v>
      </c>
      <c r="D12" s="372">
        <f>Cifras_Originales!F9</f>
        <v>0.05</v>
      </c>
      <c r="E12" s="372">
        <f>Cifras_Originales!E9</f>
        <v>-19.5</v>
      </c>
      <c r="F12" s="372">
        <f>Cifras_Originales!D9</f>
        <v>-29.3</v>
      </c>
      <c r="G12" s="372">
        <f>Cifras_Originales!C9</f>
        <v>-32.4</v>
      </c>
      <c r="H12" s="297">
        <f>-$D$53*G37+G36*$D$54</f>
        <v>-40.844195999999997</v>
      </c>
      <c r="I12" s="297">
        <f t="shared" ref="I12:AF12" si="9">-$D$53*H37+H36*$D$54</f>
        <v>-55.345244999291985</v>
      </c>
      <c r="J12" s="297">
        <f t="shared" si="9"/>
        <v>-76.266300833714567</v>
      </c>
      <c r="K12" s="297">
        <f t="shared" si="9"/>
        <v>-80.547074191930832</v>
      </c>
      <c r="L12" s="297">
        <f t="shared" si="9"/>
        <v>-86.059460035294592</v>
      </c>
      <c r="M12" s="297">
        <f t="shared" si="9"/>
        <v>-89.250659980324073</v>
      </c>
      <c r="N12" s="297">
        <f t="shared" si="9"/>
        <v>-89.297157134540782</v>
      </c>
      <c r="O12" s="297">
        <f t="shared" si="9"/>
        <v>-100.00258667125969</v>
      </c>
      <c r="P12" s="297">
        <f t="shared" si="9"/>
        <v>-92.020652236965702</v>
      </c>
      <c r="Q12" s="297">
        <f t="shared" si="9"/>
        <v>-97.098547451696589</v>
      </c>
      <c r="R12" s="297">
        <f t="shared" si="9"/>
        <v>-101.53504621418816</v>
      </c>
      <c r="S12" s="297">
        <f t="shared" si="9"/>
        <v>-104.86529677951683</v>
      </c>
      <c r="T12" s="297">
        <f t="shared" si="9"/>
        <v>-107.86193660281612</v>
      </c>
      <c r="U12" s="297">
        <f t="shared" si="9"/>
        <v>-110.67888316668342</v>
      </c>
      <c r="V12" s="297">
        <f t="shared" si="9"/>
        <v>-113.40042706514774</v>
      </c>
      <c r="W12" s="297">
        <f t="shared" si="9"/>
        <v>-91.749749828320915</v>
      </c>
      <c r="X12" s="297">
        <f t="shared" si="9"/>
        <v>-92.730893371459771</v>
      </c>
      <c r="Y12" s="297">
        <f t="shared" si="9"/>
        <v>-93.710244018830394</v>
      </c>
      <c r="Z12" s="297">
        <f t="shared" si="9"/>
        <v>-94.705435368396536</v>
      </c>
      <c r="AA12" s="297">
        <f t="shared" si="9"/>
        <v>-95.769616363615043</v>
      </c>
      <c r="AB12" s="297">
        <f t="shared" si="9"/>
        <v>-96.874227086435624</v>
      </c>
      <c r="AC12" s="297">
        <f t="shared" si="9"/>
        <v>-98.027376772851454</v>
      </c>
      <c r="AD12" s="297">
        <f t="shared" si="9"/>
        <v>-99.277002175571027</v>
      </c>
      <c r="AE12" s="297">
        <f t="shared" si="9"/>
        <v>-100.63016256521676</v>
      </c>
      <c r="AF12" s="297">
        <f t="shared" si="9"/>
        <v>-102.09247203591576</v>
      </c>
    </row>
    <row r="13" spans="1:33">
      <c r="A13" s="700"/>
      <c r="B13" s="281">
        <v>8</v>
      </c>
      <c r="C13" s="287" t="s">
        <v>289</v>
      </c>
      <c r="D13" s="296">
        <f>Cifras_Originales!F10</f>
        <v>-0.4</v>
      </c>
      <c r="E13" s="298">
        <f>Cifras_Originales!E10</f>
        <v>-156.6</v>
      </c>
      <c r="F13" s="296">
        <f>Cifras_Originales!D10</f>
        <v>42</v>
      </c>
      <c r="G13" s="296">
        <f>Cifras_Originales!C10</f>
        <v>38</v>
      </c>
      <c r="H13" s="289">
        <v>0</v>
      </c>
      <c r="I13" s="289">
        <f t="shared" ref="I13:AF13" si="10">H13*(1+I5)</f>
        <v>0</v>
      </c>
      <c r="J13" s="289">
        <f t="shared" si="10"/>
        <v>0</v>
      </c>
      <c r="K13" s="289">
        <f t="shared" si="10"/>
        <v>0</v>
      </c>
      <c r="L13" s="289">
        <f t="shared" si="10"/>
        <v>0</v>
      </c>
      <c r="M13" s="289">
        <f t="shared" si="10"/>
        <v>0</v>
      </c>
      <c r="N13" s="289">
        <f t="shared" si="10"/>
        <v>0</v>
      </c>
      <c r="O13" s="289">
        <f t="shared" si="10"/>
        <v>0</v>
      </c>
      <c r="P13" s="289">
        <f t="shared" si="10"/>
        <v>0</v>
      </c>
      <c r="Q13" s="289">
        <f t="shared" si="10"/>
        <v>0</v>
      </c>
      <c r="R13" s="289">
        <f t="shared" si="10"/>
        <v>0</v>
      </c>
      <c r="S13" s="289">
        <f t="shared" si="10"/>
        <v>0</v>
      </c>
      <c r="T13" s="289">
        <f t="shared" si="10"/>
        <v>0</v>
      </c>
      <c r="U13" s="289">
        <f t="shared" si="10"/>
        <v>0</v>
      </c>
      <c r="V13" s="289">
        <f t="shared" si="10"/>
        <v>0</v>
      </c>
      <c r="W13" s="289">
        <f t="shared" si="10"/>
        <v>0</v>
      </c>
      <c r="X13" s="289">
        <f t="shared" si="10"/>
        <v>0</v>
      </c>
      <c r="Y13" s="289">
        <f t="shared" si="10"/>
        <v>0</v>
      </c>
      <c r="Z13" s="289">
        <f t="shared" si="10"/>
        <v>0</v>
      </c>
      <c r="AA13" s="289">
        <f t="shared" si="10"/>
        <v>0</v>
      </c>
      <c r="AB13" s="289">
        <f t="shared" si="10"/>
        <v>0</v>
      </c>
      <c r="AC13" s="289">
        <f t="shared" si="10"/>
        <v>0</v>
      </c>
      <c r="AD13" s="289">
        <f t="shared" si="10"/>
        <v>0</v>
      </c>
      <c r="AE13" s="289">
        <f t="shared" si="10"/>
        <v>0</v>
      </c>
      <c r="AF13" s="289">
        <f t="shared" si="10"/>
        <v>0</v>
      </c>
    </row>
    <row r="14" spans="1:33">
      <c r="A14" s="700"/>
      <c r="B14" s="281">
        <v>9</v>
      </c>
      <c r="C14" s="295" t="s">
        <v>290</v>
      </c>
      <c r="D14" s="296">
        <f>D8+D12+D13</f>
        <v>-54.35</v>
      </c>
      <c r="E14" s="296">
        <f>E8+E12+E13</f>
        <v>-257.10000000000002</v>
      </c>
      <c r="F14" s="296">
        <f>F8+F12+F13</f>
        <v>-99.300000000000011</v>
      </c>
      <c r="G14" s="296">
        <f t="shared" ref="G14:AF14" si="11">G8+G12+G13</f>
        <v>-149.40899999999999</v>
      </c>
      <c r="H14" s="289">
        <f>H8+H12+H13</f>
        <v>26.455224000000015</v>
      </c>
      <c r="I14" s="289">
        <f t="shared" si="11"/>
        <v>25.346759580708031</v>
      </c>
      <c r="J14" s="289">
        <f t="shared" si="11"/>
        <v>19.683828248685458</v>
      </c>
      <c r="K14" s="289">
        <f t="shared" si="11"/>
        <v>30.67511710275123</v>
      </c>
      <c r="L14" s="289">
        <f t="shared" si="11"/>
        <v>40.306060381817247</v>
      </c>
      <c r="M14" s="289">
        <f t="shared" si="11"/>
        <v>53.587508634018391</v>
      </c>
      <c r="N14" s="289">
        <f t="shared" si="11"/>
        <v>61.397110753590511</v>
      </c>
      <c r="O14" s="289">
        <f t="shared" si="11"/>
        <v>58.226394611278167</v>
      </c>
      <c r="P14" s="289">
        <f t="shared" si="11"/>
        <v>74.11977810969907</v>
      </c>
      <c r="Q14" s="289">
        <f t="shared" si="11"/>
        <v>77.348904412301408</v>
      </c>
      <c r="R14" s="289">
        <f t="shared" si="11"/>
        <v>78.145829205729797</v>
      </c>
      <c r="S14" s="289">
        <f t="shared" si="11"/>
        <v>80.206004902998671</v>
      </c>
      <c r="T14" s="289">
        <f t="shared" si="11"/>
        <v>82.76150413017487</v>
      </c>
      <c r="U14" s="289">
        <f t="shared" si="11"/>
        <v>85.663260788297293</v>
      </c>
      <c r="V14" s="289">
        <f t="shared" si="11"/>
        <v>88.831981208482404</v>
      </c>
      <c r="W14" s="289">
        <f t="shared" si="11"/>
        <v>114.52730661078184</v>
      </c>
      <c r="X14" s="289">
        <f t="shared" si="11"/>
        <v>117.67170419642504</v>
      </c>
      <c r="Y14" s="289">
        <f t="shared" si="11"/>
        <v>120.90040550041212</v>
      </c>
      <c r="Z14" s="289">
        <f t="shared" si="11"/>
        <v>124.19742714123083</v>
      </c>
      <c r="AA14" s="289">
        <f t="shared" si="11"/>
        <v>127.51130339620487</v>
      </c>
      <c r="AB14" s="289">
        <f t="shared" si="11"/>
        <v>130.8723110685807</v>
      </c>
      <c r="AC14" s="289">
        <f t="shared" si="11"/>
        <v>134.2740921452652</v>
      </c>
      <c r="AD14" s="289">
        <f t="shared" si="11"/>
        <v>137.67049612090798</v>
      </c>
      <c r="AE14" s="289">
        <f t="shared" si="11"/>
        <v>141.05628569719181</v>
      </c>
      <c r="AF14" s="289">
        <f t="shared" si="11"/>
        <v>144.42770519174104</v>
      </c>
    </row>
    <row r="15" spans="1:33">
      <c r="A15" s="700"/>
      <c r="B15" s="281">
        <v>10</v>
      </c>
      <c r="C15" s="287" t="s">
        <v>291</v>
      </c>
      <c r="D15" s="298">
        <f>Cifras_Originales!F15</f>
        <v>-0.69</v>
      </c>
      <c r="E15" s="298">
        <f>Cifras_Originales!E15</f>
        <v>95</v>
      </c>
      <c r="F15" s="298">
        <f>Cifras_Originales!D15</f>
        <v>5.27</v>
      </c>
      <c r="G15" s="298">
        <f>Cifras_Originales!C15</f>
        <v>-1.6</v>
      </c>
      <c r="H15" s="308">
        <v>-3.698</v>
      </c>
      <c r="I15" s="308">
        <f>(-1*$D$52)*I14</f>
        <v>-1.7742731706495625</v>
      </c>
      <c r="J15" s="308">
        <f>(-1*$D$52)*J14</f>
        <v>-1.3778679774079823</v>
      </c>
      <c r="K15" s="308">
        <f>(-1*$D$52)*K14</f>
        <v>-2.1472581971925861</v>
      </c>
      <c r="L15" s="308">
        <f t="shared" ref="L15:AF15" si="12">(-1*$E$52)*L14</f>
        <v>-10.882636303090658</v>
      </c>
      <c r="M15" s="308">
        <f t="shared" si="12"/>
        <v>-14.468627331184967</v>
      </c>
      <c r="N15" s="308">
        <f t="shared" si="12"/>
        <v>-16.577219903469437</v>
      </c>
      <c r="O15" s="308">
        <f t="shared" si="12"/>
        <v>-15.721126545045106</v>
      </c>
      <c r="P15" s="308">
        <f t="shared" si="12"/>
        <v>-20.01234008961875</v>
      </c>
      <c r="Q15" s="308">
        <f t="shared" si="12"/>
        <v>-20.884204191321381</v>
      </c>
      <c r="R15" s="308">
        <f t="shared" si="12"/>
        <v>-21.099373885547045</v>
      </c>
      <c r="S15" s="308">
        <f t="shared" si="12"/>
        <v>-21.655621323809644</v>
      </c>
      <c r="T15" s="308">
        <f t="shared" si="12"/>
        <v>-22.345606115147216</v>
      </c>
      <c r="U15" s="308">
        <f t="shared" si="12"/>
        <v>-23.12908041284027</v>
      </c>
      <c r="V15" s="308">
        <f t="shared" si="12"/>
        <v>-23.984634926290251</v>
      </c>
      <c r="W15" s="308">
        <f t="shared" si="12"/>
        <v>-30.922372784911097</v>
      </c>
      <c r="X15" s="308">
        <f t="shared" si="12"/>
        <v>-31.771360133034761</v>
      </c>
      <c r="Y15" s="308">
        <f t="shared" si="12"/>
        <v>-32.643109485111275</v>
      </c>
      <c r="Z15" s="308">
        <f t="shared" si="12"/>
        <v>-33.533305328132329</v>
      </c>
      <c r="AA15" s="308">
        <f t="shared" si="12"/>
        <v>-34.428051916975313</v>
      </c>
      <c r="AB15" s="308">
        <f t="shared" si="12"/>
        <v>-35.33552398851679</v>
      </c>
      <c r="AC15" s="308">
        <f t="shared" si="12"/>
        <v>-36.254004879221604</v>
      </c>
      <c r="AD15" s="308">
        <f t="shared" si="12"/>
        <v>-37.171033952645161</v>
      </c>
      <c r="AE15" s="308">
        <f t="shared" si="12"/>
        <v>-38.085197138241789</v>
      </c>
      <c r="AF15" s="308">
        <f t="shared" si="12"/>
        <v>-38.995480401770081</v>
      </c>
    </row>
    <row r="16" spans="1:33">
      <c r="A16" s="700"/>
      <c r="B16" s="281">
        <v>11</v>
      </c>
      <c r="C16" s="295" t="s">
        <v>292</v>
      </c>
      <c r="D16" s="296">
        <f>D14+D15</f>
        <v>-55.04</v>
      </c>
      <c r="E16" s="296">
        <f>E14+E15</f>
        <v>-162.10000000000002</v>
      </c>
      <c r="F16" s="296">
        <f>F14+F15</f>
        <v>-94.030000000000015</v>
      </c>
      <c r="G16" s="296">
        <f t="shared" ref="G16:AF16" si="13">G14+G15</f>
        <v>-151.00899999999999</v>
      </c>
      <c r="H16" s="289">
        <f t="shared" si="13"/>
        <v>22.757224000000015</v>
      </c>
      <c r="I16" s="289">
        <f t="shared" si="13"/>
        <v>23.57248641005847</v>
      </c>
      <c r="J16" s="289">
        <f t="shared" si="13"/>
        <v>18.305960271277478</v>
      </c>
      <c r="K16" s="289">
        <f t="shared" si="13"/>
        <v>28.527858905558645</v>
      </c>
      <c r="L16" s="289">
        <f t="shared" si="13"/>
        <v>29.42342407872659</v>
      </c>
      <c r="M16" s="289">
        <f t="shared" si="13"/>
        <v>39.118881302833422</v>
      </c>
      <c r="N16" s="289">
        <f t="shared" si="13"/>
        <v>44.81989085012107</v>
      </c>
      <c r="O16" s="289">
        <f t="shared" si="13"/>
        <v>42.505268066233057</v>
      </c>
      <c r="P16" s="289">
        <f t="shared" si="13"/>
        <v>54.107438020080323</v>
      </c>
      <c r="Q16" s="289">
        <f t="shared" si="13"/>
        <v>56.464700220980028</v>
      </c>
      <c r="R16" s="289">
        <f t="shared" si="13"/>
        <v>57.046455320182751</v>
      </c>
      <c r="S16" s="289">
        <f t="shared" si="13"/>
        <v>58.550383579189031</v>
      </c>
      <c r="T16" s="289">
        <f t="shared" si="13"/>
        <v>60.415898015027651</v>
      </c>
      <c r="U16" s="289">
        <f t="shared" si="13"/>
        <v>62.534180375457026</v>
      </c>
      <c r="V16" s="289">
        <f t="shared" si="13"/>
        <v>64.847346282192149</v>
      </c>
      <c r="W16" s="289">
        <f t="shared" si="13"/>
        <v>83.604933825870745</v>
      </c>
      <c r="X16" s="289">
        <f t="shared" si="13"/>
        <v>85.900344063390278</v>
      </c>
      <c r="Y16" s="289">
        <f t="shared" si="13"/>
        <v>88.257296015300852</v>
      </c>
      <c r="Z16" s="289">
        <f t="shared" si="13"/>
        <v>90.664121813098504</v>
      </c>
      <c r="AA16" s="289">
        <f t="shared" si="13"/>
        <v>93.083251479229546</v>
      </c>
      <c r="AB16" s="289">
        <f t="shared" si="13"/>
        <v>95.536787080063903</v>
      </c>
      <c r="AC16" s="289">
        <f t="shared" si="13"/>
        <v>98.020087266043589</v>
      </c>
      <c r="AD16" s="289">
        <f t="shared" si="13"/>
        <v>100.49946216826282</v>
      </c>
      <c r="AE16" s="289">
        <f t="shared" si="13"/>
        <v>102.97108855895002</v>
      </c>
      <c r="AF16" s="289">
        <f t="shared" si="13"/>
        <v>105.43222478997096</v>
      </c>
    </row>
    <row r="17" spans="1:33">
      <c r="C17" s="299"/>
      <c r="D17" s="300"/>
      <c r="E17" s="300"/>
      <c r="F17" s="300"/>
      <c r="G17" s="300"/>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row>
    <row r="18" spans="1:33">
      <c r="A18" s="693" t="s">
        <v>293</v>
      </c>
      <c r="B18" s="281">
        <v>12</v>
      </c>
      <c r="C18" s="287" t="s">
        <v>294</v>
      </c>
      <c r="D18" s="296">
        <v>-12</v>
      </c>
      <c r="E18" s="296">
        <v>126.6</v>
      </c>
      <c r="F18" s="296">
        <v>192.5</v>
      </c>
      <c r="G18" s="296">
        <v>214.37</v>
      </c>
      <c r="H18" s="297">
        <f t="shared" ref="H18:AF18" si="14">H11+H12+H13+H15</f>
        <v>-256.00678349999998</v>
      </c>
      <c r="I18" s="297">
        <f t="shared" si="14"/>
        <v>-167.0118188399415</v>
      </c>
      <c r="J18" s="297">
        <f t="shared" si="14"/>
        <v>-110.74938298668751</v>
      </c>
      <c r="K18" s="297">
        <f t="shared" si="14"/>
        <v>-57.796893953413687</v>
      </c>
      <c r="L18" s="297">
        <f t="shared" si="14"/>
        <v>-26.800390806062971</v>
      </c>
      <c r="M18" s="297">
        <f t="shared" si="14"/>
        <v>3.8546993805111445</v>
      </c>
      <c r="N18" s="297">
        <f t="shared" si="14"/>
        <v>24.372226665959875</v>
      </c>
      <c r="O18" s="297">
        <f t="shared" si="14"/>
        <v>32.548975730166276</v>
      </c>
      <c r="P18" s="297">
        <f t="shared" si="14"/>
        <v>51.600396540539023</v>
      </c>
      <c r="Q18" s="297">
        <f t="shared" si="14"/>
        <v>59.405825231101851</v>
      </c>
      <c r="R18" s="297">
        <f t="shared" si="14"/>
        <v>64.041527425766162</v>
      </c>
      <c r="S18" s="297">
        <f t="shared" si="14"/>
        <v>68.603516868837119</v>
      </c>
      <c r="T18" s="297">
        <f t="shared" si="14"/>
        <v>72.813675768560827</v>
      </c>
      <c r="U18" s="297">
        <f t="shared" si="14"/>
        <v>76.75928013264587</v>
      </c>
      <c r="V18" s="297">
        <f t="shared" si="14"/>
        <v>80.517971101831421</v>
      </c>
      <c r="W18" s="297">
        <f t="shared" si="14"/>
        <v>100.45881783891352</v>
      </c>
      <c r="X18" s="297">
        <f t="shared" si="14"/>
        <v>103.7436732479656</v>
      </c>
      <c r="Y18" s="297">
        <f t="shared" si="14"/>
        <v>106.94355841189412</v>
      </c>
      <c r="Z18" s="297">
        <f t="shared" si="14"/>
        <v>110.07927810039273</v>
      </c>
      <c r="AA18" s="297">
        <f t="shared" si="14"/>
        <v>113.13532894220802</v>
      </c>
      <c r="AB18" s="297">
        <f t="shared" si="14"/>
        <v>116.16393872725882</v>
      </c>
      <c r="AC18" s="297">
        <f t="shared" si="14"/>
        <v>119.18160479065219</v>
      </c>
      <c r="AD18" s="297">
        <f t="shared" si="14"/>
        <v>122.16948603449242</v>
      </c>
      <c r="AE18" s="297">
        <f t="shared" si="14"/>
        <v>125.13420609629443</v>
      </c>
      <c r="AF18" s="297">
        <f t="shared" si="14"/>
        <v>128.08038991371541</v>
      </c>
    </row>
    <row r="19" spans="1:33">
      <c r="A19" s="694"/>
      <c r="B19" s="281">
        <v>13</v>
      </c>
      <c r="C19" s="302" t="s">
        <v>295</v>
      </c>
      <c r="D19" s="303">
        <v>-28.5</v>
      </c>
      <c r="E19" s="303">
        <v>-40.700000000000003</v>
      </c>
      <c r="F19" s="303">
        <v>-64.12</v>
      </c>
      <c r="G19" s="303">
        <v>-72.617000000000004</v>
      </c>
      <c r="H19" s="304">
        <v>-76.519000000000005</v>
      </c>
      <c r="I19" s="304">
        <f t="shared" ref="I19:AF19" si="15">$D$55*I10</f>
        <v>-9.1194921852753694</v>
      </c>
      <c r="J19" s="304">
        <f t="shared" si="15"/>
        <v>-9.9402464819501528</v>
      </c>
      <c r="K19" s="304">
        <f t="shared" si="15"/>
        <v>-10.636063735686665</v>
      </c>
      <c r="L19" s="304">
        <f t="shared" si="15"/>
        <v>-11.22104724114943</v>
      </c>
      <c r="M19" s="304">
        <f t="shared" si="15"/>
        <v>-11.838204839412647</v>
      </c>
      <c r="N19" s="304">
        <f t="shared" si="15"/>
        <v>-12.489306105580342</v>
      </c>
      <c r="O19" s="304">
        <f t="shared" si="15"/>
        <v>-13.113771410859361</v>
      </c>
      <c r="P19" s="304">
        <f t="shared" si="15"/>
        <v>-13.76945998140233</v>
      </c>
      <c r="Q19" s="304">
        <f t="shared" si="15"/>
        <v>-14.457932980472448</v>
      </c>
      <c r="R19" s="304">
        <f t="shared" si="15"/>
        <v>-14.891670969886619</v>
      </c>
      <c r="S19" s="304">
        <f t="shared" si="15"/>
        <v>-15.338421098983218</v>
      </c>
      <c r="T19" s="304">
        <f t="shared" si="15"/>
        <v>-15.798573731952716</v>
      </c>
      <c r="U19" s="304">
        <f t="shared" si="15"/>
        <v>-16.272530943911299</v>
      </c>
      <c r="V19" s="304">
        <f t="shared" si="15"/>
        <v>-16.760706872228639</v>
      </c>
      <c r="W19" s="304">
        <f t="shared" si="15"/>
        <v>-17.095921009673212</v>
      </c>
      <c r="X19" s="304">
        <f t="shared" si="15"/>
        <v>-17.437839429866678</v>
      </c>
      <c r="Y19" s="304">
        <f t="shared" si="15"/>
        <v>-17.786596218464013</v>
      </c>
      <c r="Z19" s="304">
        <f t="shared" si="15"/>
        <v>-18.142328142833289</v>
      </c>
      <c r="AA19" s="304">
        <f t="shared" si="15"/>
        <v>-18.505174705689956</v>
      </c>
      <c r="AB19" s="304">
        <f t="shared" si="15"/>
        <v>-18.875278199803756</v>
      </c>
      <c r="AC19" s="304">
        <f t="shared" si="15"/>
        <v>-19.252783763799833</v>
      </c>
      <c r="AD19" s="304">
        <f t="shared" si="15"/>
        <v>-19.63783943907583</v>
      </c>
      <c r="AE19" s="304">
        <f t="shared" si="15"/>
        <v>-20.030596227857348</v>
      </c>
      <c r="AF19" s="304">
        <f t="shared" si="15"/>
        <v>-20.431208152414499</v>
      </c>
    </row>
    <row r="20" spans="1:33">
      <c r="A20" s="694"/>
      <c r="B20" s="281">
        <v>14</v>
      </c>
      <c r="C20" s="302" t="s">
        <v>296</v>
      </c>
      <c r="D20" s="432">
        <f>Cifras_Originales!F12</f>
        <v>-10.534000000000001</v>
      </c>
      <c r="E20" s="432">
        <f>Cifras_Originales!E12</f>
        <v>48.877000000000002</v>
      </c>
      <c r="F20" s="433">
        <f>Cifras_Originales!D12</f>
        <v>43.344999999999999</v>
      </c>
      <c r="G20" s="432">
        <f>Cifras_Originales!C12</f>
        <v>80.325999999999993</v>
      </c>
      <c r="H20" s="465">
        <f>Cifras_Originales!C74</f>
        <v>70.673000000000002</v>
      </c>
      <c r="I20" s="297">
        <f>$D$56*(I6-H6)</f>
        <v>60.569478000000117</v>
      </c>
      <c r="J20" s="297">
        <f>$D$56*0.83*(J6-I6)</f>
        <v>54.797206746600068</v>
      </c>
      <c r="K20" s="297">
        <f>$D$56*0.66*(K6-J6)</f>
        <v>36.940799696724071</v>
      </c>
      <c r="L20" s="297">
        <f>$E$56*(L6-K6)</f>
        <v>23.527771235413468</v>
      </c>
      <c r="M20" s="297">
        <f t="shared" ref="M20:AF20" si="16">$E$56*(M6-L6)</f>
        <v>24.821798653361213</v>
      </c>
      <c r="N20" s="297">
        <f t="shared" si="16"/>
        <v>26.186997579296076</v>
      </c>
      <c r="O20" s="297">
        <f t="shared" si="16"/>
        <v>25.11571131468861</v>
      </c>
      <c r="P20" s="297">
        <f t="shared" si="16"/>
        <v>26.371496880423024</v>
      </c>
      <c r="Q20" s="297">
        <f t="shared" si="16"/>
        <v>27.690071724444124</v>
      </c>
      <c r="R20" s="297">
        <f t="shared" si="16"/>
        <v>17.444745186399814</v>
      </c>
      <c r="S20" s="297">
        <f t="shared" si="16"/>
        <v>17.968087541991849</v>
      </c>
      <c r="T20" s="297">
        <f t="shared" si="16"/>
        <v>18.507130168251592</v>
      </c>
      <c r="U20" s="297">
        <f t="shared" si="16"/>
        <v>19.062344073299073</v>
      </c>
      <c r="V20" s="297">
        <f t="shared" si="16"/>
        <v>19.634214395498134</v>
      </c>
      <c r="W20" s="297">
        <f t="shared" si="16"/>
        <v>13.482160551575362</v>
      </c>
      <c r="X20" s="297">
        <f t="shared" si="16"/>
        <v>13.751803762606869</v>
      </c>
      <c r="Y20" s="297">
        <f t="shared" si="16"/>
        <v>14.026839837859029</v>
      </c>
      <c r="Z20" s="297">
        <f t="shared" si="16"/>
        <v>14.307376634616162</v>
      </c>
      <c r="AA20" s="297">
        <f t="shared" si="16"/>
        <v>14.593524167308487</v>
      </c>
      <c r="AB20" s="297">
        <f t="shared" si="16"/>
        <v>14.885394650654689</v>
      </c>
      <c r="AC20" s="297">
        <f t="shared" si="16"/>
        <v>15.183102543667815</v>
      </c>
      <c r="AD20" s="297">
        <f t="shared" si="16"/>
        <v>15.486764594541114</v>
      </c>
      <c r="AE20" s="297">
        <f t="shared" si="16"/>
        <v>15.796499886432002</v>
      </c>
      <c r="AF20" s="297">
        <f t="shared" si="16"/>
        <v>16.112429884160633</v>
      </c>
    </row>
    <row r="21" spans="1:33">
      <c r="A21" s="694"/>
      <c r="B21" s="281">
        <v>15</v>
      </c>
      <c r="C21" s="306" t="s">
        <v>297</v>
      </c>
      <c r="D21" s="307">
        <f>D18+D19+D20</f>
        <v>-51.033999999999999</v>
      </c>
      <c r="E21" s="307">
        <f>E18+E19+E20</f>
        <v>134.77699999999999</v>
      </c>
      <c r="F21" s="307">
        <f>F18+F19+F20</f>
        <v>171.72499999999999</v>
      </c>
      <c r="G21" s="307">
        <f t="shared" ref="G21:AF21" si="17">G18+G19+G20</f>
        <v>222.07899999999998</v>
      </c>
      <c r="H21" s="307">
        <f t="shared" si="17"/>
        <v>-261.85278349999999</v>
      </c>
      <c r="I21" s="307">
        <f t="shared" si="17"/>
        <v>-115.56183302521674</v>
      </c>
      <c r="J21" s="307">
        <f t="shared" si="17"/>
        <v>-65.892422722037594</v>
      </c>
      <c r="K21" s="307">
        <f t="shared" si="17"/>
        <v>-31.492157992376278</v>
      </c>
      <c r="L21" s="307">
        <f t="shared" si="17"/>
        <v>-14.493666811798931</v>
      </c>
      <c r="M21" s="307">
        <f t="shared" si="17"/>
        <v>16.838293194459709</v>
      </c>
      <c r="N21" s="307">
        <f t="shared" si="17"/>
        <v>38.069918139675607</v>
      </c>
      <c r="O21" s="307">
        <f t="shared" si="17"/>
        <v>44.55091563399553</v>
      </c>
      <c r="P21" s="307">
        <f t="shared" si="17"/>
        <v>64.202433439559712</v>
      </c>
      <c r="Q21" s="307">
        <f t="shared" si="17"/>
        <v>72.637963975073518</v>
      </c>
      <c r="R21" s="307">
        <f t="shared" si="17"/>
        <v>66.594601642279358</v>
      </c>
      <c r="S21" s="307">
        <f t="shared" si="17"/>
        <v>71.23318331184575</v>
      </c>
      <c r="T21" s="307">
        <f t="shared" si="17"/>
        <v>75.522232204859705</v>
      </c>
      <c r="U21" s="307">
        <f t="shared" si="17"/>
        <v>79.549093262033637</v>
      </c>
      <c r="V21" s="307">
        <f t="shared" si="17"/>
        <v>83.391478625100916</v>
      </c>
      <c r="W21" s="307">
        <f t="shared" si="17"/>
        <v>96.845057380815661</v>
      </c>
      <c r="X21" s="307">
        <f t="shared" si="17"/>
        <v>100.0576375807058</v>
      </c>
      <c r="Y21" s="307">
        <f t="shared" si="17"/>
        <v>103.18380203128913</v>
      </c>
      <c r="Z21" s="307">
        <f t="shared" si="17"/>
        <v>106.2443265921756</v>
      </c>
      <c r="AA21" s="307">
        <f t="shared" si="17"/>
        <v>109.22367840382655</v>
      </c>
      <c r="AB21" s="307">
        <f t="shared" si="17"/>
        <v>112.17405517810975</v>
      </c>
      <c r="AC21" s="307">
        <f t="shared" si="17"/>
        <v>115.11192357052016</v>
      </c>
      <c r="AD21" s="307">
        <f t="shared" si="17"/>
        <v>118.0184111899577</v>
      </c>
      <c r="AE21" s="307">
        <f t="shared" si="17"/>
        <v>120.90010975486909</v>
      </c>
      <c r="AF21" s="307">
        <f t="shared" si="17"/>
        <v>123.76161164546154</v>
      </c>
    </row>
    <row r="22" spans="1:33">
      <c r="A22" s="694"/>
      <c r="B22" s="281">
        <v>16</v>
      </c>
      <c r="C22" s="302" t="s">
        <v>298</v>
      </c>
      <c r="D22" s="305">
        <f>Cifras_Originales!F13-21</f>
        <v>-35.299999999999997</v>
      </c>
      <c r="E22" s="305">
        <f>Cifras_Originales!E13-691</f>
        <v>-708.7</v>
      </c>
      <c r="F22" s="305">
        <f>Cifras_Originales!D13-65</f>
        <v>-95.8</v>
      </c>
      <c r="G22" s="305">
        <f>Cifras_Originales!C13-37</f>
        <v>-63.7</v>
      </c>
      <c r="H22" s="308">
        <v>-80</v>
      </c>
      <c r="I22" s="308">
        <f t="shared" ref="I22:K22" si="18">-$D$57*I6</f>
        <v>-66.020731020000014</v>
      </c>
      <c r="J22" s="308">
        <f t="shared" si="18"/>
        <v>-71.962596811800026</v>
      </c>
      <c r="K22" s="308">
        <f t="shared" si="18"/>
        <v>-76.999978588626036</v>
      </c>
      <c r="L22" s="308">
        <f>-$E$57*L6</f>
        <v>-72.208868809778195</v>
      </c>
      <c r="M22" s="308">
        <f t="shared" ref="M22:AF22" si="19">-$E$57*M6</f>
        <v>-76.180356594315981</v>
      </c>
      <c r="N22" s="308">
        <f t="shared" si="19"/>
        <v>-80.370276207003357</v>
      </c>
      <c r="O22" s="308">
        <f t="shared" si="19"/>
        <v>-84.388790017353529</v>
      </c>
      <c r="P22" s="308">
        <f t="shared" si="19"/>
        <v>-88.608229518221222</v>
      </c>
      <c r="Q22" s="308">
        <f t="shared" si="19"/>
        <v>-93.03864099413228</v>
      </c>
      <c r="R22" s="308">
        <f t="shared" si="19"/>
        <v>-95.829800223956241</v>
      </c>
      <c r="S22" s="308">
        <f t="shared" si="19"/>
        <v>-98.704694230674946</v>
      </c>
      <c r="T22" s="308">
        <f t="shared" si="19"/>
        <v>-101.6658350575952</v>
      </c>
      <c r="U22" s="308">
        <f t="shared" si="19"/>
        <v>-104.71581010932304</v>
      </c>
      <c r="V22" s="308">
        <f t="shared" si="19"/>
        <v>-107.85728441260275</v>
      </c>
      <c r="W22" s="308">
        <f t="shared" si="19"/>
        <v>-110.01443010085481</v>
      </c>
      <c r="X22" s="308">
        <f t="shared" si="19"/>
        <v>-112.21471870287191</v>
      </c>
      <c r="Y22" s="308">
        <f t="shared" si="19"/>
        <v>-114.45901307692935</v>
      </c>
      <c r="Z22" s="308">
        <f t="shared" si="19"/>
        <v>-116.74819333846794</v>
      </c>
      <c r="AA22" s="308">
        <f t="shared" si="19"/>
        <v>-119.0831572052373</v>
      </c>
      <c r="AB22" s="308">
        <f t="shared" si="19"/>
        <v>-121.46482034934205</v>
      </c>
      <c r="AC22" s="308">
        <f t="shared" si="19"/>
        <v>-123.8941167563289</v>
      </c>
      <c r="AD22" s="308">
        <f t="shared" si="19"/>
        <v>-126.37199909145548</v>
      </c>
      <c r="AE22" s="308">
        <f t="shared" si="19"/>
        <v>-128.89943907328458</v>
      </c>
      <c r="AF22" s="308">
        <f t="shared" si="19"/>
        <v>-131.47742785475029</v>
      </c>
    </row>
    <row r="23" spans="1:33">
      <c r="A23" s="694"/>
      <c r="B23" s="281">
        <v>17</v>
      </c>
      <c r="C23" s="302" t="s">
        <v>299</v>
      </c>
      <c r="D23" s="313">
        <f>D24-D22</f>
        <v>67.3</v>
      </c>
      <c r="E23" s="313">
        <f t="shared" ref="E23:G23" si="20">E24-E22</f>
        <v>17.700000000000045</v>
      </c>
      <c r="F23" s="313">
        <f t="shared" si="20"/>
        <v>30.799999999999997</v>
      </c>
      <c r="G23" s="313">
        <f t="shared" si="20"/>
        <v>26.300000000000004</v>
      </c>
      <c r="H23" s="289">
        <f>AVERAGE(D23,E23,F23,G23)*(1+H5)</f>
        <v>38.580150000000017</v>
      </c>
      <c r="I23" s="289">
        <f t="shared" ref="I23:AF23" si="21">AVERAGE(E23,F23,G23,H23)*(1+I5)</f>
        <v>30.896090875000016</v>
      </c>
      <c r="J23" s="289">
        <f t="shared" si="21"/>
        <v>34.492025638437511</v>
      </c>
      <c r="K23" s="289">
        <f t="shared" si="21"/>
        <v>34.846761292344546</v>
      </c>
      <c r="L23" s="289">
        <f t="shared" si="21"/>
        <v>36.612463583775025</v>
      </c>
      <c r="M23" s="289">
        <f t="shared" si="21"/>
        <v>36.093486291495687</v>
      </c>
      <c r="N23" s="289">
        <f t="shared" si="21"/>
        <v>37.464299332596411</v>
      </c>
      <c r="O23" s="289">
        <f t="shared" si="21"/>
        <v>38.066965256305558</v>
      </c>
      <c r="P23" s="289">
        <f t="shared" si="21"/>
        <v>38.912268796845325</v>
      </c>
      <c r="Q23" s="289">
        <f t="shared" si="21"/>
        <v>39.515967665276285</v>
      </c>
      <c r="R23" s="289">
        <f t="shared" si="21"/>
        <v>39.644571520638571</v>
      </c>
      <c r="S23" s="289">
        <f t="shared" si="21"/>
        <v>40.205991609059431</v>
      </c>
      <c r="T23" s="289">
        <f t="shared" si="21"/>
        <v>40.756790894893555</v>
      </c>
      <c r="U23" s="289">
        <f t="shared" si="21"/>
        <v>41.231755335140974</v>
      </c>
      <c r="V23" s="289">
        <f t="shared" si="21"/>
        <v>41.673570660131126</v>
      </c>
      <c r="W23" s="289">
        <f t="shared" si="21"/>
        <v>41.7863676673024</v>
      </c>
      <c r="X23" s="289">
        <f t="shared" si="21"/>
        <v>42.189363562154362</v>
      </c>
      <c r="Y23" s="289">
        <f t="shared" si="21"/>
        <v>42.554669592305864</v>
      </c>
      <c r="Z23" s="289">
        <f t="shared" si="21"/>
        <v>42.892012727882907</v>
      </c>
      <c r="AA23" s="289">
        <f t="shared" si="21"/>
        <v>43.202715455159606</v>
      </c>
      <c r="AB23" s="289">
        <f t="shared" si="21"/>
        <v>43.563884141063191</v>
      </c>
      <c r="AC23" s="289">
        <f t="shared" si="21"/>
        <v>43.914386888684952</v>
      </c>
      <c r="AD23" s="289">
        <f t="shared" si="21"/>
        <v>44.261114799261627</v>
      </c>
      <c r="AE23" s="289">
        <f t="shared" si="21"/>
        <v>44.610235827463192</v>
      </c>
      <c r="AF23" s="289">
        <f t="shared" si="21"/>
        <v>44.969153522400603</v>
      </c>
    </row>
    <row r="24" spans="1:33">
      <c r="A24" s="694"/>
      <c r="B24" s="281">
        <v>18</v>
      </c>
      <c r="C24" s="306" t="s">
        <v>300</v>
      </c>
      <c r="D24" s="309">
        <v>32</v>
      </c>
      <c r="E24" s="309">
        <v>-691</v>
      </c>
      <c r="F24" s="309">
        <v>-65</v>
      </c>
      <c r="G24" s="309">
        <v>-37.4</v>
      </c>
      <c r="H24" s="309">
        <f t="shared" ref="H24:AF24" si="22">H22+H23</f>
        <v>-41.419849999999983</v>
      </c>
      <c r="I24" s="309">
        <f t="shared" si="22"/>
        <v>-35.124640145000001</v>
      </c>
      <c r="J24" s="309">
        <f t="shared" si="22"/>
        <v>-37.470571173362515</v>
      </c>
      <c r="K24" s="309">
        <f t="shared" si="22"/>
        <v>-42.15321729628149</v>
      </c>
      <c r="L24" s="309">
        <f t="shared" si="22"/>
        <v>-35.596405226003171</v>
      </c>
      <c r="M24" s="309">
        <f t="shared" si="22"/>
        <v>-40.086870302820294</v>
      </c>
      <c r="N24" s="309">
        <f t="shared" si="22"/>
        <v>-42.905976874406946</v>
      </c>
      <c r="O24" s="309">
        <f t="shared" si="22"/>
        <v>-46.321824761047971</v>
      </c>
      <c r="P24" s="309">
        <f t="shared" si="22"/>
        <v>-49.695960721375897</v>
      </c>
      <c r="Q24" s="309">
        <f t="shared" si="22"/>
        <v>-53.522673328855994</v>
      </c>
      <c r="R24" s="309">
        <f t="shared" si="22"/>
        <v>-56.185228703317669</v>
      </c>
      <c r="S24" s="309">
        <f t="shared" si="22"/>
        <v>-58.498702621615514</v>
      </c>
      <c r="T24" s="309">
        <f t="shared" si="22"/>
        <v>-60.909044162701647</v>
      </c>
      <c r="U24" s="309">
        <f t="shared" si="22"/>
        <v>-63.48405477418207</v>
      </c>
      <c r="V24" s="309">
        <f t="shared" si="22"/>
        <v>-66.183713752471618</v>
      </c>
      <c r="W24" s="309">
        <f t="shared" si="22"/>
        <v>-68.22806243355241</v>
      </c>
      <c r="X24" s="309">
        <f t="shared" si="22"/>
        <v>-70.025355140717551</v>
      </c>
      <c r="Y24" s="309">
        <f t="shared" si="22"/>
        <v>-71.904343484623496</v>
      </c>
      <c r="Z24" s="309">
        <f t="shared" si="22"/>
        <v>-73.856180610585028</v>
      </c>
      <c r="AA24" s="309">
        <f t="shared" si="22"/>
        <v>-75.880441750077694</v>
      </c>
      <c r="AB24" s="309">
        <f t="shared" si="22"/>
        <v>-77.900936208278864</v>
      </c>
      <c r="AC24" s="309">
        <f t="shared" si="22"/>
        <v>-79.979729867643954</v>
      </c>
      <c r="AD24" s="309">
        <f t="shared" si="22"/>
        <v>-82.110884292193845</v>
      </c>
      <c r="AE24" s="309">
        <f t="shared" si="22"/>
        <v>-84.289203245821398</v>
      </c>
      <c r="AF24" s="309">
        <f t="shared" si="22"/>
        <v>-86.508274332349686</v>
      </c>
    </row>
    <row r="25" spans="1:33" s="286" customFormat="1">
      <c r="A25" s="694"/>
      <c r="B25" s="281">
        <v>19</v>
      </c>
      <c r="C25" s="302" t="s">
        <v>301</v>
      </c>
      <c r="D25" s="310">
        <v>0</v>
      </c>
      <c r="E25" s="310">
        <v>0</v>
      </c>
      <c r="F25" s="310">
        <v>0</v>
      </c>
      <c r="G25" s="310">
        <v>0</v>
      </c>
      <c r="H25" s="297">
        <v>0</v>
      </c>
      <c r="I25" s="297">
        <v>0</v>
      </c>
      <c r="J25" s="297">
        <v>0</v>
      </c>
      <c r="K25" s="297">
        <v>0</v>
      </c>
      <c r="L25" s="297">
        <v>0</v>
      </c>
      <c r="M25" s="297">
        <v>0</v>
      </c>
      <c r="N25" s="297">
        <v>0</v>
      </c>
      <c r="O25" s="297">
        <v>0</v>
      </c>
      <c r="P25" s="297">
        <v>0</v>
      </c>
      <c r="Q25" s="297">
        <v>0</v>
      </c>
      <c r="R25" s="297">
        <v>0</v>
      </c>
      <c r="S25" s="297">
        <v>0</v>
      </c>
      <c r="T25" s="297">
        <v>0</v>
      </c>
      <c r="U25" s="297">
        <v>0</v>
      </c>
      <c r="V25" s="297">
        <v>0</v>
      </c>
      <c r="W25" s="297">
        <v>0</v>
      </c>
      <c r="X25" s="297">
        <v>0</v>
      </c>
      <c r="Y25" s="297">
        <v>0</v>
      </c>
      <c r="Z25" s="297">
        <v>0</v>
      </c>
      <c r="AA25" s="297">
        <v>0</v>
      </c>
      <c r="AB25" s="297">
        <v>0</v>
      </c>
      <c r="AC25" s="297">
        <v>0</v>
      </c>
      <c r="AD25" s="297">
        <v>0</v>
      </c>
      <c r="AE25" s="297">
        <v>0</v>
      </c>
      <c r="AF25" s="297">
        <v>0</v>
      </c>
      <c r="AG25" s="311"/>
    </row>
    <row r="26" spans="1:33">
      <c r="A26" s="694"/>
      <c r="B26" s="281">
        <v>20</v>
      </c>
      <c r="C26" s="312" t="s">
        <v>302</v>
      </c>
      <c r="D26" s="305">
        <v>0</v>
      </c>
      <c r="E26" s="313">
        <v>749</v>
      </c>
      <c r="F26" s="313">
        <v>-3.6</v>
      </c>
      <c r="G26" s="313">
        <v>-3.6</v>
      </c>
      <c r="H26" s="314">
        <f t="shared" ref="H26:AF26" si="23">(H37-G37)</f>
        <v>52.693804019999789</v>
      </c>
      <c r="I26" s="314">
        <f t="shared" si="23"/>
        <v>333.80262124694889</v>
      </c>
      <c r="J26" s="314">
        <f t="shared" si="23"/>
        <v>2.7411121614405829</v>
      </c>
      <c r="K26" s="314">
        <f t="shared" si="23"/>
        <v>56.228045556444954</v>
      </c>
      <c r="L26" s="314">
        <f t="shared" si="23"/>
        <v>23.614283935367666</v>
      </c>
      <c r="M26" s="314">
        <f t="shared" si="23"/>
        <v>0</v>
      </c>
      <c r="N26" s="314">
        <f t="shared" si="23"/>
        <v>226.7261701194991</v>
      </c>
      <c r="O26" s="314">
        <f t="shared" si="23"/>
        <v>-190.42086994116789</v>
      </c>
      <c r="P26" s="314">
        <f t="shared" si="23"/>
        <v>115.20524940489304</v>
      </c>
      <c r="Q26" s="314">
        <f t="shared" si="23"/>
        <v>103.1639100524726</v>
      </c>
      <c r="R26" s="314">
        <f t="shared" si="23"/>
        <v>69.655279885361551</v>
      </c>
      <c r="S26" s="314">
        <f t="shared" si="23"/>
        <v>63.363655849966563</v>
      </c>
      <c r="T26" s="314">
        <f t="shared" si="23"/>
        <v>59.225876357704465</v>
      </c>
      <c r="U26" s="314">
        <f t="shared" si="23"/>
        <v>56.595189192340513</v>
      </c>
      <c r="V26" s="314">
        <f t="shared" si="23"/>
        <v>-489.73916237492472</v>
      </c>
      <c r="W26" s="314">
        <f t="shared" si="23"/>
        <v>26.139536794380547</v>
      </c>
      <c r="X26" s="314">
        <f t="shared" si="23"/>
        <v>25.574931501573019</v>
      </c>
      <c r="Y26" s="314">
        <f t="shared" si="23"/>
        <v>25.254925816878313</v>
      </c>
      <c r="Z26" s="314">
        <f t="shared" si="23"/>
        <v>25.105534405428898</v>
      </c>
      <c r="AA26" s="314">
        <f t="shared" si="23"/>
        <v>25.074892129384125</v>
      </c>
      <c r="AB26" s="314">
        <f t="shared" si="23"/>
        <v>25.203462897064128</v>
      </c>
      <c r="AC26" s="314">
        <f t="shared" si="23"/>
        <v>25.446483202570107</v>
      </c>
      <c r="AD26" s="314">
        <f t="shared" si="23"/>
        <v>25.772678599916844</v>
      </c>
      <c r="AE26" s="314">
        <f t="shared" si="23"/>
        <v>26.160218185221993</v>
      </c>
      <c r="AF26" s="314">
        <f t="shared" si="23"/>
        <v>26.59388275824108</v>
      </c>
    </row>
    <row r="27" spans="1:33">
      <c r="A27" s="694"/>
      <c r="B27" s="281">
        <v>21</v>
      </c>
      <c r="C27" s="302" t="s">
        <v>303</v>
      </c>
      <c r="D27" s="305">
        <v>0</v>
      </c>
      <c r="E27" s="305">
        <v>0</v>
      </c>
      <c r="F27" s="305">
        <v>0</v>
      </c>
      <c r="G27" s="305">
        <v>0</v>
      </c>
      <c r="H27" s="315">
        <f>-50*1%</f>
        <v>-0.5</v>
      </c>
      <c r="I27" s="315">
        <f>-5*3%</f>
        <v>-0.15</v>
      </c>
      <c r="J27" s="315">
        <f>-12*5%</f>
        <v>-0.60000000000000009</v>
      </c>
      <c r="K27" s="315">
        <f>-21*7%</f>
        <v>-1.4700000000000002</v>
      </c>
      <c r="L27" s="315">
        <f>-32*10.5%</f>
        <v>-3.36</v>
      </c>
      <c r="M27" s="315">
        <f t="shared" ref="M27" si="24">(M21+M24+M28)*-0.95</f>
        <v>22.086148252942554</v>
      </c>
      <c r="N27" s="315">
        <v>-10</v>
      </c>
      <c r="O27" s="315">
        <v>-11</v>
      </c>
      <c r="P27" s="315">
        <v>-13</v>
      </c>
      <c r="Q27" s="315">
        <v>-15</v>
      </c>
      <c r="R27" s="315">
        <v>-16</v>
      </c>
      <c r="S27" s="315">
        <v>-17</v>
      </c>
      <c r="T27" s="315">
        <v>-19</v>
      </c>
      <c r="U27" s="315">
        <v>-21</v>
      </c>
      <c r="V27" s="315">
        <v>-22</v>
      </c>
      <c r="W27" s="315">
        <v>-24</v>
      </c>
      <c r="X27" s="315">
        <v>-26</v>
      </c>
      <c r="Y27" s="315">
        <v>-28</v>
      </c>
      <c r="Z27" s="315">
        <v>-31</v>
      </c>
      <c r="AA27" s="315">
        <v>-33</v>
      </c>
      <c r="AB27" s="315">
        <v>-35</v>
      </c>
      <c r="AC27" s="315">
        <v>-38</v>
      </c>
      <c r="AD27" s="315">
        <v>-41</v>
      </c>
      <c r="AE27" s="315">
        <v>-44</v>
      </c>
      <c r="AF27" s="315">
        <v>-45</v>
      </c>
    </row>
    <row r="28" spans="1:33">
      <c r="A28" s="694"/>
      <c r="B28" s="281">
        <v>22</v>
      </c>
      <c r="C28" s="312" t="s">
        <v>304</v>
      </c>
      <c r="D28" s="305">
        <v>0</v>
      </c>
      <c r="E28" s="305">
        <v>0</v>
      </c>
      <c r="F28" s="305">
        <v>0</v>
      </c>
      <c r="G28" s="305">
        <v>0</v>
      </c>
      <c r="H28" s="308">
        <f t="shared" ref="H28:K28" si="25">(1+$D$58)*G28</f>
        <v>0</v>
      </c>
      <c r="I28" s="308">
        <f t="shared" si="25"/>
        <v>0</v>
      </c>
      <c r="J28" s="308">
        <f t="shared" si="25"/>
        <v>0</v>
      </c>
      <c r="K28" s="308">
        <f t="shared" si="25"/>
        <v>0</v>
      </c>
      <c r="L28" s="308">
        <f>(1+$E$58)*K28</f>
        <v>0</v>
      </c>
      <c r="M28" s="308">
        <f t="shared" ref="M28:AF28" si="26">(1+$E$58)*L28</f>
        <v>0</v>
      </c>
      <c r="N28" s="308">
        <f t="shared" si="26"/>
        <v>0</v>
      </c>
      <c r="O28" s="308">
        <f t="shared" si="26"/>
        <v>0</v>
      </c>
      <c r="P28" s="308">
        <f t="shared" si="26"/>
        <v>0</v>
      </c>
      <c r="Q28" s="308">
        <f t="shared" si="26"/>
        <v>0</v>
      </c>
      <c r="R28" s="308">
        <f t="shared" si="26"/>
        <v>0</v>
      </c>
      <c r="S28" s="308">
        <f t="shared" si="26"/>
        <v>0</v>
      </c>
      <c r="T28" s="308">
        <f t="shared" si="26"/>
        <v>0</v>
      </c>
      <c r="U28" s="308">
        <f t="shared" si="26"/>
        <v>0</v>
      </c>
      <c r="V28" s="308">
        <f t="shared" si="26"/>
        <v>0</v>
      </c>
      <c r="W28" s="308">
        <f t="shared" si="26"/>
        <v>0</v>
      </c>
      <c r="X28" s="308">
        <f t="shared" si="26"/>
        <v>0</v>
      </c>
      <c r="Y28" s="308">
        <f t="shared" si="26"/>
        <v>0</v>
      </c>
      <c r="Z28" s="308">
        <f t="shared" si="26"/>
        <v>0</v>
      </c>
      <c r="AA28" s="308">
        <f t="shared" si="26"/>
        <v>0</v>
      </c>
      <c r="AB28" s="308">
        <f t="shared" si="26"/>
        <v>0</v>
      </c>
      <c r="AC28" s="308">
        <f t="shared" si="26"/>
        <v>0</v>
      </c>
      <c r="AD28" s="308">
        <f t="shared" si="26"/>
        <v>0</v>
      </c>
      <c r="AE28" s="308">
        <f t="shared" si="26"/>
        <v>0</v>
      </c>
      <c r="AF28" s="308">
        <f t="shared" si="26"/>
        <v>0</v>
      </c>
    </row>
    <row r="29" spans="1:33">
      <c r="A29" s="694"/>
      <c r="B29" s="281">
        <v>23</v>
      </c>
      <c r="C29" s="302" t="s">
        <v>305</v>
      </c>
      <c r="D29" s="305">
        <f>7</f>
        <v>7</v>
      </c>
      <c r="E29" s="305">
        <f>E30-E26</f>
        <v>-71</v>
      </c>
      <c r="F29" s="305">
        <v>-26</v>
      </c>
      <c r="G29" s="305">
        <v>-174</v>
      </c>
      <c r="H29" s="297">
        <v>0</v>
      </c>
      <c r="I29" s="297">
        <v>0</v>
      </c>
      <c r="J29" s="297">
        <v>0</v>
      </c>
      <c r="K29" s="297">
        <v>0</v>
      </c>
      <c r="L29" s="297">
        <v>0</v>
      </c>
      <c r="M29" s="297">
        <v>0</v>
      </c>
      <c r="N29" s="297">
        <v>0</v>
      </c>
      <c r="O29" s="297">
        <v>0</v>
      </c>
      <c r="P29" s="297">
        <v>0</v>
      </c>
      <c r="Q29" s="297">
        <v>0</v>
      </c>
      <c r="R29" s="297">
        <v>0</v>
      </c>
      <c r="S29" s="297">
        <v>0</v>
      </c>
      <c r="T29" s="297">
        <v>0</v>
      </c>
      <c r="U29" s="297">
        <v>0</v>
      </c>
      <c r="V29" s="297">
        <v>0</v>
      </c>
      <c r="W29" s="297">
        <v>0</v>
      </c>
      <c r="X29" s="297">
        <v>0</v>
      </c>
      <c r="Y29" s="297">
        <v>0</v>
      </c>
      <c r="Z29" s="297">
        <v>0</v>
      </c>
      <c r="AA29" s="297">
        <v>0</v>
      </c>
      <c r="AB29" s="297">
        <v>0</v>
      </c>
      <c r="AC29" s="297">
        <v>0</v>
      </c>
      <c r="AD29" s="297">
        <v>0</v>
      </c>
      <c r="AE29" s="297">
        <v>0</v>
      </c>
      <c r="AF29" s="297">
        <v>0</v>
      </c>
    </row>
    <row r="30" spans="1:33">
      <c r="A30" s="695"/>
      <c r="B30" s="281">
        <v>24</v>
      </c>
      <c r="C30" s="306" t="s">
        <v>306</v>
      </c>
      <c r="D30" s="309">
        <v>7</v>
      </c>
      <c r="E30" s="309">
        <v>678</v>
      </c>
      <c r="F30" s="309">
        <v>-30.2</v>
      </c>
      <c r="G30" s="309">
        <v>-177.8</v>
      </c>
      <c r="H30" s="309">
        <f t="shared" ref="H30:AF30" si="27">SUM(H25:H29)</f>
        <v>52.193804019999789</v>
      </c>
      <c r="I30" s="309">
        <f t="shared" si="27"/>
        <v>333.65262124694891</v>
      </c>
      <c r="J30" s="309">
        <f t="shared" si="27"/>
        <v>2.1411121614405828</v>
      </c>
      <c r="K30" s="309">
        <f t="shared" si="27"/>
        <v>54.758045556444955</v>
      </c>
      <c r="L30" s="309">
        <f t="shared" si="27"/>
        <v>20.254283935367667</v>
      </c>
      <c r="M30" s="309">
        <f t="shared" si="27"/>
        <v>22.086148252942554</v>
      </c>
      <c r="N30" s="309">
        <f t="shared" si="27"/>
        <v>216.7261701194991</v>
      </c>
      <c r="O30" s="309">
        <f t="shared" si="27"/>
        <v>-201.42086994116789</v>
      </c>
      <c r="P30" s="309">
        <f t="shared" si="27"/>
        <v>102.20524940489304</v>
      </c>
      <c r="Q30" s="309">
        <f t="shared" si="27"/>
        <v>88.163910052472602</v>
      </c>
      <c r="R30" s="309">
        <f t="shared" si="27"/>
        <v>53.655279885361551</v>
      </c>
      <c r="S30" s="309">
        <f t="shared" si="27"/>
        <v>46.363655849966563</v>
      </c>
      <c r="T30" s="309">
        <f t="shared" si="27"/>
        <v>40.225876357704465</v>
      </c>
      <c r="U30" s="309">
        <f t="shared" si="27"/>
        <v>35.595189192340513</v>
      </c>
      <c r="V30" s="309">
        <f t="shared" si="27"/>
        <v>-511.73916237492472</v>
      </c>
      <c r="W30" s="309">
        <f t="shared" si="27"/>
        <v>2.1395367943805468</v>
      </c>
      <c r="X30" s="309">
        <f t="shared" si="27"/>
        <v>-0.42506849842698102</v>
      </c>
      <c r="Y30" s="309">
        <f t="shared" si="27"/>
        <v>-2.7450741831216874</v>
      </c>
      <c r="Z30" s="309">
        <f t="shared" si="27"/>
        <v>-5.894465594571102</v>
      </c>
      <c r="AA30" s="309">
        <f t="shared" si="27"/>
        <v>-7.9251078706158751</v>
      </c>
      <c r="AB30" s="309">
        <f t="shared" si="27"/>
        <v>-9.7965371029358721</v>
      </c>
      <c r="AC30" s="309">
        <f t="shared" si="27"/>
        <v>-12.553516797429893</v>
      </c>
      <c r="AD30" s="309">
        <f t="shared" si="27"/>
        <v>-15.227321400083156</v>
      </c>
      <c r="AE30" s="309">
        <f t="shared" si="27"/>
        <v>-17.839781814778007</v>
      </c>
      <c r="AF30" s="309">
        <f t="shared" si="27"/>
        <v>-18.40611724175892</v>
      </c>
    </row>
    <row r="31" spans="1:33">
      <c r="C31" s="299"/>
      <c r="D31" s="300"/>
      <c r="E31" s="300"/>
      <c r="F31" s="300"/>
      <c r="G31" s="300"/>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row>
    <row r="32" spans="1:33">
      <c r="A32" s="701" t="s">
        <v>307</v>
      </c>
      <c r="B32" s="281">
        <v>25</v>
      </c>
      <c r="C32" s="316" t="s">
        <v>308</v>
      </c>
      <c r="D32" s="317">
        <f>D21+D24+D25+D26+D29</f>
        <v>-12.033999999999999</v>
      </c>
      <c r="E32" s="317">
        <f>E21+E24+E25+E26+E29</f>
        <v>121.77700000000004</v>
      </c>
      <c r="F32" s="317">
        <f>F21+F24+F25+F26+F29</f>
        <v>77.125</v>
      </c>
      <c r="G32" s="317">
        <f>G21+G24+G25+G26+G29</f>
        <v>7.0789999999999793</v>
      </c>
      <c r="H32" s="318">
        <f t="shared" ref="H32:AF32" si="28">H21+H24+H25+H26+H29</f>
        <v>-250.57882948000019</v>
      </c>
      <c r="I32" s="318">
        <f>I21+I24+I25+I26+I29</f>
        <v>183.11614807673215</v>
      </c>
      <c r="J32" s="318">
        <f t="shared" si="28"/>
        <v>-100.62188173395953</v>
      </c>
      <c r="K32" s="318">
        <f t="shared" si="28"/>
        <v>-17.417329732212806</v>
      </c>
      <c r="L32" s="318">
        <f t="shared" si="28"/>
        <v>-26.475788102434436</v>
      </c>
      <c r="M32" s="318">
        <f t="shared" si="28"/>
        <v>-23.248577108360585</v>
      </c>
      <c r="N32" s="318">
        <f t="shared" si="28"/>
        <v>221.89011138476775</v>
      </c>
      <c r="O32" s="318">
        <f t="shared" si="28"/>
        <v>-192.19177906822034</v>
      </c>
      <c r="P32" s="318">
        <f t="shared" si="28"/>
        <v>129.71172212307687</v>
      </c>
      <c r="Q32" s="318">
        <f t="shared" si="28"/>
        <v>122.27920069869012</v>
      </c>
      <c r="R32" s="318">
        <f t="shared" si="28"/>
        <v>80.064652824323247</v>
      </c>
      <c r="S32" s="318">
        <f t="shared" si="28"/>
        <v>76.098136540196805</v>
      </c>
      <c r="T32" s="318">
        <f t="shared" si="28"/>
        <v>73.839064399862522</v>
      </c>
      <c r="U32" s="318">
        <f t="shared" si="28"/>
        <v>72.660227680192079</v>
      </c>
      <c r="V32" s="318">
        <f t="shared" si="28"/>
        <v>-472.53139750229542</v>
      </c>
      <c r="W32" s="318">
        <f t="shared" si="28"/>
        <v>54.756531741643798</v>
      </c>
      <c r="X32" s="318">
        <f t="shared" si="28"/>
        <v>55.60721394156127</v>
      </c>
      <c r="Y32" s="318">
        <f t="shared" si="28"/>
        <v>56.53438436354395</v>
      </c>
      <c r="Z32" s="318">
        <f t="shared" si="28"/>
        <v>57.493680387019467</v>
      </c>
      <c r="AA32" s="318">
        <f t="shared" si="28"/>
        <v>58.418128783132985</v>
      </c>
      <c r="AB32" s="318">
        <f t="shared" si="28"/>
        <v>59.476581866895017</v>
      </c>
      <c r="AC32" s="318">
        <f t="shared" si="28"/>
        <v>60.578676905446315</v>
      </c>
      <c r="AD32" s="318">
        <f t="shared" si="28"/>
        <v>61.680205497680703</v>
      </c>
      <c r="AE32" s="318">
        <f t="shared" si="28"/>
        <v>62.771124694269687</v>
      </c>
      <c r="AF32" s="318">
        <f t="shared" si="28"/>
        <v>63.847220071352936</v>
      </c>
    </row>
    <row r="33" spans="1:34">
      <c r="A33" s="702"/>
      <c r="B33" s="281">
        <v>26</v>
      </c>
      <c r="C33" s="316" t="s">
        <v>309</v>
      </c>
      <c r="D33" s="317">
        <f>-1*(D27+D28)</f>
        <v>0</v>
      </c>
      <c r="E33" s="317">
        <f>-1*(E27+E28)</f>
        <v>0</v>
      </c>
      <c r="F33" s="317">
        <f>-1*(F27+F28)</f>
        <v>0</v>
      </c>
      <c r="G33" s="317">
        <f t="shared" ref="G33:AE33" si="29">-1*(G27+G28)</f>
        <v>0</v>
      </c>
      <c r="H33" s="319">
        <f t="shared" si="29"/>
        <v>0.5</v>
      </c>
      <c r="I33" s="319">
        <f t="shared" si="29"/>
        <v>0.15</v>
      </c>
      <c r="J33" s="319">
        <f t="shared" si="29"/>
        <v>0.60000000000000009</v>
      </c>
      <c r="K33" s="319">
        <f t="shared" si="29"/>
        <v>1.4700000000000002</v>
      </c>
      <c r="L33" s="319">
        <f t="shared" si="29"/>
        <v>3.36</v>
      </c>
      <c r="M33" s="319">
        <f t="shared" si="29"/>
        <v>-22.086148252942554</v>
      </c>
      <c r="N33" s="319">
        <f t="shared" si="29"/>
        <v>10</v>
      </c>
      <c r="O33" s="319">
        <f t="shared" si="29"/>
        <v>11</v>
      </c>
      <c r="P33" s="319">
        <f t="shared" si="29"/>
        <v>13</v>
      </c>
      <c r="Q33" s="319">
        <f t="shared" si="29"/>
        <v>15</v>
      </c>
      <c r="R33" s="319">
        <f t="shared" si="29"/>
        <v>16</v>
      </c>
      <c r="S33" s="319">
        <f t="shared" si="29"/>
        <v>17</v>
      </c>
      <c r="T33" s="319">
        <f t="shared" si="29"/>
        <v>19</v>
      </c>
      <c r="U33" s="319">
        <f t="shared" si="29"/>
        <v>21</v>
      </c>
      <c r="V33" s="319">
        <f t="shared" si="29"/>
        <v>22</v>
      </c>
      <c r="W33" s="319">
        <f t="shared" si="29"/>
        <v>24</v>
      </c>
      <c r="X33" s="319">
        <f t="shared" si="29"/>
        <v>26</v>
      </c>
      <c r="Y33" s="319">
        <f t="shared" si="29"/>
        <v>28</v>
      </c>
      <c r="Z33" s="319">
        <f t="shared" si="29"/>
        <v>31</v>
      </c>
      <c r="AA33" s="319">
        <f t="shared" si="29"/>
        <v>33</v>
      </c>
      <c r="AB33" s="319">
        <f t="shared" si="29"/>
        <v>35</v>
      </c>
      <c r="AC33" s="319">
        <f t="shared" si="29"/>
        <v>38</v>
      </c>
      <c r="AD33" s="319">
        <f t="shared" si="29"/>
        <v>41</v>
      </c>
      <c r="AE33" s="319">
        <f t="shared" si="29"/>
        <v>44</v>
      </c>
      <c r="AF33" s="319">
        <f>-1*(AF27+AF28)</f>
        <v>45</v>
      </c>
    </row>
    <row r="34" spans="1:34">
      <c r="A34" s="703"/>
      <c r="B34" s="281">
        <v>27</v>
      </c>
      <c r="C34" s="316" t="s">
        <v>310</v>
      </c>
      <c r="D34" s="320">
        <f>D32-D33</f>
        <v>-12.033999999999999</v>
      </c>
      <c r="E34" s="303">
        <f>E32-E33</f>
        <v>121.77700000000004</v>
      </c>
      <c r="F34" s="303">
        <f>F32-F33</f>
        <v>77.125</v>
      </c>
      <c r="G34" s="303">
        <f>G32-G33</f>
        <v>7.0789999999999793</v>
      </c>
      <c r="H34" s="321">
        <f t="shared" ref="H34:AF34" si="30">H32-H33</f>
        <v>-251.07882948000019</v>
      </c>
      <c r="I34" s="321">
        <f t="shared" si="30"/>
        <v>182.96614807673214</v>
      </c>
      <c r="J34" s="321">
        <f t="shared" si="30"/>
        <v>-101.22188173395952</v>
      </c>
      <c r="K34" s="321">
        <f t="shared" si="30"/>
        <v>-18.887329732212805</v>
      </c>
      <c r="L34" s="321">
        <f t="shared" si="30"/>
        <v>-29.835788102434435</v>
      </c>
      <c r="M34" s="321">
        <f t="shared" si="30"/>
        <v>-1.1624288554180318</v>
      </c>
      <c r="N34" s="321">
        <f t="shared" si="30"/>
        <v>211.89011138476775</v>
      </c>
      <c r="O34" s="321">
        <f t="shared" si="30"/>
        <v>-203.19177906822034</v>
      </c>
      <c r="P34" s="321">
        <f t="shared" si="30"/>
        <v>116.71172212307687</v>
      </c>
      <c r="Q34" s="321">
        <f t="shared" si="30"/>
        <v>107.27920069869012</v>
      </c>
      <c r="R34" s="321">
        <f t="shared" si="30"/>
        <v>64.064652824323247</v>
      </c>
      <c r="S34" s="321">
        <f t="shared" si="30"/>
        <v>59.098136540196805</v>
      </c>
      <c r="T34" s="321">
        <f t="shared" si="30"/>
        <v>54.839064399862522</v>
      </c>
      <c r="U34" s="321">
        <f t="shared" si="30"/>
        <v>51.660227680192079</v>
      </c>
      <c r="V34" s="321">
        <f t="shared" si="30"/>
        <v>-494.53139750229542</v>
      </c>
      <c r="W34" s="321">
        <f t="shared" si="30"/>
        <v>30.756531741643798</v>
      </c>
      <c r="X34" s="321">
        <f t="shared" si="30"/>
        <v>29.60721394156127</v>
      </c>
      <c r="Y34" s="321">
        <f t="shared" si="30"/>
        <v>28.53438436354395</v>
      </c>
      <c r="Z34" s="321">
        <f t="shared" si="30"/>
        <v>26.493680387019467</v>
      </c>
      <c r="AA34" s="321">
        <f t="shared" si="30"/>
        <v>25.418128783132985</v>
      </c>
      <c r="AB34" s="321">
        <f t="shared" si="30"/>
        <v>24.476581866895017</v>
      </c>
      <c r="AC34" s="321">
        <f t="shared" si="30"/>
        <v>22.578676905446315</v>
      </c>
      <c r="AD34" s="321">
        <f t="shared" si="30"/>
        <v>20.680205497680703</v>
      </c>
      <c r="AE34" s="321">
        <f t="shared" si="30"/>
        <v>18.771124694269687</v>
      </c>
      <c r="AF34" s="321">
        <f t="shared" si="30"/>
        <v>18.847220071352936</v>
      </c>
    </row>
    <row r="36" spans="1:34">
      <c r="A36" s="704" t="s">
        <v>311</v>
      </c>
      <c r="B36" s="322">
        <v>28</v>
      </c>
      <c r="C36" s="316" t="s">
        <v>312</v>
      </c>
      <c r="D36" s="289">
        <v>56</v>
      </c>
      <c r="E36" s="289">
        <f t="shared" ref="E36" si="31">D36+E34</f>
        <v>177.77700000000004</v>
      </c>
      <c r="F36" s="289">
        <f t="shared" ref="F36" si="32">E36+F34</f>
        <v>254.90200000000004</v>
      </c>
      <c r="G36" s="289">
        <f>F36+G34</f>
        <v>261.98099999999999</v>
      </c>
      <c r="H36" s="289">
        <f>G36+H34</f>
        <v>10.9021705199998</v>
      </c>
      <c r="I36" s="289">
        <f t="shared" ref="I36:AF36" si="33">H36+I34</f>
        <v>193.86831859673194</v>
      </c>
      <c r="J36" s="289">
        <f t="shared" si="33"/>
        <v>92.646436862772418</v>
      </c>
      <c r="K36" s="289">
        <f t="shared" si="33"/>
        <v>73.759107130559613</v>
      </c>
      <c r="L36" s="289">
        <f t="shared" si="33"/>
        <v>43.923319028125178</v>
      </c>
      <c r="M36" s="289">
        <f t="shared" si="33"/>
        <v>42.76089017270715</v>
      </c>
      <c r="N36" s="289">
        <f t="shared" si="33"/>
        <v>254.6510015574749</v>
      </c>
      <c r="O36" s="289">
        <f t="shared" si="33"/>
        <v>51.459222489254557</v>
      </c>
      <c r="P36" s="289">
        <f t="shared" si="33"/>
        <v>168.17094461233143</v>
      </c>
      <c r="Q36" s="289">
        <f t="shared" si="33"/>
        <v>275.45014531102152</v>
      </c>
      <c r="R36" s="289">
        <f t="shared" si="33"/>
        <v>339.51479813534479</v>
      </c>
      <c r="S36" s="289">
        <f t="shared" si="33"/>
        <v>398.61293467554162</v>
      </c>
      <c r="T36" s="289">
        <f t="shared" si="33"/>
        <v>453.45199907540416</v>
      </c>
      <c r="U36" s="289">
        <f t="shared" si="33"/>
        <v>505.11222675559623</v>
      </c>
      <c r="V36" s="289">
        <f t="shared" si="33"/>
        <v>10.580829253300806</v>
      </c>
      <c r="W36" s="289">
        <f t="shared" si="33"/>
        <v>41.337360994944603</v>
      </c>
      <c r="X36" s="289">
        <f t="shared" si="33"/>
        <v>70.944574936505873</v>
      </c>
      <c r="Y36" s="289">
        <f t="shared" si="33"/>
        <v>99.478959300049823</v>
      </c>
      <c r="Z36" s="289">
        <f t="shared" si="33"/>
        <v>125.97263968706929</v>
      </c>
      <c r="AA36" s="289">
        <f t="shared" si="33"/>
        <v>151.39076847020226</v>
      </c>
      <c r="AB36" s="289">
        <f t="shared" si="33"/>
        <v>175.86735033709726</v>
      </c>
      <c r="AC36" s="289">
        <f t="shared" si="33"/>
        <v>198.44602724254358</v>
      </c>
      <c r="AD36" s="289">
        <f t="shared" si="33"/>
        <v>219.12623274022428</v>
      </c>
      <c r="AE36" s="289">
        <f t="shared" si="33"/>
        <v>237.89735743449398</v>
      </c>
      <c r="AF36" s="289">
        <f t="shared" si="33"/>
        <v>256.74457750584691</v>
      </c>
    </row>
    <row r="37" spans="1:34">
      <c r="A37" s="704"/>
      <c r="B37" s="323">
        <v>29</v>
      </c>
      <c r="C37" s="316" t="s">
        <v>313</v>
      </c>
      <c r="D37" s="421">
        <f>Cifras_en_Millones!F60</f>
        <v>42.099999999999994</v>
      </c>
      <c r="E37" s="421">
        <f>Cifras_en_Millones!E60</f>
        <v>809.2</v>
      </c>
      <c r="F37" s="421">
        <f>Cifras_en_Millones!D60</f>
        <v>813.7</v>
      </c>
      <c r="G37" s="421">
        <f>Cifras_en_Millones!C60</f>
        <v>606.66</v>
      </c>
      <c r="H37" s="289">
        <f>I11*-6</f>
        <v>659.35380401999976</v>
      </c>
      <c r="I37" s="289">
        <f>J11*-30</f>
        <v>993.15642526694865</v>
      </c>
      <c r="J37" s="289">
        <f>K11*40</f>
        <v>995.89753742838923</v>
      </c>
      <c r="K37" s="289">
        <f>L11*15</f>
        <v>1052.1255829848342</v>
      </c>
      <c r="L37" s="289">
        <f>M11*10</f>
        <v>1075.7398669202018</v>
      </c>
      <c r="M37" s="289">
        <f>M11*10</f>
        <v>1075.7398669202018</v>
      </c>
      <c r="N37" s="289">
        <f>N11*10</f>
        <v>1302.466037039701</v>
      </c>
      <c r="O37" s="289">
        <f t="shared" ref="O37:T37" si="34">O11*7.5</f>
        <v>1112.0451670985331</v>
      </c>
      <c r="P37" s="289">
        <f t="shared" si="34"/>
        <v>1227.2504165034261</v>
      </c>
      <c r="Q37" s="289">
        <f t="shared" si="34"/>
        <v>1330.4143265558987</v>
      </c>
      <c r="R37" s="289">
        <f t="shared" si="34"/>
        <v>1400.0696064412602</v>
      </c>
      <c r="S37" s="289">
        <f t="shared" si="34"/>
        <v>1463.4332622912268</v>
      </c>
      <c r="T37" s="289">
        <f t="shared" si="34"/>
        <v>1522.6591386489313</v>
      </c>
      <c r="U37" s="289">
        <f>U11*7.5</f>
        <v>1579.2543278412718</v>
      </c>
      <c r="V37" s="289">
        <f>V11*5</f>
        <v>1089.5151654663471</v>
      </c>
      <c r="W37" s="289">
        <f t="shared" ref="W37:AF37" si="35">W11*5</f>
        <v>1115.6547022607276</v>
      </c>
      <c r="X37" s="289">
        <f t="shared" si="35"/>
        <v>1141.2296337623006</v>
      </c>
      <c r="Y37" s="289">
        <f t="shared" si="35"/>
        <v>1166.4845595791789</v>
      </c>
      <c r="Z37" s="289">
        <f t="shared" si="35"/>
        <v>1191.5900939846078</v>
      </c>
      <c r="AA37" s="289">
        <f t="shared" si="35"/>
        <v>1216.664986113992</v>
      </c>
      <c r="AB37" s="289">
        <f t="shared" si="35"/>
        <v>1241.8684490110561</v>
      </c>
      <c r="AC37" s="289">
        <f t="shared" si="35"/>
        <v>1267.3149322136262</v>
      </c>
      <c r="AD37" s="289">
        <f t="shared" si="35"/>
        <v>1293.0876108135431</v>
      </c>
      <c r="AE37" s="289">
        <f t="shared" si="35"/>
        <v>1319.247828998765</v>
      </c>
      <c r="AF37" s="289">
        <f t="shared" si="35"/>
        <v>1345.8417117570061</v>
      </c>
    </row>
    <row r="38" spans="1:34">
      <c r="A38" s="704"/>
      <c r="B38" s="325">
        <v>30</v>
      </c>
      <c r="C38" s="316" t="s">
        <v>314</v>
      </c>
      <c r="D38" s="324"/>
      <c r="E38" s="324"/>
      <c r="F38" s="289"/>
      <c r="G38" s="326">
        <f t="shared" ref="G38:AH38" si="36">1/((1+$D$47)^G3)</f>
        <v>1</v>
      </c>
      <c r="H38" s="326">
        <f t="shared" si="36"/>
        <v>0.97981157447472456</v>
      </c>
      <c r="I38" s="326">
        <f t="shared" si="36"/>
        <v>0.90305214237301801</v>
      </c>
      <c r="J38" s="326">
        <f>1/((1+$D$47)^J3)</f>
        <v>0.83230612200278153</v>
      </c>
      <c r="K38" s="326">
        <f>1/((1+$D$47)^K3)</f>
        <v>0.76710241659242551</v>
      </c>
      <c r="L38" s="326">
        <f t="shared" si="36"/>
        <v>0.70700683556905575</v>
      </c>
      <c r="M38" s="326">
        <f t="shared" si="36"/>
        <v>0.65161920328945233</v>
      </c>
      <c r="N38" s="326">
        <f t="shared" si="36"/>
        <v>0.60057069427599297</v>
      </c>
      <c r="O38" s="326">
        <f t="shared" si="36"/>
        <v>0.55352137721289674</v>
      </c>
      <c r="P38" s="326">
        <f t="shared" si="36"/>
        <v>0.51015795134829189</v>
      </c>
      <c r="Q38" s="326">
        <f t="shared" si="36"/>
        <v>0.47019166022884046</v>
      </c>
      <c r="R38" s="326">
        <f t="shared" si="36"/>
        <v>0.4333563688745074</v>
      </c>
      <c r="S38" s="326">
        <f t="shared" si="36"/>
        <v>0.39940679158940778</v>
      </c>
      <c r="T38" s="326">
        <f t="shared" si="36"/>
        <v>0.36811685860774906</v>
      </c>
      <c r="U38" s="326">
        <f t="shared" si="36"/>
        <v>0.33927821069838626</v>
      </c>
      <c r="V38" s="326">
        <f t="shared" si="36"/>
        <v>0.31269881170358188</v>
      </c>
      <c r="W38" s="326">
        <f t="shared" si="36"/>
        <v>0.28820166977288647</v>
      </c>
      <c r="X38" s="326">
        <f t="shared" si="36"/>
        <v>0.2656236587768539</v>
      </c>
      <c r="Y38" s="326">
        <f t="shared" si="36"/>
        <v>0.24481443205239989</v>
      </c>
      <c r="Z38" s="326">
        <f t="shared" si="36"/>
        <v>0.22563542124645153</v>
      </c>
      <c r="AA38" s="326">
        <f t="shared" si="36"/>
        <v>0.20795891359119956</v>
      </c>
      <c r="AB38" s="326">
        <f t="shared" si="36"/>
        <v>0.1916672014665434</v>
      </c>
      <c r="AC38" s="326">
        <f t="shared" si="36"/>
        <v>0.17665179858667593</v>
      </c>
      <c r="AD38" s="326">
        <f t="shared" si="36"/>
        <v>0.16281271759140642</v>
      </c>
      <c r="AE38" s="326">
        <f t="shared" si="36"/>
        <v>0.150057804231711</v>
      </c>
      <c r="AF38" s="326">
        <f t="shared" si="36"/>
        <v>0.13830212371586267</v>
      </c>
      <c r="AG38" s="326">
        <f t="shared" si="36"/>
        <v>1</v>
      </c>
      <c r="AH38" s="326">
        <f t="shared" si="36"/>
        <v>1</v>
      </c>
    </row>
    <row r="39" spans="1:34">
      <c r="A39" s="327"/>
      <c r="B39" s="327"/>
      <c r="C39" s="327"/>
      <c r="D39" s="328"/>
      <c r="E39" s="328"/>
      <c r="F39" s="393">
        <f>1/((1+$D$48+0.001)^F$3)</f>
        <v>1</v>
      </c>
      <c r="G39" s="393">
        <f>1/((1+$D$47+0.001)^G$3)</f>
        <v>1</v>
      </c>
      <c r="H39" s="393">
        <f t="shared" ref="H39:AE39" si="37">1/((1+$D$47+0.001)^H$3)</f>
        <v>0.97958594139713528</v>
      </c>
      <c r="I39" s="393">
        <f t="shared" si="37"/>
        <v>0.90201283738226112</v>
      </c>
      <c r="J39" s="393">
        <f t="shared" si="37"/>
        <v>0.83058272318808568</v>
      </c>
      <c r="K39" s="393">
        <f t="shared" si="37"/>
        <v>0.76480913737392797</v>
      </c>
      <c r="L39" s="393">
        <f t="shared" si="37"/>
        <v>0.70424414122829471</v>
      </c>
      <c r="M39" s="393">
        <f t="shared" si="37"/>
        <v>0.64847526816601742</v>
      </c>
      <c r="N39" s="393">
        <f t="shared" si="37"/>
        <v>0.59712271470167355</v>
      </c>
      <c r="O39" s="393">
        <f t="shared" si="37"/>
        <v>0.54983675386894448</v>
      </c>
      <c r="P39" s="393">
        <f t="shared" si="37"/>
        <v>0.50629535347048293</v>
      </c>
      <c r="Q39" s="393">
        <f t="shared" si="37"/>
        <v>0.46620198293782966</v>
      </c>
      <c r="R39" s="393">
        <f t="shared" si="37"/>
        <v>0.42928359386540493</v>
      </c>
      <c r="S39" s="393">
        <f t="shared" si="37"/>
        <v>0.39528876046538208</v>
      </c>
      <c r="T39" s="393">
        <f t="shared" si="37"/>
        <v>0.36398596727935739</v>
      </c>
      <c r="U39" s="393">
        <f t="shared" si="37"/>
        <v>0.33516203248559617</v>
      </c>
      <c r="V39" s="393">
        <f t="shared" si="37"/>
        <v>0.3086206560640849</v>
      </c>
      <c r="W39" s="393">
        <f t="shared" si="37"/>
        <v>0.28418108293193828</v>
      </c>
      <c r="X39" s="393">
        <f t="shared" si="37"/>
        <v>0.26167687194469458</v>
      </c>
      <c r="Y39" s="393">
        <f t="shared" si="37"/>
        <v>0.24095476238001343</v>
      </c>
      <c r="Z39" s="393">
        <f t="shared" si="37"/>
        <v>0.2218736301841745</v>
      </c>
      <c r="AA39" s="393">
        <f t="shared" si="37"/>
        <v>0.20430352687308886</v>
      </c>
      <c r="AB39" s="393">
        <f t="shared" si="37"/>
        <v>0.18812479454243913</v>
      </c>
      <c r="AC39" s="393">
        <f t="shared" si="37"/>
        <v>0.17322725095988872</v>
      </c>
      <c r="AD39" s="393">
        <f t="shared" si="37"/>
        <v>0.15950943918958449</v>
      </c>
      <c r="AE39" s="393">
        <f t="shared" si="37"/>
        <v>0.14687793663865978</v>
      </c>
      <c r="AF39" s="327"/>
    </row>
    <row r="40" spans="1:34">
      <c r="A40" s="327"/>
      <c r="B40" s="327"/>
      <c r="C40" s="327"/>
      <c r="D40" s="328"/>
      <c r="E40" s="328"/>
      <c r="F40" s="393">
        <f>1/((1+$D$48+0.005)^F$3)</f>
        <v>1</v>
      </c>
      <c r="G40" s="393">
        <f>1/((1+$D$47+0.005)^G$3)</f>
        <v>1</v>
      </c>
      <c r="H40" s="393">
        <f t="shared" ref="H40:AE40" si="38">1/((1+$D$47+0.005)^H$3)</f>
        <v>0.97868599929760491</v>
      </c>
      <c r="I40" s="393">
        <f t="shared" si="38"/>
        <v>0.89787706357578434</v>
      </c>
      <c r="J40" s="393">
        <f t="shared" si="38"/>
        <v>0.82374042529888492</v>
      </c>
      <c r="K40" s="393">
        <f t="shared" si="38"/>
        <v>0.75572516082466512</v>
      </c>
      <c r="L40" s="393">
        <f t="shared" si="38"/>
        <v>0.693325835618959</v>
      </c>
      <c r="M40" s="393">
        <f t="shared" si="38"/>
        <v>0.63607874827427435</v>
      </c>
      <c r="N40" s="393">
        <f t="shared" si="38"/>
        <v>0.58355848465529758</v>
      </c>
      <c r="O40" s="393">
        <f t="shared" si="38"/>
        <v>0.53537475656449329</v>
      </c>
      <c r="P40" s="393">
        <f t="shared" si="38"/>
        <v>0.49116950143531501</v>
      </c>
      <c r="Q40" s="393">
        <f t="shared" si="38"/>
        <v>0.45061422150028912</v>
      </c>
      <c r="R40" s="393">
        <f t="shared" si="38"/>
        <v>0.41340754266081575</v>
      </c>
      <c r="S40" s="393">
        <f t="shared" si="38"/>
        <v>0.37927297491817963</v>
      </c>
      <c r="T40" s="393">
        <f t="shared" si="38"/>
        <v>0.34795685772310059</v>
      </c>
      <c r="U40" s="393">
        <f t="shared" si="38"/>
        <v>0.31922647497532169</v>
      </c>
      <c r="V40" s="393">
        <f t="shared" si="38"/>
        <v>0.29286832566543275</v>
      </c>
      <c r="W40" s="393">
        <f t="shared" si="38"/>
        <v>0.26868653730773656</v>
      </c>
      <c r="X40" s="393">
        <f t="shared" si="38"/>
        <v>0.2465014103740702</v>
      </c>
      <c r="Y40" s="393">
        <f t="shared" si="38"/>
        <v>0.22614808291199107</v>
      </c>
      <c r="Z40" s="393">
        <f t="shared" si="38"/>
        <v>0.20747530542384504</v>
      </c>
      <c r="AA40" s="393">
        <f t="shared" si="38"/>
        <v>0.19034431690261017</v>
      </c>
      <c r="AB40" s="393">
        <f t="shared" si="38"/>
        <v>0.17462781367211941</v>
      </c>
      <c r="AC40" s="393">
        <f t="shared" si="38"/>
        <v>0.16020900336891694</v>
      </c>
      <c r="AD40" s="393">
        <f t="shared" si="38"/>
        <v>0.14698073703570361</v>
      </c>
      <c r="AE40" s="393">
        <f t="shared" si="38"/>
        <v>0.13484471287679234</v>
      </c>
      <c r="AF40" s="327"/>
    </row>
    <row r="41" spans="1:34">
      <c r="A41" s="327"/>
      <c r="B41" s="327"/>
      <c r="C41" s="327"/>
      <c r="D41" s="328"/>
      <c r="E41" s="328"/>
      <c r="F41" s="394"/>
      <c r="G41" s="394"/>
      <c r="H41" s="394"/>
      <c r="I41" s="395"/>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27"/>
    </row>
    <row r="42" spans="1:34">
      <c r="C42" s="330" t="s">
        <v>134</v>
      </c>
      <c r="D42" s="331"/>
      <c r="E42" s="332"/>
      <c r="F42" s="409" t="s">
        <v>266</v>
      </c>
      <c r="G42" s="409" t="s">
        <v>266</v>
      </c>
      <c r="H42" s="331">
        <f ca="1">1000000*H16/OP!C7</f>
        <v>2350952.8925619852</v>
      </c>
      <c r="I42" s="333">
        <f ca="1">1000000*I16/OP!$C7</f>
        <v>2435174.2159151309</v>
      </c>
      <c r="J42" s="333">
        <f ca="1">1000000*J16/OP!$C7</f>
        <v>1891111.5982724666</v>
      </c>
    </row>
    <row r="43" spans="1:34">
      <c r="C43" s="334" t="s">
        <v>153</v>
      </c>
      <c r="D43" s="290"/>
      <c r="E43" s="290"/>
      <c r="F43" s="335"/>
      <c r="G43" s="335"/>
      <c r="H43" s="335"/>
      <c r="I43" s="336"/>
      <c r="J43" s="336"/>
    </row>
    <row r="44" spans="1:34">
      <c r="C44" s="337" t="s">
        <v>135</v>
      </c>
      <c r="D44" s="338"/>
      <c r="E44" s="338"/>
      <c r="F44" s="408" t="s">
        <v>266</v>
      </c>
      <c r="G44" s="408" t="s">
        <v>266</v>
      </c>
      <c r="H44" s="339">
        <f t="shared" ref="H44:I44" si="39">$D$64/H16</f>
        <v>3.7595108788609513</v>
      </c>
      <c r="I44" s="340">
        <f t="shared" si="39"/>
        <v>3.6294869243903141</v>
      </c>
    </row>
    <row r="45" spans="1:34">
      <c r="A45" s="327"/>
      <c r="B45" s="327"/>
      <c r="C45" s="327"/>
      <c r="D45" s="328"/>
      <c r="E45" s="328"/>
      <c r="F45" s="328"/>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7"/>
      <c r="AE45" s="327"/>
      <c r="AF45" s="327"/>
    </row>
    <row r="46" spans="1:34">
      <c r="A46" s="696" t="s">
        <v>315</v>
      </c>
      <c r="C46" s="330"/>
      <c r="D46" s="332" t="s">
        <v>316</v>
      </c>
      <c r="E46" s="332" t="s">
        <v>317</v>
      </c>
      <c r="F46" s="332" t="s">
        <v>318</v>
      </c>
      <c r="G46" s="341" t="s">
        <v>319</v>
      </c>
    </row>
    <row r="47" spans="1:34">
      <c r="A47" s="698"/>
      <c r="C47" s="342" t="s">
        <v>320</v>
      </c>
      <c r="D47" s="343">
        <f>SUM(E47:G47)</f>
        <v>8.5000000000000006E-2</v>
      </c>
      <c r="E47" s="343">
        <v>0.04</v>
      </c>
      <c r="F47" s="343">
        <v>0.04</v>
      </c>
      <c r="G47" s="344">
        <v>5.0000000000000001E-3</v>
      </c>
      <c r="H47" s="275" t="s">
        <v>266</v>
      </c>
      <c r="I47" s="370"/>
      <c r="AE47" s="345"/>
    </row>
    <row r="48" spans="1:34">
      <c r="D48" s="346"/>
      <c r="E48" s="346"/>
      <c r="F48" s="346"/>
      <c r="G48" s="347"/>
      <c r="I48" s="370"/>
      <c r="AE48" s="345"/>
    </row>
    <row r="49" spans="1:31">
      <c r="C49" s="330"/>
      <c r="D49" s="348" t="s">
        <v>321</v>
      </c>
      <c r="E49" s="348" t="s">
        <v>322</v>
      </c>
      <c r="F49" s="341" t="s">
        <v>323</v>
      </c>
    </row>
    <row r="50" spans="1:31">
      <c r="A50" s="693" t="s">
        <v>324</v>
      </c>
      <c r="C50" s="349" t="s">
        <v>325</v>
      </c>
      <c r="D50" s="350">
        <v>-0.19</v>
      </c>
      <c r="E50" s="350">
        <v>-0.19</v>
      </c>
      <c r="F50" s="351" t="s">
        <v>326</v>
      </c>
      <c r="G50" s="352">
        <f>SUM(G22:AF22)/SUM(G9:AF9)</f>
        <v>3.2635743862065225</v>
      </c>
      <c r="I50" s="293"/>
      <c r="AE50" s="290"/>
    </row>
    <row r="51" spans="1:31">
      <c r="A51" s="694"/>
      <c r="C51" s="353" t="s">
        <v>327</v>
      </c>
      <c r="D51" s="354">
        <v>0.111497830762953</v>
      </c>
      <c r="E51" s="354">
        <v>0.111497830762953</v>
      </c>
      <c r="F51" s="355" t="s">
        <v>328</v>
      </c>
      <c r="G51" s="356">
        <f>-SUM(D10:F10)/SUM(D6:F6)</f>
        <v>0.10521663641385842</v>
      </c>
      <c r="I51" s="293"/>
      <c r="AE51" s="290"/>
    </row>
    <row r="52" spans="1:31">
      <c r="A52" s="694"/>
      <c r="C52" s="353" t="s">
        <v>329</v>
      </c>
      <c r="D52" s="354">
        <v>7.0000000000000007E-2</v>
      </c>
      <c r="E52" s="354">
        <v>0.27</v>
      </c>
      <c r="F52" s="357" t="s">
        <v>330</v>
      </c>
      <c r="I52" s="293"/>
      <c r="AE52" s="290"/>
    </row>
    <row r="53" spans="1:31">
      <c r="A53" s="694"/>
      <c r="C53" s="353" t="s">
        <v>331</v>
      </c>
      <c r="D53" s="354">
        <v>8.4599999999999995E-2</v>
      </c>
      <c r="E53" s="354">
        <v>8.9289999999999994E-2</v>
      </c>
      <c r="F53" s="357" t="s">
        <v>332</v>
      </c>
    </row>
    <row r="54" spans="1:31">
      <c r="A54" s="694"/>
      <c r="C54" s="353" t="s">
        <v>333</v>
      </c>
      <c r="D54" s="354">
        <v>0.04</v>
      </c>
      <c r="E54" s="354">
        <v>3.5000000000000003E-2</v>
      </c>
      <c r="F54" s="355" t="s">
        <v>334</v>
      </c>
    </row>
    <row r="55" spans="1:31">
      <c r="A55" s="694"/>
      <c r="C55" s="406" t="s">
        <v>416</v>
      </c>
      <c r="D55" s="354">
        <f>D51</f>
        <v>0.111497830762953</v>
      </c>
      <c r="E55" s="354">
        <f>E51</f>
        <v>0.111497830762953</v>
      </c>
      <c r="F55" s="355" t="s">
        <v>328</v>
      </c>
      <c r="J55" s="293"/>
    </row>
    <row r="56" spans="1:31">
      <c r="A56" s="694"/>
      <c r="C56" s="353" t="s">
        <v>335</v>
      </c>
      <c r="D56" s="354">
        <v>1</v>
      </c>
      <c r="E56" s="354">
        <v>0.5</v>
      </c>
      <c r="F56" s="355" t="s">
        <v>336</v>
      </c>
    </row>
    <row r="57" spans="1:31">
      <c r="A57" s="694"/>
      <c r="C57" s="353" t="s">
        <v>337</v>
      </c>
      <c r="D57" s="354">
        <v>0.09</v>
      </c>
      <c r="E57" s="354">
        <v>0.08</v>
      </c>
      <c r="F57" s="355" t="s">
        <v>328</v>
      </c>
    </row>
    <row r="58" spans="1:31">
      <c r="A58" s="694"/>
      <c r="C58" s="353" t="s">
        <v>119</v>
      </c>
      <c r="D58" s="354">
        <v>0</v>
      </c>
      <c r="E58" s="354">
        <v>0</v>
      </c>
      <c r="F58" s="355" t="s">
        <v>338</v>
      </c>
    </row>
    <row r="59" spans="1:31">
      <c r="A59" s="695"/>
      <c r="C59" s="358" t="s">
        <v>305</v>
      </c>
      <c r="D59" s="343">
        <v>0</v>
      </c>
      <c r="E59" s="343">
        <v>0</v>
      </c>
      <c r="F59" s="359" t="s">
        <v>339</v>
      </c>
    </row>
    <row r="60" spans="1:31">
      <c r="D60" s="290"/>
      <c r="E60" s="290"/>
      <c r="F60" s="290"/>
    </row>
    <row r="61" spans="1:31">
      <c r="A61" s="696" t="s">
        <v>340</v>
      </c>
      <c r="C61" s="324"/>
      <c r="D61" s="360" t="s">
        <v>341</v>
      </c>
      <c r="E61" s="360" t="s">
        <v>342</v>
      </c>
      <c r="F61" s="275" t="s">
        <v>279</v>
      </c>
      <c r="AE61" s="345">
        <f>((AE36-AE37)*AE38)</f>
        <v>-162.26507736785979</v>
      </c>
    </row>
    <row r="62" spans="1:31">
      <c r="A62" s="697"/>
      <c r="C62" s="324" t="s">
        <v>343</v>
      </c>
      <c r="D62" s="289">
        <f>SUMPRODUCT(G33:AE33,G38:AE38)+((AE36-AE37)*AE38)</f>
        <v>-50.29329386428077</v>
      </c>
      <c r="E62" s="361">
        <f>D62/D64</f>
        <v>-0.58784042642552625</v>
      </c>
      <c r="F62" s="290" t="s">
        <v>344</v>
      </c>
      <c r="AE62" s="345">
        <f>AE54+AE61</f>
        <v>-162.26507736785979</v>
      </c>
    </row>
    <row r="63" spans="1:31">
      <c r="A63" s="697"/>
      <c r="C63" s="324" t="s">
        <v>345</v>
      </c>
      <c r="D63" s="289">
        <f>(AF32/(D47-AF5))*AF38</f>
        <v>135.84932506495636</v>
      </c>
      <c r="E63" s="361">
        <f>D63/D64</f>
        <v>1.5878404264255264</v>
      </c>
      <c r="F63" s="362" t="s">
        <v>346</v>
      </c>
    </row>
    <row r="64" spans="1:31">
      <c r="A64" s="697"/>
      <c r="C64" s="324" t="s">
        <v>347</v>
      </c>
      <c r="D64" s="289">
        <f>D62+D63</f>
        <v>85.556031200675591</v>
      </c>
      <c r="E64" s="360"/>
      <c r="F64" s="274" t="s">
        <v>348</v>
      </c>
    </row>
    <row r="65" spans="1:32">
      <c r="A65" s="697"/>
      <c r="C65" s="363" t="s">
        <v>349</v>
      </c>
      <c r="D65" s="502">
        <f ca="1">D66/D67-1</f>
        <v>-0.38171763443545115</v>
      </c>
      <c r="E65" s="364"/>
      <c r="F65" s="362" t="s">
        <v>350</v>
      </c>
    </row>
    <row r="66" spans="1:32">
      <c r="A66" s="698"/>
      <c r="C66" s="363" t="s">
        <v>351</v>
      </c>
      <c r="D66" s="365">
        <f ca="1">10000000*D64/OP!C8</f>
        <v>5.9849732986648325</v>
      </c>
      <c r="E66" s="366"/>
      <c r="F66" s="362" t="s">
        <v>352</v>
      </c>
    </row>
    <row r="67" spans="1:32">
      <c r="C67" s="363" t="s">
        <v>353</v>
      </c>
      <c r="D67" s="365">
        <f ca="1">OP!C7</f>
        <v>9.68</v>
      </c>
      <c r="E67" s="366"/>
      <c r="F67" s="362" t="s">
        <v>353</v>
      </c>
    </row>
    <row r="68" spans="1:32">
      <c r="D68" s="389"/>
    </row>
    <row r="69" spans="1:32">
      <c r="C69" s="367"/>
      <c r="D69" s="369"/>
      <c r="E69" s="392"/>
      <c r="AD69" s="275"/>
      <c r="AE69" s="275"/>
      <c r="AF69" s="275"/>
    </row>
    <row r="70" spans="1:32">
      <c r="C70" s="367"/>
      <c r="D70" s="369"/>
      <c r="E70" s="392"/>
      <c r="F70" s="369"/>
      <c r="G70" s="370"/>
      <c r="H70" s="370"/>
      <c r="I70" s="370"/>
      <c r="J70" s="370"/>
      <c r="K70" s="370"/>
      <c r="L70" s="370"/>
      <c r="M70" s="370"/>
      <c r="N70" s="370"/>
      <c r="O70" s="370"/>
      <c r="P70" s="370"/>
      <c r="Q70" s="370"/>
      <c r="R70" s="370"/>
      <c r="S70" s="370"/>
      <c r="T70" s="370"/>
      <c r="U70" s="370"/>
      <c r="V70" s="370"/>
      <c r="W70" s="370"/>
      <c r="X70" s="370"/>
      <c r="Y70" s="370"/>
      <c r="Z70" s="370"/>
      <c r="AA70" s="370"/>
      <c r="AB70" s="370"/>
      <c r="AC70" s="370"/>
      <c r="AD70" s="370"/>
      <c r="AE70" s="370"/>
      <c r="AF70" s="370"/>
    </row>
    <row r="71" spans="1:32">
      <c r="C71" s="404"/>
      <c r="D71" s="369"/>
      <c r="F71" s="369"/>
      <c r="AF71" s="345"/>
    </row>
    <row r="72" spans="1:32">
      <c r="C72" s="390"/>
      <c r="D72" s="391"/>
    </row>
    <row r="73" spans="1:32">
      <c r="C73" s="390"/>
      <c r="D73" s="345"/>
    </row>
    <row r="74" spans="1:32">
      <c r="C74" s="390"/>
      <c r="D74" s="391"/>
    </row>
    <row r="75" spans="1:32">
      <c r="C75" s="403"/>
      <c r="E75" s="274" t="s">
        <v>266</v>
      </c>
      <c r="F75" s="274" t="s">
        <v>266</v>
      </c>
      <c r="G75" s="274" t="s">
        <v>266</v>
      </c>
    </row>
  </sheetData>
  <mergeCells count="8">
    <mergeCell ref="A50:A59"/>
    <mergeCell ref="A61:A66"/>
    <mergeCell ref="C1:L1"/>
    <mergeCell ref="A5:A16"/>
    <mergeCell ref="A18:A30"/>
    <mergeCell ref="A32:A34"/>
    <mergeCell ref="A36:A38"/>
    <mergeCell ref="A46:A47"/>
  </mergeCells>
  <phoneticPr fontId="84" type="noConversion"/>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topLeftCell="A38" zoomScale="85" zoomScaleNormal="85" zoomScaleSheetLayoutView="115" workbookViewId="0">
      <selection activeCell="B75" sqref="B75"/>
    </sheetView>
  </sheetViews>
  <sheetFormatPr defaultColWidth="11.453125" defaultRowHeight="11.5"/>
  <cols>
    <col min="1" max="1" width="36.1796875" style="196" customWidth="1"/>
    <col min="2" max="11" width="12.453125" style="196" customWidth="1"/>
    <col min="12" max="13" width="12.453125" style="252" customWidth="1"/>
    <col min="14" max="14" width="12.26953125" style="252" bestFit="1" customWidth="1"/>
    <col min="15" max="16384" width="11.453125" style="195"/>
  </cols>
  <sheetData>
    <row r="1" spans="1:15" ht="15.5">
      <c r="A1" s="705" t="str">
        <f ca="1">Cifras_Originales!H3</f>
        <v>MAGNITE, INC.</v>
      </c>
      <c r="B1" s="705"/>
      <c r="C1" s="705"/>
      <c r="D1" s="705"/>
      <c r="E1" s="705"/>
      <c r="F1" s="705"/>
      <c r="G1" s="705"/>
      <c r="H1" s="705"/>
      <c r="I1" s="705"/>
      <c r="J1" s="705"/>
      <c r="K1" s="705"/>
      <c r="L1" s="705"/>
      <c r="M1" s="194"/>
      <c r="N1" s="194"/>
    </row>
    <row r="2" spans="1:15" ht="12" customHeight="1">
      <c r="A2" s="706" t="str">
        <f>Cifras_Originales!D2</f>
        <v>Cifras en Millones de USD</v>
      </c>
      <c r="B2" s="706"/>
      <c r="C2" s="706"/>
      <c r="D2" s="706"/>
      <c r="E2" s="706"/>
      <c r="F2" s="706"/>
      <c r="G2" s="706"/>
      <c r="H2" s="706"/>
      <c r="I2" s="706"/>
      <c r="J2" s="706"/>
      <c r="K2" s="706"/>
      <c r="L2" s="706"/>
      <c r="M2" s="196"/>
      <c r="N2" s="196"/>
    </row>
    <row r="3" spans="1:15" ht="12" customHeight="1">
      <c r="G3" s="197"/>
    </row>
    <row r="4" spans="1:15">
      <c r="A4" s="198" t="s">
        <v>206</v>
      </c>
      <c r="B4" s="199">
        <v>2024</v>
      </c>
      <c r="C4" s="199">
        <f>Cifras_Originales!C5</f>
        <v>2023</v>
      </c>
      <c r="D4" s="199">
        <f>Cifras_Originales!D5</f>
        <v>2022</v>
      </c>
      <c r="E4" s="199">
        <f>Cifras_Originales!E5</f>
        <v>2021</v>
      </c>
      <c r="F4" s="199">
        <f>Cifras_Originales!F5</f>
        <v>2020</v>
      </c>
      <c r="G4" s="199">
        <f>Cifras_Originales!G5</f>
        <v>2019</v>
      </c>
      <c r="H4" s="199">
        <f>Cifras_Originales!H5</f>
        <v>2018</v>
      </c>
      <c r="I4" s="199">
        <f>Cifras_Originales!I5</f>
        <v>2017</v>
      </c>
      <c r="J4" s="199">
        <f>Cifras_Originales!J5</f>
        <v>2016</v>
      </c>
      <c r="K4" s="199">
        <f>Cifras_Originales!K5</f>
        <v>2015</v>
      </c>
      <c r="L4" s="199">
        <f>Cifras_Originales!L5</f>
        <v>2014</v>
      </c>
      <c r="M4" s="199">
        <f>Cifras_Originales!M5</f>
        <v>2013</v>
      </c>
      <c r="N4" s="199"/>
      <c r="O4" s="199"/>
    </row>
    <row r="5" spans="1:15" ht="12" customHeight="1">
      <c r="A5" s="196" t="s">
        <v>207</v>
      </c>
      <c r="B5" s="200">
        <f>Cifras_Originales!B6</f>
        <v>668.17</v>
      </c>
      <c r="C5" s="200">
        <f>Cifras_Originales!C6</f>
        <v>619.70000000000005</v>
      </c>
      <c r="D5" s="200">
        <f>Cifras_Originales!D6</f>
        <v>577.1</v>
      </c>
      <c r="E5" s="200">
        <f>Cifras_Originales!E6</f>
        <v>468.4</v>
      </c>
      <c r="F5" s="200">
        <f>Cifras_Originales!F6</f>
        <v>221.6</v>
      </c>
      <c r="G5" s="200">
        <f>Cifras_Originales!G6</f>
        <v>156.4</v>
      </c>
      <c r="H5" s="200">
        <f>Cifras_Originales!H6</f>
        <v>124.6</v>
      </c>
      <c r="I5" s="200">
        <f>Cifras_Originales!I6</f>
        <v>155.5</v>
      </c>
      <c r="J5" s="200">
        <f>Cifras_Originales!J6</f>
        <v>278.2</v>
      </c>
      <c r="K5" s="200">
        <f>Cifras_Originales!K6</f>
        <v>248.4</v>
      </c>
      <c r="L5" s="200">
        <f>Cifras_Originales!L6</f>
        <v>125.3</v>
      </c>
      <c r="M5" s="200">
        <f>Cifras_Originales!M6</f>
        <v>83.4</v>
      </c>
      <c r="N5" s="200"/>
      <c r="O5" s="200"/>
    </row>
    <row r="6" spans="1:15" ht="12" customHeight="1">
      <c r="A6" s="196" t="s">
        <v>208</v>
      </c>
      <c r="B6" s="201">
        <f>B5/C5-1</f>
        <v>7.821526545102464E-2</v>
      </c>
      <c r="C6" s="201">
        <f>C5/D5-1</f>
        <v>7.3817362675446141E-2</v>
      </c>
      <c r="D6" s="201">
        <f>D5/E5-1</f>
        <v>0.23206660973526905</v>
      </c>
      <c r="E6" s="201">
        <f t="shared" ref="E6:L6" si="0">E5/F5-1</f>
        <v>1.1137184115523464</v>
      </c>
      <c r="F6" s="201">
        <f t="shared" si="0"/>
        <v>0.41687979539641939</v>
      </c>
      <c r="G6" s="201">
        <f t="shared" si="0"/>
        <v>0.25521669341894082</v>
      </c>
      <c r="H6" s="201">
        <f t="shared" si="0"/>
        <v>-0.19871382636655954</v>
      </c>
      <c r="I6" s="201">
        <f t="shared" si="0"/>
        <v>-0.4410496046010064</v>
      </c>
      <c r="J6" s="201">
        <f t="shared" si="0"/>
        <v>0.11996779388083723</v>
      </c>
      <c r="K6" s="201">
        <f t="shared" si="0"/>
        <v>0.98244213886671994</v>
      </c>
      <c r="L6" s="201">
        <f t="shared" si="0"/>
        <v>0.50239808153477195</v>
      </c>
      <c r="M6" s="201"/>
      <c r="N6" s="201"/>
      <c r="O6" s="201"/>
    </row>
    <row r="7" spans="1:15" ht="12" customHeight="1">
      <c r="A7" s="196" t="s">
        <v>209</v>
      </c>
      <c r="B7" s="200">
        <f>Cifras_Originales!B7</f>
        <v>409.33199999999994</v>
      </c>
      <c r="C7" s="200">
        <f>Cifras_Originales!C7</f>
        <v>209.8</v>
      </c>
      <c r="D7" s="200">
        <f>Cifras_Originales!D7</f>
        <v>270</v>
      </c>
      <c r="E7" s="200">
        <f>Cifras_Originales!E7</f>
        <v>267</v>
      </c>
      <c r="F7" s="200">
        <f>Cifras_Originales!F7</f>
        <v>143.9</v>
      </c>
      <c r="G7" s="200">
        <f>Cifras_Originales!G7</f>
        <v>99</v>
      </c>
      <c r="H7" s="200">
        <f>Cifras_Originales!H7</f>
        <v>64.7</v>
      </c>
      <c r="I7" s="200">
        <f>Cifras_Originales!I7</f>
        <v>98</v>
      </c>
      <c r="J7" s="200">
        <f>Cifras_Originales!J7</f>
        <v>205.2</v>
      </c>
      <c r="K7" s="200">
        <f>Cifras_Originales!K7</f>
        <v>190.1</v>
      </c>
      <c r="L7" s="200">
        <f>Cifras_Originales!L7</f>
        <v>104.8</v>
      </c>
      <c r="M7" s="200">
        <f>Cifras_Originales!M7</f>
        <v>67.900000000000006</v>
      </c>
      <c r="N7" s="200"/>
      <c r="O7" s="200"/>
    </row>
    <row r="8" spans="1:15" ht="12" customHeight="1">
      <c r="A8" s="196" t="s">
        <v>210</v>
      </c>
      <c r="B8" s="201">
        <f>B7/B5</f>
        <v>0.61261654968047052</v>
      </c>
      <c r="C8" s="201">
        <f>C7/C5</f>
        <v>0.338550911731483</v>
      </c>
      <c r="D8" s="201">
        <f>D7/D5</f>
        <v>0.46785652399930688</v>
      </c>
      <c r="E8" s="201">
        <f t="shared" ref="E8:M8" si="1">E7/E5</f>
        <v>0.57002561912894967</v>
      </c>
      <c r="F8" s="201">
        <f t="shared" si="1"/>
        <v>0.64936823104693142</v>
      </c>
      <c r="G8" s="201">
        <f t="shared" si="1"/>
        <v>0.63299232736572886</v>
      </c>
      <c r="H8" s="201">
        <f t="shared" si="1"/>
        <v>0.51926163723916541</v>
      </c>
      <c r="I8" s="201">
        <f t="shared" si="1"/>
        <v>0.63022508038585212</v>
      </c>
      <c r="J8" s="201">
        <f t="shared" si="1"/>
        <v>0.73759884974838241</v>
      </c>
      <c r="K8" s="201">
        <f t="shared" si="1"/>
        <v>0.76529790660225439</v>
      </c>
      <c r="L8" s="201">
        <f t="shared" si="1"/>
        <v>0.83639265762170789</v>
      </c>
      <c r="M8" s="201">
        <f t="shared" si="1"/>
        <v>0.81414868105515592</v>
      </c>
      <c r="N8" s="201"/>
      <c r="O8" s="201"/>
    </row>
    <row r="9" spans="1:15" ht="12" customHeight="1">
      <c r="A9" s="196" t="s">
        <v>478</v>
      </c>
      <c r="B9" s="200">
        <f>B5-B11</f>
        <v>617.08299999999997</v>
      </c>
      <c r="C9" s="200">
        <f>C5-C11</f>
        <v>774.70900000000006</v>
      </c>
      <c r="D9" s="200">
        <f>D5-D11</f>
        <v>689.1</v>
      </c>
      <c r="E9" s="200">
        <f t="shared" ref="E9:M9" si="2">E5-E11</f>
        <v>549.4</v>
      </c>
      <c r="F9" s="200">
        <f t="shared" si="2"/>
        <v>275.60000000000002</v>
      </c>
      <c r="G9" s="200">
        <f t="shared" si="2"/>
        <v>183.9</v>
      </c>
      <c r="H9" s="200">
        <f t="shared" si="2"/>
        <v>188.6</v>
      </c>
      <c r="I9" s="200">
        <f t="shared" si="2"/>
        <v>312.5</v>
      </c>
      <c r="J9" s="200">
        <f t="shared" si="2"/>
        <v>303</v>
      </c>
      <c r="K9" s="200">
        <f t="shared" si="2"/>
        <v>254</v>
      </c>
      <c r="L9" s="200">
        <f t="shared" si="2"/>
        <v>144.1</v>
      </c>
      <c r="M9" s="200">
        <f t="shared" si="2"/>
        <v>87.300000000000011</v>
      </c>
      <c r="N9" s="200"/>
      <c r="O9" s="200"/>
    </row>
    <row r="10" spans="1:15" ht="12" customHeight="1">
      <c r="A10" s="196" t="s">
        <v>210</v>
      </c>
      <c r="B10" s="201">
        <f>B9/B5</f>
        <v>0.92354191298621613</v>
      </c>
      <c r="C10" s="201">
        <f>C9/C5</f>
        <v>1.250135549459416</v>
      </c>
      <c r="D10" s="201">
        <f>D9/D5</f>
        <v>1.1940738173626755</v>
      </c>
      <c r="E10" s="201">
        <f t="shared" ref="E10:M10" si="3">E9/E5</f>
        <v>1.1729291204099062</v>
      </c>
      <c r="F10" s="201">
        <f t="shared" si="3"/>
        <v>1.2436823104693142</v>
      </c>
      <c r="G10" s="201">
        <f t="shared" si="3"/>
        <v>1.1758312020460358</v>
      </c>
      <c r="H10" s="201">
        <f t="shared" si="3"/>
        <v>1.5136436597110754</v>
      </c>
      <c r="I10" s="201">
        <f t="shared" si="3"/>
        <v>2.009646302250804</v>
      </c>
      <c r="J10" s="201">
        <f t="shared" si="3"/>
        <v>1.0891445003594538</v>
      </c>
      <c r="K10" s="201">
        <f t="shared" si="3"/>
        <v>1.0225442834138485</v>
      </c>
      <c r="L10" s="201">
        <f t="shared" si="3"/>
        <v>1.1500399042298484</v>
      </c>
      <c r="M10" s="201">
        <f t="shared" si="3"/>
        <v>1.0467625899280577</v>
      </c>
      <c r="N10" s="201"/>
      <c r="O10" s="201"/>
    </row>
    <row r="11" spans="1:15" ht="12" customHeight="1">
      <c r="A11" s="196" t="s">
        <v>211</v>
      </c>
      <c r="B11" s="200">
        <f>Cifras_Originales!B8</f>
        <v>51.087000000000003</v>
      </c>
      <c r="C11" s="200">
        <f>Cifras_Originales!C8</f>
        <v>-155.00899999999999</v>
      </c>
      <c r="D11" s="200">
        <f>Cifras_Originales!D8</f>
        <v>-112</v>
      </c>
      <c r="E11" s="200">
        <f>Cifras_Originales!E8</f>
        <v>-81</v>
      </c>
      <c r="F11" s="200">
        <f>Cifras_Originales!F8</f>
        <v>-54</v>
      </c>
      <c r="G11" s="200">
        <f>Cifras_Originales!G8</f>
        <v>-27.5</v>
      </c>
      <c r="H11" s="200">
        <f>Cifras_Originales!H8</f>
        <v>-64</v>
      </c>
      <c r="I11" s="200">
        <f>Cifras_Originales!I8</f>
        <v>-157</v>
      </c>
      <c r="J11" s="200">
        <f>Cifras_Originales!J8</f>
        <v>-24.8</v>
      </c>
      <c r="K11" s="200">
        <f>Cifras_Originales!K8</f>
        <v>-5.6</v>
      </c>
      <c r="L11" s="200">
        <f>Cifras_Originales!L8</f>
        <v>-18.8</v>
      </c>
      <c r="M11" s="200">
        <f>Cifras_Originales!M8</f>
        <v>-3.9</v>
      </c>
      <c r="N11" s="200"/>
      <c r="O11" s="200"/>
    </row>
    <row r="12" spans="1:15" ht="12" customHeight="1">
      <c r="A12" s="196" t="s">
        <v>210</v>
      </c>
      <c r="B12" s="201">
        <f>B11/B5</f>
        <v>7.6458087013783926E-2</v>
      </c>
      <c r="C12" s="201">
        <f>C11/C5</f>
        <v>-0.2501355494594158</v>
      </c>
      <c r="D12" s="201">
        <f>D11/D5</f>
        <v>-0.19407381736267543</v>
      </c>
      <c r="E12" s="201">
        <f t="shared" ref="E12:M12" si="4">E11/E5</f>
        <v>-0.17292912040990607</v>
      </c>
      <c r="F12" s="201">
        <f t="shared" si="4"/>
        <v>-0.24368231046931407</v>
      </c>
      <c r="G12" s="201">
        <f t="shared" si="4"/>
        <v>-0.17583120204603581</v>
      </c>
      <c r="H12" s="201">
        <f t="shared" si="4"/>
        <v>-0.51364365971107551</v>
      </c>
      <c r="I12" s="201">
        <f t="shared" si="4"/>
        <v>-1.0096463022508038</v>
      </c>
      <c r="J12" s="201">
        <f t="shared" si="4"/>
        <v>-8.9144500359453635E-2</v>
      </c>
      <c r="K12" s="201">
        <f t="shared" si="4"/>
        <v>-2.2544283413848631E-2</v>
      </c>
      <c r="L12" s="201">
        <f t="shared" si="4"/>
        <v>-0.15003990422984836</v>
      </c>
      <c r="M12" s="201">
        <f t="shared" si="4"/>
        <v>-4.6762589928057548E-2</v>
      </c>
      <c r="N12" s="201"/>
      <c r="O12" s="201"/>
    </row>
    <row r="13" spans="1:15" ht="12" customHeight="1">
      <c r="A13" s="196" t="s">
        <v>212</v>
      </c>
      <c r="B13" s="202">
        <f>B11/C11-1</f>
        <v>-1.3295744118083466</v>
      </c>
      <c r="C13" s="202">
        <f>C11/D11-1</f>
        <v>0.38400892857142854</v>
      </c>
      <c r="D13" s="202">
        <f>D11/E11-1</f>
        <v>0.38271604938271597</v>
      </c>
      <c r="E13" s="202">
        <f t="shared" ref="E13:L13" si="5">E11/F11-1</f>
        <v>0.5</v>
      </c>
      <c r="F13" s="202">
        <f t="shared" si="5"/>
        <v>0.96363636363636362</v>
      </c>
      <c r="G13" s="202">
        <f t="shared" si="5"/>
        <v>-0.5703125</v>
      </c>
      <c r="H13" s="202">
        <f t="shared" si="5"/>
        <v>-0.59235668789808915</v>
      </c>
      <c r="I13" s="202">
        <f t="shared" si="5"/>
        <v>5.3306451612903221</v>
      </c>
      <c r="J13" s="202">
        <f t="shared" si="5"/>
        <v>3.4285714285714288</v>
      </c>
      <c r="K13" s="202">
        <f t="shared" si="5"/>
        <v>-0.7021276595744681</v>
      </c>
      <c r="L13" s="202">
        <f t="shared" si="5"/>
        <v>3.8205128205128212</v>
      </c>
      <c r="M13" s="202"/>
      <c r="N13" s="202"/>
      <c r="O13" s="202"/>
    </row>
    <row r="14" spans="1:15" ht="12" customHeight="1">
      <c r="A14" s="196" t="s">
        <v>213</v>
      </c>
      <c r="B14" s="200">
        <f>Cifras_Originales!B9</f>
        <v>-27.032</v>
      </c>
      <c r="C14" s="200">
        <f>Cifras_Originales!C9</f>
        <v>-32.4</v>
      </c>
      <c r="D14" s="200">
        <f>Cifras_Originales!D9</f>
        <v>-29.3</v>
      </c>
      <c r="E14" s="200">
        <f>Cifras_Originales!E9</f>
        <v>-19.5</v>
      </c>
      <c r="F14" s="200">
        <f>Cifras_Originales!F9</f>
        <v>0.05</v>
      </c>
      <c r="G14" s="200">
        <f>Cifras_Originales!G9</f>
        <v>0.78</v>
      </c>
      <c r="H14" s="200">
        <f>Cifras_Originales!H9</f>
        <v>0.98</v>
      </c>
      <c r="I14" s="200">
        <f>Cifras_Originales!I9</f>
        <v>0.9</v>
      </c>
      <c r="J14" s="200">
        <f>Cifras_Originales!J9</f>
        <v>0.49</v>
      </c>
      <c r="K14" s="200">
        <f>Cifras_Originales!K9</f>
        <v>5.8999999999999997E-2</v>
      </c>
      <c r="L14" s="200">
        <f>Cifras_Originales!L9</f>
        <v>0.1</v>
      </c>
      <c r="M14" s="200">
        <f>Cifras_Originales!M9</f>
        <v>0.27300000000000002</v>
      </c>
      <c r="N14" s="200"/>
      <c r="O14" s="200"/>
    </row>
    <row r="15" spans="1:15" ht="12" customHeight="1">
      <c r="A15" s="196" t="s">
        <v>214</v>
      </c>
      <c r="B15" s="200">
        <f>Cifras_Originales!B10</f>
        <v>59.030999999999999</v>
      </c>
      <c r="C15" s="200">
        <f>Cifras_Originales!C10</f>
        <v>38</v>
      </c>
      <c r="D15" s="200">
        <f>Cifras_Originales!D10</f>
        <v>42</v>
      </c>
      <c r="E15" s="200">
        <f>Cifras_Originales!E10</f>
        <v>-156.6</v>
      </c>
      <c r="F15" s="200">
        <f>Cifras_Originales!F10</f>
        <v>-0.4</v>
      </c>
      <c r="G15" s="200">
        <f>Cifras_Originales!G10</f>
        <v>-4.8</v>
      </c>
      <c r="H15" s="200">
        <f>Cifras_Originales!H10</f>
        <v>-2.9</v>
      </c>
      <c r="I15" s="200">
        <f>Cifras_Originales!I10</f>
        <v>-4.9000000000000004</v>
      </c>
      <c r="J15" s="200">
        <f>Cifras_Originales!J10</f>
        <v>-11.9</v>
      </c>
      <c r="K15" s="200">
        <f>Cifras_Originales!K10</f>
        <v>-10.6</v>
      </c>
      <c r="L15" s="200">
        <f>Cifras_Originales!L10</f>
        <v>-0.4</v>
      </c>
      <c r="M15" s="200">
        <f>Cifras_Originales!M10</f>
        <v>4.8</v>
      </c>
      <c r="N15" s="200"/>
      <c r="O15" s="200"/>
    </row>
    <row r="16" spans="1:15" ht="12" customHeight="1">
      <c r="A16" s="196" t="s">
        <v>215</v>
      </c>
      <c r="B16" s="200">
        <f>B11-B14-B15</f>
        <v>19.088000000000001</v>
      </c>
      <c r="C16" s="200">
        <f>C11-C14-C15</f>
        <v>-160.60899999999998</v>
      </c>
      <c r="D16" s="200">
        <f>D11-D14-D15</f>
        <v>-124.7</v>
      </c>
      <c r="E16" s="200">
        <f t="shared" ref="E16:M16" si="6">E11-E14-E15</f>
        <v>95.1</v>
      </c>
      <c r="F16" s="200">
        <f t="shared" si="6"/>
        <v>-53.65</v>
      </c>
      <c r="G16" s="200">
        <f t="shared" si="6"/>
        <v>-23.48</v>
      </c>
      <c r="H16" s="200">
        <f t="shared" si="6"/>
        <v>-62.080000000000005</v>
      </c>
      <c r="I16" s="200">
        <f t="shared" si="6"/>
        <v>-153</v>
      </c>
      <c r="J16" s="200">
        <f t="shared" si="6"/>
        <v>-13.389999999999999</v>
      </c>
      <c r="K16" s="200">
        <f t="shared" si="6"/>
        <v>4.9409999999999998</v>
      </c>
      <c r="L16" s="200">
        <f t="shared" si="6"/>
        <v>-18.500000000000004</v>
      </c>
      <c r="M16" s="200">
        <f t="shared" si="6"/>
        <v>-8.972999999999999</v>
      </c>
      <c r="N16" s="200"/>
      <c r="O16" s="200"/>
    </row>
    <row r="17" spans="1:15" ht="12" customHeight="1">
      <c r="A17" s="196" t="s">
        <v>216</v>
      </c>
      <c r="B17" s="200">
        <f>Cifras_Originales!B11</f>
        <v>-58.51</v>
      </c>
      <c r="C17" s="200">
        <f>Cifras_Originales!C11</f>
        <v>-240.8</v>
      </c>
      <c r="D17" s="200">
        <f>Cifras_Originales!D11</f>
        <v>-216.1</v>
      </c>
      <c r="E17" s="200">
        <f>Cifras_Originales!E11</f>
        <v>-146.88</v>
      </c>
      <c r="F17" s="200">
        <f>Cifras_Originales!F11</f>
        <v>-49.2</v>
      </c>
      <c r="G17" s="200">
        <f>Cifras_Originales!G11</f>
        <v>-32.1</v>
      </c>
      <c r="H17" s="200">
        <f>Cifras_Originales!H11</f>
        <v>-35.299999999999997</v>
      </c>
      <c r="I17" s="200">
        <f>Cifras_Originales!I11</f>
        <v>-36.200000000000003</v>
      </c>
      <c r="J17" s="200">
        <f>Cifras_Originales!J11</f>
        <v>-42.7</v>
      </c>
      <c r="K17" s="200">
        <f>Cifras_Originales!K11</f>
        <v>-31</v>
      </c>
      <c r="L17" s="200">
        <f>Cifras_Originales!L11</f>
        <v>-12.5</v>
      </c>
      <c r="M17" s="200">
        <f>Cifras_Originales!M11</f>
        <v>-8.4</v>
      </c>
      <c r="N17" s="200"/>
      <c r="O17" s="200"/>
    </row>
    <row r="18" spans="1:15" ht="12" customHeight="1">
      <c r="A18" s="196" t="s">
        <v>217</v>
      </c>
      <c r="B18" s="200">
        <f>Cifras_Originales!B12</f>
        <v>120.86799999999999</v>
      </c>
      <c r="C18" s="200">
        <f>Cifras_Originales!C12</f>
        <v>80.325999999999993</v>
      </c>
      <c r="D18" s="200">
        <f>Cifras_Originales!D12</f>
        <v>43.344999999999999</v>
      </c>
      <c r="E18" s="200">
        <f>Cifras_Originales!E12</f>
        <v>48.877000000000002</v>
      </c>
      <c r="F18" s="200">
        <f>Cifras_Originales!F12</f>
        <v>-10.534000000000001</v>
      </c>
      <c r="G18" s="200">
        <f>Cifras_Originales!G12</f>
        <v>22.443999999999999</v>
      </c>
      <c r="H18" s="200">
        <f>Cifras_Originales!H12</f>
        <v>31.663</v>
      </c>
      <c r="I18" s="200">
        <f>Cifras_Originales!I12</f>
        <v>12.946999999999999</v>
      </c>
      <c r="J18" s="200">
        <f>Cifras_Originales!J12</f>
        <v>-24.672000000000001</v>
      </c>
      <c r="K18" s="200">
        <f>Cifras_Originales!K12</f>
        <v>-12.666</v>
      </c>
      <c r="L18" s="200">
        <f>Cifras_Originales!L12</f>
        <v>-10.912000000000001</v>
      </c>
      <c r="M18" s="200">
        <f>Cifras_Originales!M12</f>
        <v>0</v>
      </c>
      <c r="N18" s="200"/>
      <c r="O18" s="200"/>
    </row>
    <row r="19" spans="1:15" ht="12" customHeight="1">
      <c r="A19" s="196" t="s">
        <v>218</v>
      </c>
      <c r="B19" s="200">
        <f>B11-B15+B17</f>
        <v>-66.453999999999994</v>
      </c>
      <c r="C19" s="200">
        <f>C11-C15+C17</f>
        <v>-433.80899999999997</v>
      </c>
      <c r="D19" s="200">
        <f>D11-D15+D17</f>
        <v>-370.1</v>
      </c>
      <c r="E19" s="200">
        <f t="shared" ref="E19:M19" si="7">E11-E15+E17</f>
        <v>-71.28</v>
      </c>
      <c r="F19" s="200">
        <f t="shared" si="7"/>
        <v>-102.80000000000001</v>
      </c>
      <c r="G19" s="200">
        <f t="shared" si="7"/>
        <v>-54.8</v>
      </c>
      <c r="H19" s="200">
        <f t="shared" si="7"/>
        <v>-96.4</v>
      </c>
      <c r="I19" s="200">
        <f t="shared" si="7"/>
        <v>-188.3</v>
      </c>
      <c r="J19" s="200">
        <f t="shared" si="7"/>
        <v>-55.6</v>
      </c>
      <c r="K19" s="200">
        <f t="shared" si="7"/>
        <v>-26</v>
      </c>
      <c r="L19" s="200">
        <f t="shared" si="7"/>
        <v>-30.900000000000002</v>
      </c>
      <c r="M19" s="200">
        <f t="shared" si="7"/>
        <v>-17.100000000000001</v>
      </c>
      <c r="N19" s="200"/>
      <c r="O19" s="200"/>
    </row>
    <row r="20" spans="1:15" ht="13">
      <c r="A20" s="196" t="s">
        <v>210</v>
      </c>
      <c r="B20" s="201">
        <f>B19/B5</f>
        <v>-9.9456725084933473E-2</v>
      </c>
      <c r="C20" s="201">
        <f>C19/C5</f>
        <v>-0.7000306599967725</v>
      </c>
      <c r="D20" s="201">
        <f>D19/D5</f>
        <v>-0.64130999826719803</v>
      </c>
      <c r="E20" s="201">
        <f t="shared" ref="E20:M20" si="8">E19/E5</f>
        <v>-0.15217762596071735</v>
      </c>
      <c r="F20" s="201">
        <f t="shared" si="8"/>
        <v>-0.46389891696750907</v>
      </c>
      <c r="G20" s="201">
        <f t="shared" si="8"/>
        <v>-0.35038363171355497</v>
      </c>
      <c r="H20" s="201">
        <f t="shared" si="8"/>
        <v>-0.77367576243980751</v>
      </c>
      <c r="I20" s="201">
        <f t="shared" si="8"/>
        <v>-1.2109324758842444</v>
      </c>
      <c r="J20" s="201">
        <f t="shared" si="8"/>
        <v>-0.19985621854780736</v>
      </c>
      <c r="K20" s="201">
        <f t="shared" si="8"/>
        <v>-0.10466988727858292</v>
      </c>
      <c r="L20" s="201">
        <f t="shared" si="8"/>
        <v>-0.24660814046288909</v>
      </c>
      <c r="M20" s="201">
        <f t="shared" si="8"/>
        <v>-0.20503597122302158</v>
      </c>
      <c r="N20" s="201"/>
      <c r="O20" s="201"/>
    </row>
    <row r="21" spans="1:15" ht="12" customHeight="1">
      <c r="A21" s="196" t="s">
        <v>219</v>
      </c>
      <c r="B21" s="200">
        <f>Cifras_Originales!B15</f>
        <v>-3.698</v>
      </c>
      <c r="C21" s="200">
        <f>Cifras_Originales!C15</f>
        <v>-1.6</v>
      </c>
      <c r="D21" s="200">
        <f>Cifras_Originales!D15</f>
        <v>5.27</v>
      </c>
      <c r="E21" s="200">
        <f>Cifras_Originales!E15</f>
        <v>95</v>
      </c>
      <c r="F21" s="200">
        <f>Cifras_Originales!F15</f>
        <v>-0.69</v>
      </c>
      <c r="G21" s="200">
        <f>Cifras_Originales!G15</f>
        <v>1.512</v>
      </c>
      <c r="H21" s="200">
        <f>Cifras_Originales!H15</f>
        <v>-0.3</v>
      </c>
      <c r="I21" s="200">
        <f>Cifras_Originales!I15</f>
        <v>1.7</v>
      </c>
      <c r="J21" s="200">
        <f>Cifras_Originales!J15</f>
        <v>4.8</v>
      </c>
      <c r="K21" s="200">
        <f>Cifras_Originales!K15</f>
        <v>4.5</v>
      </c>
      <c r="L21" s="200">
        <f>Cifras_Originales!L15</f>
        <v>0.17</v>
      </c>
      <c r="M21" s="200">
        <f>Cifras_Originales!M15</f>
        <v>0.245</v>
      </c>
      <c r="N21" s="200"/>
      <c r="O21" s="200"/>
    </row>
    <row r="22" spans="1:15" ht="12" customHeight="1">
      <c r="A22" s="196" t="s">
        <v>220</v>
      </c>
      <c r="B22" s="203">
        <f>+B21/B16</f>
        <v>-0.19373428331936293</v>
      </c>
      <c r="C22" s="203">
        <f>+C21/C16</f>
        <v>9.9620818260495996E-3</v>
      </c>
      <c r="D22" s="203">
        <f>+D21/D16</f>
        <v>-4.2261427425821965E-2</v>
      </c>
      <c r="E22" s="203">
        <f t="shared" ref="E22:M22" si="9">+E21/E16</f>
        <v>0.9989484752891693</v>
      </c>
      <c r="F22" s="203">
        <f t="shared" si="9"/>
        <v>1.2861136999068034E-2</v>
      </c>
      <c r="G22" s="203">
        <f t="shared" si="9"/>
        <v>-6.4395229982964222E-2</v>
      </c>
      <c r="H22" s="203">
        <f t="shared" si="9"/>
        <v>4.832474226804123E-3</v>
      </c>
      <c r="I22" s="203">
        <f t="shared" si="9"/>
        <v>-1.1111111111111112E-2</v>
      </c>
      <c r="J22" s="203">
        <f t="shared" si="9"/>
        <v>-0.3584764749813294</v>
      </c>
      <c r="K22" s="203">
        <f t="shared" si="9"/>
        <v>0.91074681238615662</v>
      </c>
      <c r="L22" s="203">
        <f t="shared" si="9"/>
        <v>-9.1891891891891873E-3</v>
      </c>
      <c r="M22" s="203">
        <f t="shared" si="9"/>
        <v>-2.7304134626100526E-2</v>
      </c>
      <c r="N22" s="203"/>
      <c r="O22" s="203"/>
    </row>
    <row r="23" spans="1:15" ht="12" customHeight="1">
      <c r="A23" s="196" t="s">
        <v>41</v>
      </c>
      <c r="B23" s="200">
        <f>Cifras_Originales!B16</f>
        <v>22.786000000000001</v>
      </c>
      <c r="C23" s="200">
        <f>Cifras_Originales!C16</f>
        <v>-159</v>
      </c>
      <c r="D23" s="200">
        <f>Cifras_Originales!D16</f>
        <v>-130</v>
      </c>
      <c r="E23" s="200">
        <f>Cifras_Originales!E16</f>
        <v>6.5000000000000002E-2</v>
      </c>
      <c r="F23" s="200">
        <f>Cifras_Originales!F16</f>
        <v>-53</v>
      </c>
      <c r="G23" s="200">
        <f>Cifras_Originales!G16</f>
        <v>-25</v>
      </c>
      <c r="H23" s="200">
        <f>Cifras_Originales!H16</f>
        <v>-61.8</v>
      </c>
      <c r="I23" s="200">
        <f>Cifras_Originales!I16</f>
        <v>-154.69999999999999</v>
      </c>
      <c r="J23" s="200">
        <f>Cifras_Originales!J16</f>
        <v>-18.2</v>
      </c>
      <c r="K23" s="200">
        <f>Cifras_Originales!K16</f>
        <v>0.4</v>
      </c>
      <c r="L23" s="200">
        <f>Cifras_Originales!L16</f>
        <v>-18.7</v>
      </c>
      <c r="M23" s="200">
        <f>Cifras_Originales!M16</f>
        <v>-9.25</v>
      </c>
      <c r="N23" s="200"/>
      <c r="O23" s="200"/>
    </row>
    <row r="24" spans="1:15" ht="12" customHeight="1">
      <c r="A24" s="196" t="s">
        <v>210</v>
      </c>
      <c r="B24" s="201">
        <f>B23/B5</f>
        <v>3.4102099765029863E-2</v>
      </c>
      <c r="C24" s="201">
        <f>C23/C5</f>
        <v>-0.25657576246570918</v>
      </c>
      <c r="D24" s="201">
        <f>D23/D5</f>
        <v>-0.22526425229596256</v>
      </c>
      <c r="E24" s="201">
        <f t="shared" ref="E24:M24" si="10">E23/E5</f>
        <v>1.3877028181041845E-4</v>
      </c>
      <c r="F24" s="201">
        <f t="shared" si="10"/>
        <v>-0.23916967509025272</v>
      </c>
      <c r="G24" s="201">
        <f t="shared" si="10"/>
        <v>-0.15984654731457801</v>
      </c>
      <c r="H24" s="201">
        <f t="shared" si="10"/>
        <v>-0.4959871589085072</v>
      </c>
      <c r="I24" s="201">
        <f t="shared" si="10"/>
        <v>-0.9948553054662379</v>
      </c>
      <c r="J24" s="201">
        <f t="shared" si="10"/>
        <v>-6.5420560747663545E-2</v>
      </c>
      <c r="K24" s="201">
        <f t="shared" si="10"/>
        <v>1.6103059581320451E-3</v>
      </c>
      <c r="L24" s="201">
        <f t="shared" si="10"/>
        <v>-0.14924181963288108</v>
      </c>
      <c r="M24" s="201">
        <f t="shared" si="10"/>
        <v>-0.11091127098321342</v>
      </c>
      <c r="N24" s="201"/>
      <c r="O24" s="201"/>
    </row>
    <row r="25" spans="1:15" ht="12" customHeight="1">
      <c r="A25" s="204" t="s">
        <v>221</v>
      </c>
      <c r="B25" s="205">
        <f>B23/C23-1</f>
        <v>-1.143308176100629</v>
      </c>
      <c r="C25" s="205">
        <f>C23/D23-1</f>
        <v>0.22307692307692317</v>
      </c>
      <c r="D25" s="205">
        <f>D23/E23-1</f>
        <v>-2001</v>
      </c>
      <c r="E25" s="205">
        <f t="shared" ref="E25:L25" si="11">E23/F23-1</f>
        <v>-1.0012264150943395</v>
      </c>
      <c r="F25" s="205">
        <f t="shared" si="11"/>
        <v>1.1200000000000001</v>
      </c>
      <c r="G25" s="205">
        <f t="shared" si="11"/>
        <v>-0.59546925566343045</v>
      </c>
      <c r="H25" s="205">
        <f t="shared" si="11"/>
        <v>-0.60051712992889461</v>
      </c>
      <c r="I25" s="205">
        <f t="shared" si="11"/>
        <v>7.5</v>
      </c>
      <c r="J25" s="205">
        <f t="shared" si="11"/>
        <v>-46.499999999999993</v>
      </c>
      <c r="K25" s="205">
        <f t="shared" si="11"/>
        <v>-1.0213903743315509</v>
      </c>
      <c r="L25" s="205">
        <f t="shared" si="11"/>
        <v>1.0216216216216214</v>
      </c>
      <c r="M25" s="205"/>
      <c r="N25" s="201"/>
      <c r="O25" s="201"/>
    </row>
    <row r="26" spans="1:15" ht="12" customHeight="1">
      <c r="A26" s="196" t="s">
        <v>222</v>
      </c>
      <c r="B26" s="200">
        <f>B40-C40</f>
        <v>157.22000000000003</v>
      </c>
      <c r="C26" s="200">
        <f>C40-D40</f>
        <v>0</v>
      </c>
      <c r="D26" s="200">
        <f>D40-E40</f>
        <v>96</v>
      </c>
      <c r="E26" s="200">
        <f t="shared" ref="E26:M26" si="12">E40-F40</f>
        <v>112</v>
      </c>
      <c r="F26" s="200">
        <f t="shared" si="12"/>
        <v>29</v>
      </c>
      <c r="G26" s="200">
        <f t="shared" si="12"/>
        <v>8.5999999999999943</v>
      </c>
      <c r="H26" s="200">
        <f t="shared" si="12"/>
        <v>3.8000000000000114</v>
      </c>
      <c r="I26" s="200">
        <f t="shared" si="12"/>
        <v>-72.800000000000011</v>
      </c>
      <c r="J26" s="200">
        <f t="shared" si="12"/>
        <v>32.900000000000006</v>
      </c>
      <c r="K26" s="200">
        <f t="shared" si="12"/>
        <v>19.299999999999997</v>
      </c>
      <c r="L26" s="200">
        <f t="shared" si="12"/>
        <v>67.23</v>
      </c>
      <c r="M26" s="200">
        <f t="shared" si="12"/>
        <v>29.97</v>
      </c>
      <c r="N26" s="201"/>
      <c r="O26" s="201"/>
    </row>
    <row r="27" spans="1:15" ht="12" customHeight="1">
      <c r="A27" s="206" t="s">
        <v>223</v>
      </c>
      <c r="B27" s="207">
        <f>Cifras_Originales!B17</f>
        <v>0</v>
      </c>
      <c r="C27" s="207">
        <f>Cifras_Originales!C17</f>
        <v>0</v>
      </c>
      <c r="D27" s="207">
        <f>Cifras_Originales!D17</f>
        <v>0</v>
      </c>
      <c r="E27" s="207">
        <f>Cifras_Originales!E17</f>
        <v>0</v>
      </c>
      <c r="F27" s="207">
        <f>Cifras_Originales!F17</f>
        <v>0</v>
      </c>
      <c r="G27" s="207">
        <f>Cifras_Originales!G17</f>
        <v>0</v>
      </c>
      <c r="H27" s="207">
        <f>Cifras_Originales!H17</f>
        <v>0</v>
      </c>
      <c r="I27" s="207">
        <f>Cifras_Originales!I17</f>
        <v>0</v>
      </c>
      <c r="J27" s="207">
        <f>Cifras_Originales!J17</f>
        <v>0</v>
      </c>
      <c r="K27" s="207">
        <f>Cifras_Originales!K17</f>
        <v>0</v>
      </c>
      <c r="L27" s="207">
        <f>Cifras_Originales!L17</f>
        <v>0</v>
      </c>
      <c r="M27" s="207">
        <f>Cifras_Originales!M17</f>
        <v>0</v>
      </c>
      <c r="N27" s="201"/>
      <c r="O27" s="201"/>
    </row>
    <row r="28" spans="1:15" ht="12" customHeight="1">
      <c r="A28" s="373"/>
      <c r="B28" s="374">
        <v>-1</v>
      </c>
      <c r="C28" s="374">
        <v>0</v>
      </c>
      <c r="D28" s="374">
        <v>0</v>
      </c>
      <c r="E28" s="374">
        <v>0</v>
      </c>
      <c r="F28" s="374">
        <v>0</v>
      </c>
      <c r="G28" s="374">
        <v>0</v>
      </c>
      <c r="H28" s="374">
        <v>0</v>
      </c>
      <c r="I28" s="374">
        <v>0</v>
      </c>
      <c r="J28" s="374">
        <v>0</v>
      </c>
      <c r="K28" s="374">
        <v>0</v>
      </c>
      <c r="L28" s="374">
        <v>0</v>
      </c>
      <c r="M28" s="200"/>
      <c r="N28" s="201"/>
      <c r="O28" s="201"/>
    </row>
    <row r="29" spans="1:15" ht="12" customHeight="1">
      <c r="A29" s="208" t="s">
        <v>224</v>
      </c>
      <c r="B29" s="209">
        <f>Cifras_Originales!B18</f>
        <v>0</v>
      </c>
      <c r="C29" s="209">
        <f>Cifras_Originales!C18</f>
        <v>0</v>
      </c>
      <c r="D29" s="209">
        <f>Cifras_Originales!D18</f>
        <v>0</v>
      </c>
      <c r="E29" s="209">
        <f>Cifras_Originales!E18</f>
        <v>0</v>
      </c>
      <c r="F29" s="209">
        <f>Cifras_Originales!F18</f>
        <v>0</v>
      </c>
      <c r="G29" s="209">
        <f>Cifras_Originales!G18</f>
        <v>0</v>
      </c>
      <c r="H29" s="209">
        <f>Cifras_Originales!H18</f>
        <v>0</v>
      </c>
      <c r="I29" s="209">
        <f>Cifras_Originales!I18</f>
        <v>0</v>
      </c>
      <c r="J29" s="209">
        <f>Cifras_Originales!J18</f>
        <v>0</v>
      </c>
      <c r="K29" s="209">
        <f>Cifras_Originales!K18</f>
        <v>0</v>
      </c>
      <c r="L29" s="209">
        <f>Cifras_Originales!L18</f>
        <v>0</v>
      </c>
      <c r="M29" s="209">
        <f>Cifras_Originales!M18</f>
        <v>0</v>
      </c>
      <c r="N29" s="201"/>
      <c r="O29" s="201"/>
    </row>
    <row r="30" spans="1:15" ht="12" customHeight="1">
      <c r="A30" s="196" t="s">
        <v>12</v>
      </c>
      <c r="B30" s="200">
        <f>SUM(B26:B29)</f>
        <v>156.22000000000003</v>
      </c>
      <c r="C30" s="200">
        <f>SUM(C26:C29)</f>
        <v>0</v>
      </c>
      <c r="D30" s="200">
        <f>SUM(D26:D29)</f>
        <v>96</v>
      </c>
      <c r="E30" s="200">
        <f t="shared" ref="E30:M30" si="13">SUM(E26:E29)</f>
        <v>112</v>
      </c>
      <c r="F30" s="200">
        <f t="shared" si="13"/>
        <v>29</v>
      </c>
      <c r="G30" s="200">
        <f t="shared" si="13"/>
        <v>8.5999999999999943</v>
      </c>
      <c r="H30" s="200">
        <f t="shared" si="13"/>
        <v>3.8000000000000114</v>
      </c>
      <c r="I30" s="200">
        <f t="shared" si="13"/>
        <v>-72.800000000000011</v>
      </c>
      <c r="J30" s="200">
        <f t="shared" si="13"/>
        <v>32.900000000000006</v>
      </c>
      <c r="K30" s="200">
        <f t="shared" si="13"/>
        <v>19.299999999999997</v>
      </c>
      <c r="L30" s="200">
        <f t="shared" si="13"/>
        <v>67.23</v>
      </c>
      <c r="M30" s="200">
        <f t="shared" si="13"/>
        <v>29.97</v>
      </c>
      <c r="N30" s="201"/>
      <c r="O30" s="201"/>
    </row>
    <row r="31" spans="1:15" ht="12" customHeight="1">
      <c r="A31" s="210" t="s">
        <v>225</v>
      </c>
      <c r="B31" s="211">
        <f>B30-(B60-C60)</f>
        <v>154.06600000000003</v>
      </c>
      <c r="C31" s="211">
        <f>C30-(C60-D60)</f>
        <v>207.04000000000008</v>
      </c>
      <c r="D31" s="211">
        <f>D30-(D60-E60)</f>
        <v>91.5</v>
      </c>
      <c r="E31" s="211">
        <f t="shared" ref="E31:M31" si="14">E30-(E60-F60)</f>
        <v>-655.1</v>
      </c>
      <c r="F31" s="211">
        <f t="shared" si="14"/>
        <v>9.4000000000000057</v>
      </c>
      <c r="G31" s="211">
        <f t="shared" si="14"/>
        <v>-13.900000000000006</v>
      </c>
      <c r="H31" s="211">
        <f t="shared" si="14"/>
        <v>3.8000000000000114</v>
      </c>
      <c r="I31" s="211">
        <f t="shared" si="14"/>
        <v>-72.800000000000011</v>
      </c>
      <c r="J31" s="211">
        <f t="shared" si="14"/>
        <v>32.900000000000006</v>
      </c>
      <c r="K31" s="211">
        <f t="shared" si="14"/>
        <v>19.399999999999999</v>
      </c>
      <c r="L31" s="211">
        <f t="shared" si="14"/>
        <v>71.33</v>
      </c>
      <c r="M31" s="211">
        <f t="shared" si="14"/>
        <v>25.77</v>
      </c>
      <c r="N31" s="211"/>
      <c r="O31" s="211"/>
    </row>
    <row r="32" spans="1:15" ht="12" customHeight="1">
      <c r="A32" s="212" t="s">
        <v>226</v>
      </c>
      <c r="B32" s="213">
        <f>B31+B34</f>
        <v>106.56400000000002</v>
      </c>
      <c r="C32" s="213">
        <f>C31+C34</f>
        <v>169.74000000000007</v>
      </c>
      <c r="D32" s="213">
        <f>D31+D34</f>
        <v>26.5</v>
      </c>
      <c r="E32" s="213">
        <f t="shared" ref="E32:M32" si="15">E31+E34</f>
        <v>-1346.1</v>
      </c>
      <c r="F32" s="213">
        <f t="shared" si="15"/>
        <v>-11.599999999999994</v>
      </c>
      <c r="G32" s="213">
        <f t="shared" si="15"/>
        <v>-43.900000000000006</v>
      </c>
      <c r="H32" s="213">
        <f t="shared" si="15"/>
        <v>-40.199999999999989</v>
      </c>
      <c r="I32" s="213">
        <f t="shared" si="15"/>
        <v>-165.8</v>
      </c>
      <c r="J32" s="213">
        <f t="shared" si="15"/>
        <v>-141.1</v>
      </c>
      <c r="K32" s="213">
        <f t="shared" si="15"/>
        <v>-54.6</v>
      </c>
      <c r="L32" s="213">
        <f t="shared" si="15"/>
        <v>48.33</v>
      </c>
      <c r="M32" s="213">
        <f t="shared" si="15"/>
        <v>13.77</v>
      </c>
      <c r="N32" s="200"/>
      <c r="O32" s="200"/>
    </row>
    <row r="33" spans="1:15" ht="12" customHeight="1">
      <c r="A33" s="196" t="s">
        <v>117</v>
      </c>
      <c r="B33" s="200">
        <f>Cifras_Originales!B13</f>
        <v>-32.81</v>
      </c>
      <c r="C33" s="200">
        <f>Cifras_Originales!C13</f>
        <v>-26.7</v>
      </c>
      <c r="D33" s="200">
        <f>Cifras_Originales!D13</f>
        <v>-30.8</v>
      </c>
      <c r="E33" s="200">
        <f>Cifras_Originales!E13</f>
        <v>-17.7</v>
      </c>
      <c r="F33" s="200">
        <f>Cifras_Originales!F13</f>
        <v>-14.3</v>
      </c>
      <c r="G33" s="200">
        <f>Cifras_Originales!G13</f>
        <v>-11.4</v>
      </c>
      <c r="H33" s="200">
        <f>Cifras_Originales!H13</f>
        <v>-11.4</v>
      </c>
      <c r="I33" s="200">
        <f>Cifras_Originales!I13</f>
        <v>-32.299999999999997</v>
      </c>
      <c r="J33" s="200">
        <f>Cifras_Originales!J13</f>
        <v>-23</v>
      </c>
      <c r="K33" s="200">
        <f>Cifras_Originales!K13</f>
        <v>-20.100000000000001</v>
      </c>
      <c r="L33" s="200">
        <f>Cifras_Originales!L13</f>
        <v>-11</v>
      </c>
      <c r="M33" s="200">
        <f>Cifras_Originales!M13</f>
        <v>-7</v>
      </c>
      <c r="N33" s="201"/>
      <c r="O33" s="201"/>
    </row>
    <row r="34" spans="1:15" ht="12" customHeight="1">
      <c r="A34" s="214" t="s">
        <v>19</v>
      </c>
      <c r="B34" s="200">
        <f>Cifras_Originales!B14</f>
        <v>-47.502000000000002</v>
      </c>
      <c r="C34" s="200">
        <f>Cifras_Originales!C14</f>
        <v>-37.299999999999997</v>
      </c>
      <c r="D34" s="200">
        <f>Cifras_Originales!D14</f>
        <v>-65</v>
      </c>
      <c r="E34" s="200">
        <f>Cifras_Originales!E14</f>
        <v>-691</v>
      </c>
      <c r="F34" s="200">
        <f>Cifras_Originales!F14</f>
        <v>-21</v>
      </c>
      <c r="G34" s="200">
        <f>Cifras_Originales!G14</f>
        <v>-30</v>
      </c>
      <c r="H34" s="200">
        <f>Cifras_Originales!H14</f>
        <v>-44</v>
      </c>
      <c r="I34" s="200">
        <f>Cifras_Originales!I14</f>
        <v>-93</v>
      </c>
      <c r="J34" s="200">
        <f>Cifras_Originales!J14</f>
        <v>-174</v>
      </c>
      <c r="K34" s="200">
        <f>Cifras_Originales!K14</f>
        <v>-74</v>
      </c>
      <c r="L34" s="200">
        <f>Cifras_Originales!L14</f>
        <v>-23</v>
      </c>
      <c r="M34" s="200">
        <f>Cifras_Originales!M14</f>
        <v>-12</v>
      </c>
      <c r="N34" s="201"/>
      <c r="O34" s="201"/>
    </row>
    <row r="35" spans="1:15" ht="12" customHeight="1">
      <c r="A35" s="214" t="s">
        <v>227</v>
      </c>
      <c r="B35" s="200">
        <f t="shared" ref="B35" si="16">+B34+B33</f>
        <v>-80.312000000000012</v>
      </c>
      <c r="C35" s="200">
        <f t="shared" ref="C35:M35" si="17">+C34+C33</f>
        <v>-64</v>
      </c>
      <c r="D35" s="200">
        <f t="shared" si="17"/>
        <v>-95.8</v>
      </c>
      <c r="E35" s="200">
        <f t="shared" si="17"/>
        <v>-708.7</v>
      </c>
      <c r="F35" s="200">
        <f t="shared" si="17"/>
        <v>-35.299999999999997</v>
      </c>
      <c r="G35" s="200">
        <f t="shared" si="17"/>
        <v>-41.4</v>
      </c>
      <c r="H35" s="200">
        <f t="shared" si="17"/>
        <v>-55.4</v>
      </c>
      <c r="I35" s="200">
        <f t="shared" si="17"/>
        <v>-125.3</v>
      </c>
      <c r="J35" s="200">
        <f t="shared" si="17"/>
        <v>-197</v>
      </c>
      <c r="K35" s="200">
        <f t="shared" si="17"/>
        <v>-94.1</v>
      </c>
      <c r="L35" s="200">
        <f t="shared" si="17"/>
        <v>-34</v>
      </c>
      <c r="M35" s="200">
        <f t="shared" si="17"/>
        <v>-19</v>
      </c>
      <c r="N35" s="200"/>
      <c r="O35" s="200"/>
    </row>
    <row r="36" spans="1:15" ht="12" customHeight="1">
      <c r="A36" s="214"/>
      <c r="B36" s="201">
        <f>+B35/B5</f>
        <v>-0.12019695586452551</v>
      </c>
      <c r="C36" s="201">
        <f>+C35/C5</f>
        <v>-0.10327577860254962</v>
      </c>
      <c r="D36" s="201">
        <f t="shared" ref="D36:M36" si="18">+D35/D5</f>
        <v>-0.16600242592271702</v>
      </c>
      <c r="E36" s="201">
        <f t="shared" si="18"/>
        <v>-1.5130230572160548</v>
      </c>
      <c r="F36" s="201">
        <f t="shared" si="18"/>
        <v>-0.15929602888086641</v>
      </c>
      <c r="G36" s="201">
        <f t="shared" si="18"/>
        <v>-0.26470588235294118</v>
      </c>
      <c r="H36" s="201">
        <f t="shared" si="18"/>
        <v>-0.4446227929373997</v>
      </c>
      <c r="I36" s="201">
        <f t="shared" si="18"/>
        <v>-0.80578778135048235</v>
      </c>
      <c r="J36" s="201">
        <f t="shared" si="18"/>
        <v>-0.70812365204888572</v>
      </c>
      <c r="K36" s="201">
        <f t="shared" si="18"/>
        <v>-0.37882447665056357</v>
      </c>
      <c r="L36" s="201">
        <f t="shared" si="18"/>
        <v>-0.27134876296887472</v>
      </c>
      <c r="M36" s="201">
        <f t="shared" si="18"/>
        <v>-0.22781774580335729</v>
      </c>
      <c r="N36" s="200"/>
      <c r="O36" s="200"/>
    </row>
    <row r="37" spans="1:15" ht="12" customHeight="1">
      <c r="A37" s="214" t="s">
        <v>228</v>
      </c>
      <c r="B37" s="200">
        <f t="shared" ref="B37" si="19">SUM(B27:B29)</f>
        <v>-1</v>
      </c>
      <c r="C37" s="200">
        <f t="shared" ref="C37:M37" si="20">SUM(C27:C29)</f>
        <v>0</v>
      </c>
      <c r="D37" s="200">
        <f t="shared" si="20"/>
        <v>0</v>
      </c>
      <c r="E37" s="200">
        <f t="shared" si="20"/>
        <v>0</v>
      </c>
      <c r="F37" s="200">
        <f t="shared" si="20"/>
        <v>0</v>
      </c>
      <c r="G37" s="200">
        <f t="shared" si="20"/>
        <v>0</v>
      </c>
      <c r="H37" s="200">
        <f t="shared" si="20"/>
        <v>0</v>
      </c>
      <c r="I37" s="200">
        <f t="shared" si="20"/>
        <v>0</v>
      </c>
      <c r="J37" s="200">
        <f t="shared" si="20"/>
        <v>0</v>
      </c>
      <c r="K37" s="200">
        <f t="shared" si="20"/>
        <v>0</v>
      </c>
      <c r="L37" s="200">
        <f t="shared" si="20"/>
        <v>0</v>
      </c>
      <c r="M37" s="200">
        <f t="shared" si="20"/>
        <v>0</v>
      </c>
      <c r="N37" s="200"/>
      <c r="O37" s="200"/>
    </row>
    <row r="38" spans="1:15" ht="12" customHeight="1">
      <c r="A38" s="199"/>
      <c r="B38" s="193"/>
      <c r="C38" s="193"/>
      <c r="D38" s="193"/>
      <c r="E38" s="193"/>
      <c r="F38" s="193"/>
      <c r="G38" s="193"/>
      <c r="H38" s="193"/>
      <c r="I38" s="193"/>
      <c r="J38" s="193"/>
      <c r="K38" s="193"/>
      <c r="L38" s="193"/>
      <c r="M38" s="193"/>
      <c r="N38" s="193"/>
      <c r="O38" s="193"/>
    </row>
    <row r="39" spans="1:15" ht="12" customHeight="1">
      <c r="A39" s="215" t="s">
        <v>229</v>
      </c>
      <c r="B39" s="216"/>
      <c r="C39" s="216"/>
      <c r="D39" s="216"/>
      <c r="E39" s="216"/>
      <c r="F39" s="216"/>
      <c r="G39" s="216"/>
      <c r="H39" s="216"/>
      <c r="I39" s="216"/>
      <c r="J39" s="216"/>
      <c r="K39" s="216"/>
      <c r="L39" s="216"/>
      <c r="M39" s="216"/>
      <c r="N39" s="216"/>
      <c r="O39" s="216"/>
    </row>
    <row r="40" spans="1:15" ht="12" customHeight="1">
      <c r="A40" s="196" t="s">
        <v>230</v>
      </c>
      <c r="B40" s="200">
        <f>Cifras_Originales!B22</f>
        <v>483.22</v>
      </c>
      <c r="C40" s="200">
        <f>Cifras_Originales!C22</f>
        <v>326</v>
      </c>
      <c r="D40" s="200">
        <f>Cifras_Originales!D22</f>
        <v>326</v>
      </c>
      <c r="E40" s="200">
        <f>Cifras_Originales!E22</f>
        <v>230</v>
      </c>
      <c r="F40" s="200">
        <f>Cifras_Originales!F22</f>
        <v>118</v>
      </c>
      <c r="G40" s="200">
        <f>Cifras_Originales!G22</f>
        <v>89</v>
      </c>
      <c r="H40" s="200">
        <f>Cifras_Originales!H22</f>
        <v>80.400000000000006</v>
      </c>
      <c r="I40" s="200">
        <f>Cifras_Originales!I22</f>
        <v>76.599999999999994</v>
      </c>
      <c r="J40" s="200">
        <f>Cifras_Originales!J22</f>
        <v>149.4</v>
      </c>
      <c r="K40" s="200">
        <f>Cifras_Originales!K22</f>
        <v>116.5</v>
      </c>
      <c r="L40" s="200">
        <f>Cifras_Originales!L22</f>
        <v>97.2</v>
      </c>
      <c r="M40" s="200">
        <f>Cifras_Originales!M22</f>
        <v>29.97</v>
      </c>
      <c r="N40" s="200"/>
      <c r="O40" s="200"/>
    </row>
    <row r="41" spans="1:15" ht="12" customHeight="1">
      <c r="A41" s="196" t="s">
        <v>231</v>
      </c>
      <c r="B41" s="200">
        <f>Cifras_Originales!B23</f>
        <v>1200.046</v>
      </c>
      <c r="C41" s="200">
        <f>Cifras_Originales!C23</f>
        <v>1176</v>
      </c>
      <c r="D41" s="200">
        <f>Cifras_Originales!D23</f>
        <v>976</v>
      </c>
      <c r="E41" s="200">
        <f>Cifras_Originales!E23</f>
        <v>927.8</v>
      </c>
      <c r="F41" s="200">
        <f>Cifras_Originales!F23</f>
        <v>471.666</v>
      </c>
      <c r="G41" s="200">
        <f>Cifras_Originales!G23</f>
        <v>217</v>
      </c>
      <c r="H41" s="200">
        <f>Cifras_Originales!H23</f>
        <v>205</v>
      </c>
      <c r="I41" s="200">
        <f>Cifras_Originales!I23</f>
        <v>166</v>
      </c>
      <c r="J41" s="200">
        <f>Cifras_Originales!J23</f>
        <v>192</v>
      </c>
      <c r="K41" s="200">
        <f>Cifras_Originales!K23</f>
        <v>218</v>
      </c>
      <c r="L41" s="200">
        <f>Cifras_Originales!L23</f>
        <v>133</v>
      </c>
      <c r="M41" s="200">
        <f>Cifras_Originales!M23</f>
        <v>94.8</v>
      </c>
      <c r="N41" s="200"/>
      <c r="O41" s="200"/>
    </row>
    <row r="42" spans="1:15" ht="12" customHeight="1">
      <c r="A42" s="196" t="s">
        <v>232</v>
      </c>
      <c r="B42" s="200">
        <f>Cifras_Originales!B24</f>
        <v>0</v>
      </c>
      <c r="C42" s="200">
        <f>Cifras_Originales!C24</f>
        <v>0</v>
      </c>
      <c r="D42" s="200">
        <f>Cifras_Originales!D24</f>
        <v>0</v>
      </c>
      <c r="E42" s="200">
        <f>Cifras_Originales!E24</f>
        <v>0</v>
      </c>
      <c r="F42" s="200">
        <f>Cifras_Originales!F24</f>
        <v>0</v>
      </c>
      <c r="G42" s="200">
        <f>Cifras_Originales!G24</f>
        <v>0</v>
      </c>
      <c r="H42" s="200">
        <f>Cifras_Originales!H24</f>
        <v>0</v>
      </c>
      <c r="I42" s="200">
        <f>Cifras_Originales!I24</f>
        <v>0</v>
      </c>
      <c r="J42" s="200">
        <f>Cifras_Originales!J24</f>
        <v>0</v>
      </c>
      <c r="K42" s="200">
        <f>Cifras_Originales!K24</f>
        <v>0</v>
      </c>
      <c r="L42" s="200">
        <f>Cifras_Originales!L24</f>
        <v>0</v>
      </c>
      <c r="M42" s="200">
        <f>Cifras_Originales!M24</f>
        <v>0</v>
      </c>
      <c r="N42" s="200"/>
      <c r="O42" s="200"/>
    </row>
    <row r="43" spans="1:15" ht="12" customHeight="1">
      <c r="A43" s="196" t="s">
        <v>233</v>
      </c>
      <c r="B43" s="200">
        <f>Cifras_Originales!B25</f>
        <v>68.73</v>
      </c>
      <c r="C43" s="200">
        <f>Cifras_Originales!C25</f>
        <v>47.4</v>
      </c>
      <c r="D43" s="200">
        <f>Cifras_Originales!D25</f>
        <v>44.9</v>
      </c>
      <c r="E43" s="200">
        <f>Cifras_Originales!E25</f>
        <v>34</v>
      </c>
      <c r="F43" s="200">
        <f>Cifras_Originales!F25</f>
        <v>24</v>
      </c>
      <c r="G43" s="200">
        <f>Cifras_Originales!G25</f>
        <v>24</v>
      </c>
      <c r="H43" s="200">
        <f>Cifras_Originales!H25</f>
        <v>33</v>
      </c>
      <c r="I43" s="200">
        <f>Cifras_Originales!I25</f>
        <v>47.4</v>
      </c>
      <c r="J43" s="200">
        <f>Cifras_Originales!J25</f>
        <v>36.200000000000003</v>
      </c>
      <c r="K43" s="200">
        <f>Cifras_Originales!K25</f>
        <v>25.4</v>
      </c>
      <c r="L43" s="200">
        <f>Cifras_Originales!L25</f>
        <v>15.2</v>
      </c>
      <c r="M43" s="200">
        <f>Cifras_Originales!M25</f>
        <v>8.7200000000000006</v>
      </c>
      <c r="N43" s="200"/>
      <c r="O43" s="200"/>
    </row>
    <row r="44" spans="1:15" ht="12" customHeight="1">
      <c r="A44" s="196" t="s">
        <v>234</v>
      </c>
      <c r="B44" s="200">
        <f>Cifras_Originales!B26</f>
        <v>1102.7719999999999</v>
      </c>
      <c r="C44" s="200">
        <f>Cifras_Originales!C26</f>
        <v>1139.5999999999999</v>
      </c>
      <c r="D44" s="200">
        <f>Cifras_Originales!D26</f>
        <v>1365.1</v>
      </c>
      <c r="E44" s="200">
        <f>Cifras_Originales!E26</f>
        <v>1520.8</v>
      </c>
      <c r="F44" s="200">
        <f>Cifras_Originales!F26</f>
        <v>325.23399999999998</v>
      </c>
      <c r="G44" s="200">
        <f>Cifras_Originales!G26</f>
        <v>65</v>
      </c>
      <c r="H44" s="200">
        <f>Cifras_Originales!H26</f>
        <v>41.599999999999994</v>
      </c>
      <c r="I44" s="200">
        <f>Cifras_Originales!I26</f>
        <v>93.600000000000051</v>
      </c>
      <c r="J44" s="200">
        <f>Cifras_Originales!J26</f>
        <v>142.16999999999999</v>
      </c>
      <c r="K44" s="200">
        <f>Cifras_Originales!K26</f>
        <v>177.10000000000002</v>
      </c>
      <c r="L44" s="200">
        <f>Cifras_Originales!L26</f>
        <v>50.600000000000009</v>
      </c>
      <c r="M44" s="200">
        <f>Cifras_Originales!M26</f>
        <v>16.398800000000008</v>
      </c>
      <c r="N44" s="200"/>
      <c r="O44" s="200"/>
    </row>
    <row r="45" spans="1:15" ht="12" customHeight="1">
      <c r="A45" s="196" t="s">
        <v>235</v>
      </c>
      <c r="B45" s="217">
        <f>Cifras_Originales!B27</f>
        <v>2854.768</v>
      </c>
      <c r="C45" s="217">
        <f>Cifras_Originales!C27</f>
        <v>2689</v>
      </c>
      <c r="D45" s="217">
        <f>Cifras_Originales!D27</f>
        <v>2712</v>
      </c>
      <c r="E45" s="217">
        <f>Cifras_Originales!E27</f>
        <v>2712.6</v>
      </c>
      <c r="F45" s="217">
        <f>Cifras_Originales!F27</f>
        <v>938.9</v>
      </c>
      <c r="G45" s="217">
        <f>Cifras_Originales!G27</f>
        <v>395</v>
      </c>
      <c r="H45" s="217">
        <f>Cifras_Originales!H27</f>
        <v>360</v>
      </c>
      <c r="I45" s="217">
        <f>Cifras_Originales!I27</f>
        <v>383.6</v>
      </c>
      <c r="J45" s="217">
        <f>Cifras_Originales!J27</f>
        <v>519.77</v>
      </c>
      <c r="K45" s="217">
        <f>Cifras_Originales!K27</f>
        <v>537</v>
      </c>
      <c r="L45" s="217">
        <f>Cifras_Originales!L27</f>
        <v>296</v>
      </c>
      <c r="M45" s="217">
        <f>Cifras_Originales!M27</f>
        <v>149.8888</v>
      </c>
      <c r="N45" s="217"/>
      <c r="O45" s="217"/>
    </row>
    <row r="46" spans="1:15" ht="12" customHeight="1">
      <c r="B46" s="192"/>
      <c r="C46" s="192"/>
      <c r="D46" s="192"/>
      <c r="E46" s="192"/>
      <c r="F46" s="192"/>
      <c r="G46" s="192"/>
      <c r="H46" s="192"/>
      <c r="I46" s="192"/>
      <c r="J46" s="192"/>
      <c r="K46" s="192"/>
      <c r="L46" s="192"/>
      <c r="M46" s="192"/>
      <c r="N46" s="192"/>
      <c r="O46" s="192"/>
    </row>
    <row r="47" spans="1:15" ht="12" customHeight="1">
      <c r="B47" s="192"/>
      <c r="C47" s="192"/>
      <c r="D47" s="192"/>
      <c r="E47" s="192"/>
      <c r="F47" s="192"/>
      <c r="G47" s="192"/>
      <c r="H47" s="192"/>
      <c r="I47" s="192"/>
      <c r="J47" s="192"/>
      <c r="K47" s="192"/>
      <c r="L47" s="192"/>
      <c r="M47" s="192"/>
      <c r="N47" s="192"/>
      <c r="O47" s="192"/>
    </row>
    <row r="48" spans="1:15" ht="12" customHeight="1">
      <c r="A48" s="215" t="s">
        <v>236</v>
      </c>
      <c r="B48" s="216"/>
      <c r="C48" s="216"/>
      <c r="D48" s="216"/>
      <c r="E48" s="216"/>
      <c r="F48" s="216"/>
      <c r="G48" s="216"/>
      <c r="H48" s="216"/>
      <c r="I48" s="216"/>
      <c r="J48" s="216"/>
      <c r="K48" s="216"/>
      <c r="L48" s="216"/>
      <c r="M48" s="216"/>
      <c r="N48" s="216"/>
      <c r="O48" s="216"/>
    </row>
    <row r="49" spans="1:15" ht="12" customHeight="1">
      <c r="A49" s="196" t="s">
        <v>237</v>
      </c>
      <c r="B49" s="200">
        <f>Cifras_Originales!B31</f>
        <v>1495.9839999999999</v>
      </c>
      <c r="C49" s="200">
        <f>Cifras_Originales!C31</f>
        <v>1402</v>
      </c>
      <c r="D49" s="200">
        <f>Cifras_Originales!D31</f>
        <v>1125</v>
      </c>
      <c r="E49" s="200">
        <f>Cifras_Originales!E31</f>
        <v>1029</v>
      </c>
      <c r="F49" s="200">
        <f>Cifras_Originales!F31</f>
        <v>522</v>
      </c>
      <c r="G49" s="200">
        <f>Cifras_Originales!G31</f>
        <v>267</v>
      </c>
      <c r="H49" s="200">
        <f>Cifras_Originales!H31</f>
        <v>241</v>
      </c>
      <c r="I49" s="200">
        <f>Cifras_Originales!I31</f>
        <v>217</v>
      </c>
      <c r="J49" s="200">
        <f>Cifras_Originales!J31</f>
        <v>218</v>
      </c>
      <c r="K49" s="200">
        <f>Cifras_Originales!K31</f>
        <v>250</v>
      </c>
      <c r="L49" s="200">
        <f>Cifras_Originales!L31</f>
        <v>154</v>
      </c>
      <c r="M49" s="200">
        <f>Cifras_Originales!M31</f>
        <v>123.4</v>
      </c>
      <c r="N49" s="200"/>
      <c r="O49" s="200"/>
    </row>
    <row r="50" spans="1:15" ht="12" customHeight="1">
      <c r="A50" s="196" t="s">
        <v>238</v>
      </c>
      <c r="B50" s="200">
        <f>Cifras_Originales!B32</f>
        <v>3.641</v>
      </c>
      <c r="C50" s="200">
        <f>Cifras_Originales!C32</f>
        <v>3.6</v>
      </c>
      <c r="D50" s="200">
        <f>Cifras_Originales!D32</f>
        <v>3.6</v>
      </c>
      <c r="E50" s="200">
        <f>Cifras_Originales!E32</f>
        <v>3.6</v>
      </c>
      <c r="F50" s="200">
        <f>Cifras_Originales!F32</f>
        <v>0</v>
      </c>
      <c r="G50" s="200">
        <f>Cifras_Originales!G32</f>
        <v>0</v>
      </c>
      <c r="H50" s="200">
        <f>Cifras_Originales!H32</f>
        <v>0</v>
      </c>
      <c r="I50" s="200">
        <f>Cifras_Originales!I32</f>
        <v>0</v>
      </c>
      <c r="J50" s="200">
        <f>Cifras_Originales!J32</f>
        <v>0</v>
      </c>
      <c r="K50" s="200">
        <f>Cifras_Originales!K32</f>
        <v>0</v>
      </c>
      <c r="L50" s="200">
        <f>Cifras_Originales!L32</f>
        <v>0.1</v>
      </c>
      <c r="M50" s="200">
        <f>Cifras_Originales!M32</f>
        <v>0.3</v>
      </c>
      <c r="N50" s="200"/>
      <c r="O50" s="200"/>
    </row>
    <row r="51" spans="1:15" ht="12" customHeight="1">
      <c r="A51" s="196" t="s">
        <v>239</v>
      </c>
      <c r="B51" s="200">
        <f>Cifras_Originales!B33</f>
        <v>16.085999999999999</v>
      </c>
      <c r="C51" s="200">
        <f>Cifras_Originales!C33</f>
        <v>20.399999999999999</v>
      </c>
      <c r="D51" s="200">
        <f>Cifras_Originales!D33</f>
        <v>21.1</v>
      </c>
      <c r="E51" s="200">
        <f>Cifras_Originales!E33</f>
        <v>19.100000000000001</v>
      </c>
      <c r="F51" s="200">
        <f>Cifras_Originales!F33</f>
        <v>9.8000000000000007</v>
      </c>
      <c r="G51" s="200">
        <f>Cifras_Originales!G33</f>
        <v>7.3</v>
      </c>
      <c r="H51" s="200">
        <f>Cifras_Originales!H33</f>
        <v>0</v>
      </c>
      <c r="I51" s="200">
        <f>Cifras_Originales!I33</f>
        <v>0</v>
      </c>
      <c r="J51" s="200">
        <f>Cifras_Originales!J33</f>
        <v>0</v>
      </c>
      <c r="K51" s="200">
        <f>Cifras_Originales!K33</f>
        <v>0</v>
      </c>
      <c r="L51" s="200">
        <f>Cifras_Originales!L33</f>
        <v>0</v>
      </c>
      <c r="M51" s="200">
        <f>Cifras_Originales!M33</f>
        <v>0</v>
      </c>
      <c r="N51" s="200"/>
      <c r="O51" s="200"/>
    </row>
    <row r="52" spans="1:15" ht="12" customHeight="1">
      <c r="A52" s="196" t="s">
        <v>240</v>
      </c>
      <c r="B52" s="200">
        <f>Cifras_Originales!B34</f>
        <v>1476.2569999999998</v>
      </c>
      <c r="C52" s="200">
        <f>Cifras_Originales!C34</f>
        <v>1378</v>
      </c>
      <c r="D52" s="200">
        <f>Cifras_Originales!D34</f>
        <v>1100.3000000000002</v>
      </c>
      <c r="E52" s="200">
        <f>Cifras_Originales!E34</f>
        <v>1006.3000000000001</v>
      </c>
      <c r="F52" s="200">
        <f>Cifras_Originales!F34</f>
        <v>512.20000000000005</v>
      </c>
      <c r="G52" s="200">
        <f>Cifras_Originales!G34</f>
        <v>259.7</v>
      </c>
      <c r="H52" s="200">
        <f>Cifras_Originales!H34</f>
        <v>241</v>
      </c>
      <c r="I52" s="200">
        <f>Cifras_Originales!I34</f>
        <v>217</v>
      </c>
      <c r="J52" s="200">
        <f>Cifras_Originales!J34</f>
        <v>218</v>
      </c>
      <c r="K52" s="200">
        <f>Cifras_Originales!K34</f>
        <v>250</v>
      </c>
      <c r="L52" s="200">
        <f>Cifras_Originales!L34</f>
        <v>153.9</v>
      </c>
      <c r="M52" s="200">
        <f>Cifras_Originales!M34</f>
        <v>123.10000000000001</v>
      </c>
      <c r="N52" s="200"/>
      <c r="O52" s="200"/>
    </row>
    <row r="53" spans="1:15" ht="12" customHeight="1">
      <c r="A53" s="196" t="s">
        <v>241</v>
      </c>
      <c r="B53" s="200">
        <f>Cifras_Originales!B35</f>
        <v>590.56600000000026</v>
      </c>
      <c r="C53" s="200">
        <f>Cifras_Originales!C35</f>
        <v>585</v>
      </c>
      <c r="D53" s="200">
        <f>Cifras_Originales!D35</f>
        <v>796</v>
      </c>
      <c r="E53" s="200">
        <f>Cifras_Originales!E35</f>
        <v>803</v>
      </c>
      <c r="F53" s="200">
        <f>Cifras_Originales!F35</f>
        <v>35.399999999999977</v>
      </c>
      <c r="G53" s="200">
        <f>Cifras_Originales!G35</f>
        <v>16.300000000000011</v>
      </c>
      <c r="H53" s="200">
        <f>Cifras_Originales!H35</f>
        <v>0.99989999999999668</v>
      </c>
      <c r="I53" s="200">
        <f>Cifras_Originales!I35</f>
        <v>2</v>
      </c>
      <c r="J53" s="200">
        <f>Cifras_Originales!J35</f>
        <v>2.3000000000000114</v>
      </c>
      <c r="K53" s="200">
        <f>Cifras_Originales!K35</f>
        <v>8.6999999999999886</v>
      </c>
      <c r="L53" s="200">
        <f>Cifras_Originales!L35</f>
        <v>13.699999999999989</v>
      </c>
      <c r="M53" s="200">
        <f>Cifras_Originales!M35</f>
        <v>10.299999999999983</v>
      </c>
      <c r="N53" s="200"/>
      <c r="O53" s="200"/>
    </row>
    <row r="54" spans="1:15" ht="12" customHeight="1">
      <c r="A54" s="196" t="s">
        <v>242</v>
      </c>
      <c r="B54" s="200">
        <f>Cifras_Originales!B36</f>
        <v>550.10400000000004</v>
      </c>
      <c r="C54" s="200">
        <f>Cifras_Originales!C36</f>
        <v>533</v>
      </c>
      <c r="D54" s="200">
        <f>Cifras_Originales!D36</f>
        <v>722.7</v>
      </c>
      <c r="E54" s="200">
        <f>Cifras_Originales!E36</f>
        <v>720</v>
      </c>
      <c r="F54" s="200">
        <f>Cifras_Originales!F36</f>
        <v>0</v>
      </c>
      <c r="G54" s="200">
        <f>Cifras_Originales!G36</f>
        <v>0</v>
      </c>
      <c r="H54" s="200">
        <f>Cifras_Originales!H36</f>
        <v>0</v>
      </c>
      <c r="I54" s="200">
        <f>Cifras_Originales!I36</f>
        <v>0</v>
      </c>
      <c r="J54" s="200">
        <f>Cifras_Originales!J36</f>
        <v>0</v>
      </c>
      <c r="K54" s="200">
        <f>Cifras_Originales!K36</f>
        <v>0</v>
      </c>
      <c r="L54" s="200">
        <f>Cifras_Originales!L36</f>
        <v>0</v>
      </c>
      <c r="M54" s="200">
        <f>Cifras_Originales!M36</f>
        <v>0</v>
      </c>
      <c r="N54" s="200"/>
      <c r="O54" s="200"/>
    </row>
    <row r="55" spans="1:15" ht="12" customHeight="1">
      <c r="A55" s="196" t="s">
        <v>243</v>
      </c>
      <c r="B55" s="200">
        <f>Cifras_Originales!B37</f>
        <v>38.982999999999997</v>
      </c>
      <c r="C55" s="200">
        <f>Cifras_Originales!C37</f>
        <v>49.66</v>
      </c>
      <c r="D55" s="200">
        <f>Cifras_Originales!D37</f>
        <v>66.3</v>
      </c>
      <c r="E55" s="200">
        <f>Cifras_Originales!E37</f>
        <v>66.5</v>
      </c>
      <c r="F55" s="200">
        <f>Cifras_Originales!F37</f>
        <v>32.299999999999997</v>
      </c>
      <c r="G55" s="200">
        <f>Cifras_Originales!G37</f>
        <v>15.2</v>
      </c>
      <c r="H55" s="200">
        <f>Cifras_Originales!H37</f>
        <v>0</v>
      </c>
      <c r="I55" s="200">
        <f>Cifras_Originales!I37</f>
        <v>0</v>
      </c>
      <c r="J55" s="200">
        <f>Cifras_Originales!J37</f>
        <v>0</v>
      </c>
      <c r="K55" s="200">
        <f>Cifras_Originales!K37</f>
        <v>0</v>
      </c>
      <c r="L55" s="200">
        <f>Cifras_Originales!L37</f>
        <v>0</v>
      </c>
      <c r="M55" s="200">
        <f>Cifras_Originales!M37</f>
        <v>3.9</v>
      </c>
      <c r="N55" s="200"/>
      <c r="O55" s="200"/>
    </row>
    <row r="56" spans="1:15" ht="12" customHeight="1">
      <c r="A56" s="196" t="s">
        <v>244</v>
      </c>
      <c r="B56" s="200">
        <f>B53-SUM(B54:B55)</f>
        <v>1.4790000000002692</v>
      </c>
      <c r="C56" s="200">
        <f>Cifras_Originales!C38</f>
        <v>2.3400000000000034</v>
      </c>
      <c r="D56" s="200">
        <f>Cifras_Originales!D38</f>
        <v>6.9999999999999574</v>
      </c>
      <c r="E56" s="200">
        <f>Cifras_Originales!E38</f>
        <v>16.5</v>
      </c>
      <c r="F56" s="200">
        <f>Cifras_Originales!F38</f>
        <v>3.0999999999999801</v>
      </c>
      <c r="G56" s="200">
        <f>Cifras_Originales!G38</f>
        <v>1.1000000000000121</v>
      </c>
      <c r="H56" s="200">
        <f>Cifras_Originales!H38</f>
        <v>0.99989999999999668</v>
      </c>
      <c r="I56" s="200">
        <f>Cifras_Originales!I38</f>
        <v>2</v>
      </c>
      <c r="J56" s="200">
        <f>Cifras_Originales!J38</f>
        <v>2.3000000000000114</v>
      </c>
      <c r="K56" s="200">
        <f>Cifras_Originales!K38</f>
        <v>8.6999999999999886</v>
      </c>
      <c r="L56" s="200">
        <f>Cifras_Originales!L38</f>
        <v>13.699999999999989</v>
      </c>
      <c r="M56" s="200">
        <f>Cifras_Originales!M38</f>
        <v>6.3999999999999826</v>
      </c>
      <c r="N56" s="200"/>
      <c r="O56" s="200"/>
    </row>
    <row r="57" spans="1:15" ht="12" customHeight="1">
      <c r="A57" s="196" t="s">
        <v>245</v>
      </c>
      <c r="B57" s="217"/>
      <c r="C57" s="217">
        <f>Cifras_Originales!C39</f>
        <v>1987</v>
      </c>
      <c r="D57" s="217">
        <f>Cifras_Originales!D39</f>
        <v>1921</v>
      </c>
      <c r="E57" s="217">
        <f>Cifras_Originales!E39</f>
        <v>1832</v>
      </c>
      <c r="F57" s="217">
        <f>Cifras_Originales!F39</f>
        <v>557.4</v>
      </c>
      <c r="G57" s="217">
        <f>Cifras_Originales!G39</f>
        <v>283.3</v>
      </c>
      <c r="H57" s="217">
        <f>Cifras_Originales!H39</f>
        <v>241.9999</v>
      </c>
      <c r="I57" s="217">
        <f>Cifras_Originales!I39</f>
        <v>219</v>
      </c>
      <c r="J57" s="217">
        <f>Cifras_Originales!J39</f>
        <v>220.3</v>
      </c>
      <c r="K57" s="217">
        <f>Cifras_Originales!K39</f>
        <v>258.7</v>
      </c>
      <c r="L57" s="217">
        <f>Cifras_Originales!L39</f>
        <v>167.7</v>
      </c>
      <c r="M57" s="217">
        <f>Cifras_Originales!M39</f>
        <v>133.69999999999999</v>
      </c>
      <c r="N57" s="217"/>
      <c r="O57" s="217"/>
    </row>
    <row r="58" spans="1:15" ht="12" customHeight="1">
      <c r="B58" s="192"/>
      <c r="C58" s="192"/>
      <c r="D58" s="192"/>
      <c r="E58" s="192"/>
      <c r="F58" s="192"/>
      <c r="G58" s="192"/>
      <c r="H58" s="192"/>
      <c r="I58" s="192"/>
      <c r="J58" s="192"/>
      <c r="K58" s="192"/>
      <c r="L58" s="192"/>
      <c r="M58" s="192"/>
      <c r="N58" s="192"/>
      <c r="O58" s="192"/>
    </row>
    <row r="59" spans="1:15" ht="12" customHeight="1">
      <c r="A59" s="196" t="s">
        <v>364</v>
      </c>
      <c r="B59" s="200">
        <f>B60-B40</f>
        <v>125.59399999999994</v>
      </c>
      <c r="C59" s="200">
        <f t="shared" ref="C59:M59" si="21">C60-C40</f>
        <v>280.65999999999997</v>
      </c>
      <c r="D59" s="200">
        <f t="shared" si="21"/>
        <v>487.70000000000005</v>
      </c>
      <c r="E59" s="200">
        <f t="shared" si="21"/>
        <v>579.20000000000005</v>
      </c>
      <c r="F59" s="200">
        <f t="shared" si="21"/>
        <v>-75.900000000000006</v>
      </c>
      <c r="G59" s="200">
        <f t="shared" si="21"/>
        <v>-66.5</v>
      </c>
      <c r="H59" s="200">
        <f t="shared" si="21"/>
        <v>-80.400000000000006</v>
      </c>
      <c r="I59" s="200">
        <f t="shared" si="21"/>
        <v>-76.599999999999994</v>
      </c>
      <c r="J59" s="200">
        <f t="shared" si="21"/>
        <v>-149.4</v>
      </c>
      <c r="K59" s="200">
        <f t="shared" si="21"/>
        <v>-116.5</v>
      </c>
      <c r="L59" s="200">
        <f t="shared" si="21"/>
        <v>-97.100000000000009</v>
      </c>
      <c r="M59" s="200">
        <f t="shared" si="21"/>
        <v>-25.77</v>
      </c>
      <c r="N59" s="192"/>
      <c r="O59" s="192"/>
    </row>
    <row r="60" spans="1:15" ht="12" customHeight="1">
      <c r="A60" s="196" t="s">
        <v>17</v>
      </c>
      <c r="B60" s="200">
        <f>B50+B51+B54+B55</f>
        <v>608.81399999999996</v>
      </c>
      <c r="C60" s="200">
        <f t="shared" ref="C60:M60" si="22">C50+C51+C54+C55</f>
        <v>606.66</v>
      </c>
      <c r="D60" s="200">
        <f t="shared" si="22"/>
        <v>813.7</v>
      </c>
      <c r="E60" s="200">
        <f t="shared" si="22"/>
        <v>809.2</v>
      </c>
      <c r="F60" s="200">
        <f t="shared" si="22"/>
        <v>42.099999999999994</v>
      </c>
      <c r="G60" s="200">
        <f t="shared" si="22"/>
        <v>22.5</v>
      </c>
      <c r="H60" s="200">
        <f t="shared" si="22"/>
        <v>0</v>
      </c>
      <c r="I60" s="200">
        <f t="shared" si="22"/>
        <v>0</v>
      </c>
      <c r="J60" s="200">
        <f t="shared" si="22"/>
        <v>0</v>
      </c>
      <c r="K60" s="200">
        <f t="shared" si="22"/>
        <v>0</v>
      </c>
      <c r="L60" s="200">
        <f t="shared" si="22"/>
        <v>0.1</v>
      </c>
      <c r="M60" s="200">
        <f t="shared" si="22"/>
        <v>4.2</v>
      </c>
      <c r="N60" s="200"/>
      <c r="O60" s="200"/>
    </row>
    <row r="61" spans="1:15" ht="12" customHeight="1">
      <c r="B61" s="202">
        <f>B60/B45</f>
        <v>0.21326216351030974</v>
      </c>
      <c r="C61" s="202">
        <f>C60/C45</f>
        <v>0.22560803272592039</v>
      </c>
      <c r="D61" s="202">
        <f>D60/D45</f>
        <v>0.3000368731563422</v>
      </c>
      <c r="E61" s="202">
        <f t="shared" ref="E61:M61" si="23">E60/E45</f>
        <v>0.29831158298311583</v>
      </c>
      <c r="F61" s="202">
        <f t="shared" si="23"/>
        <v>4.4839706038981783E-2</v>
      </c>
      <c r="G61" s="202">
        <f t="shared" si="23"/>
        <v>5.6962025316455694E-2</v>
      </c>
      <c r="H61" s="202">
        <f t="shared" si="23"/>
        <v>0</v>
      </c>
      <c r="I61" s="202">
        <f t="shared" si="23"/>
        <v>0</v>
      </c>
      <c r="J61" s="202">
        <f t="shared" si="23"/>
        <v>0</v>
      </c>
      <c r="K61" s="202">
        <f t="shared" si="23"/>
        <v>0</v>
      </c>
      <c r="L61" s="202">
        <f t="shared" si="23"/>
        <v>3.3783783783783786E-4</v>
      </c>
      <c r="M61" s="202">
        <f t="shared" si="23"/>
        <v>2.8020772732852622E-2</v>
      </c>
      <c r="N61" s="202"/>
      <c r="O61" s="202"/>
    </row>
    <row r="62" spans="1:15" ht="12" customHeight="1">
      <c r="B62" s="192"/>
      <c r="C62" s="192"/>
      <c r="D62" s="192"/>
      <c r="E62" s="192"/>
      <c r="F62" s="192"/>
      <c r="G62" s="192"/>
      <c r="H62" s="192"/>
      <c r="I62" s="192"/>
      <c r="J62" s="192"/>
      <c r="K62" s="192"/>
      <c r="L62" s="192"/>
      <c r="M62" s="192"/>
      <c r="N62" s="192"/>
      <c r="O62" s="192"/>
    </row>
    <row r="63" spans="1:15" s="218" customFormat="1" ht="12" customHeight="1">
      <c r="A63" s="215" t="s">
        <v>246</v>
      </c>
      <c r="B63" s="217">
        <f>Cifras_Originales!B42</f>
        <v>0</v>
      </c>
      <c r="C63" s="217">
        <f>Cifras_Originales!C42</f>
        <v>0</v>
      </c>
      <c r="D63" s="217">
        <f>Cifras_Originales!D42</f>
        <v>0</v>
      </c>
      <c r="E63" s="217">
        <f>Cifras_Originales!E42</f>
        <v>0</v>
      </c>
      <c r="F63" s="217">
        <f>Cifras_Originales!F42</f>
        <v>0</v>
      </c>
      <c r="G63" s="217">
        <f>Cifras_Originales!G42</f>
        <v>0</v>
      </c>
      <c r="H63" s="217">
        <f>Cifras_Originales!H42</f>
        <v>0</v>
      </c>
      <c r="I63" s="217">
        <f>Cifras_Originales!I42</f>
        <v>0</v>
      </c>
      <c r="J63" s="217">
        <f>Cifras_Originales!J42</f>
        <v>0</v>
      </c>
      <c r="K63" s="217">
        <f>Cifras_Originales!K42</f>
        <v>0</v>
      </c>
      <c r="L63" s="217">
        <f>Cifras_Originales!L42</f>
        <v>0</v>
      </c>
      <c r="M63" s="217">
        <f>Cifras_Originales!M42</f>
        <v>0</v>
      </c>
      <c r="N63" s="217"/>
      <c r="O63" s="217"/>
    </row>
    <row r="64" spans="1:15" ht="12" customHeight="1">
      <c r="B64" s="192"/>
      <c r="C64" s="192"/>
      <c r="D64" s="192"/>
      <c r="E64" s="192"/>
      <c r="F64" s="192"/>
      <c r="G64" s="192"/>
      <c r="H64" s="192"/>
      <c r="I64" s="192"/>
      <c r="J64" s="192"/>
      <c r="K64" s="192"/>
      <c r="L64" s="192"/>
      <c r="M64" s="192"/>
      <c r="N64" s="192"/>
      <c r="O64" s="192"/>
    </row>
    <row r="65" spans="1:242" ht="12" customHeight="1">
      <c r="B65" s="192"/>
      <c r="C65" s="192"/>
      <c r="D65" s="192"/>
      <c r="E65" s="192"/>
      <c r="F65" s="192"/>
      <c r="G65" s="192"/>
      <c r="H65" s="192"/>
      <c r="I65" s="192"/>
      <c r="J65" s="192"/>
      <c r="K65" s="192"/>
      <c r="L65" s="192"/>
      <c r="M65" s="192"/>
      <c r="N65" s="192"/>
      <c r="O65" s="192"/>
    </row>
    <row r="66" spans="1:242" ht="12" customHeight="1">
      <c r="A66" s="215" t="s">
        <v>247</v>
      </c>
      <c r="B66" s="200">
        <f>B45-B57-B63</f>
        <v>2854.768</v>
      </c>
      <c r="C66" s="200">
        <f>C45-C57-C63</f>
        <v>702</v>
      </c>
      <c r="D66" s="200">
        <f>D45-D57-D63</f>
        <v>791</v>
      </c>
      <c r="E66" s="200">
        <f t="shared" ref="E66:M66" si="24">E45-E57-E63</f>
        <v>880.59999999999991</v>
      </c>
      <c r="F66" s="200">
        <f t="shared" si="24"/>
        <v>381.5</v>
      </c>
      <c r="G66" s="200">
        <f t="shared" si="24"/>
        <v>111.69999999999999</v>
      </c>
      <c r="H66" s="200">
        <f t="shared" si="24"/>
        <v>118.0001</v>
      </c>
      <c r="I66" s="200">
        <f t="shared" si="24"/>
        <v>164.60000000000002</v>
      </c>
      <c r="J66" s="200">
        <f t="shared" si="24"/>
        <v>299.46999999999997</v>
      </c>
      <c r="K66" s="200">
        <f t="shared" si="24"/>
        <v>278.3</v>
      </c>
      <c r="L66" s="200">
        <f t="shared" si="24"/>
        <v>128.30000000000001</v>
      </c>
      <c r="M66" s="200">
        <f t="shared" si="24"/>
        <v>16.188800000000015</v>
      </c>
      <c r="N66" s="200"/>
      <c r="O66" s="200"/>
    </row>
    <row r="67" spans="1:242" ht="12" customHeight="1">
      <c r="L67" s="196"/>
      <c r="M67" s="196"/>
      <c r="N67" s="196"/>
      <c r="O67" s="196"/>
    </row>
    <row r="68" spans="1:242" ht="12" customHeight="1">
      <c r="L68" s="196"/>
      <c r="M68" s="196"/>
      <c r="N68" s="196"/>
      <c r="O68" s="196"/>
    </row>
    <row r="69" spans="1:242" ht="12" customHeight="1">
      <c r="A69" s="199" t="s">
        <v>248</v>
      </c>
      <c r="B69" s="199"/>
      <c r="C69" s="199"/>
      <c r="D69" s="199"/>
      <c r="E69" s="199"/>
      <c r="F69" s="199"/>
      <c r="G69" s="199"/>
      <c r="H69" s="199"/>
      <c r="I69" s="199"/>
      <c r="J69" s="199"/>
      <c r="K69" s="199"/>
      <c r="L69" s="199"/>
      <c r="M69" s="199"/>
      <c r="N69" s="199"/>
      <c r="O69" s="199"/>
    </row>
    <row r="70" spans="1:242" ht="12" customHeight="1">
      <c r="A70" s="196" t="s">
        <v>249</v>
      </c>
      <c r="B70" s="200"/>
      <c r="C70" s="200">
        <f>Cifras_Originales!C47</f>
        <v>911</v>
      </c>
      <c r="D70" s="200">
        <f>Cifras_Originales!D47</f>
        <v>947</v>
      </c>
      <c r="E70" s="200">
        <f>Cifras_Originales!E47</f>
        <v>876</v>
      </c>
      <c r="F70" s="200">
        <f>Cifras_Originales!F47</f>
        <v>569</v>
      </c>
      <c r="G70" s="200">
        <f>Cifras_Originales!G47</f>
        <v>444</v>
      </c>
      <c r="H70" s="200">
        <f>Cifras_Originales!H47</f>
        <v>100</v>
      </c>
      <c r="I70" s="200">
        <f>Cifras_Originales!I47</f>
        <v>514</v>
      </c>
      <c r="J70" s="200">
        <f>Cifras_Originales!J47</f>
        <v>572</v>
      </c>
      <c r="K70" s="200">
        <f>Cifras_Originales!K47</f>
        <v>699</v>
      </c>
      <c r="L70" s="200">
        <f>Cifras_Originales!L47</f>
        <v>470</v>
      </c>
      <c r="M70" s="200">
        <f>Cifras_Originales!M47</f>
        <v>344</v>
      </c>
      <c r="N70" s="200"/>
      <c r="O70" s="200"/>
    </row>
    <row r="71" spans="1:242" ht="12" customHeight="1">
      <c r="A71" s="196" t="s">
        <v>250</v>
      </c>
      <c r="B71" s="200"/>
      <c r="C71" s="200">
        <f>+Cifras_Originales!C48</f>
        <v>140</v>
      </c>
      <c r="D71" s="200">
        <f>+Cifras_Originales!D48</f>
        <v>140</v>
      </c>
      <c r="E71" s="200">
        <f>+Cifras_Originales!E48</f>
        <v>130</v>
      </c>
      <c r="F71" s="200">
        <f>+Cifras_Originales!F48</f>
        <v>111</v>
      </c>
      <c r="G71" s="200">
        <f>+Cifras_Originales!G48</f>
        <v>53</v>
      </c>
      <c r="H71" s="200">
        <f>+Cifras_Originales!H48</f>
        <v>50</v>
      </c>
      <c r="I71" s="200">
        <f>+Cifras_Originales!I48</f>
        <v>49</v>
      </c>
      <c r="J71" s="200">
        <f>+Cifras_Originales!J48</f>
        <v>48</v>
      </c>
      <c r="K71" s="200">
        <f>+Cifras_Originales!K48</f>
        <v>42</v>
      </c>
      <c r="L71" s="200">
        <f>+Cifras_Originales!L48</f>
        <v>35</v>
      </c>
      <c r="M71" s="200">
        <f>+Cifras_Originales!M48</f>
        <v>26</v>
      </c>
      <c r="N71" s="200"/>
      <c r="O71" s="200"/>
    </row>
    <row r="72" spans="1:242" ht="12" customHeight="1">
      <c r="A72" s="196" t="s">
        <v>171</v>
      </c>
      <c r="B72" s="202"/>
      <c r="C72" s="202">
        <f>Cifras_Originales!C49</f>
        <v>138</v>
      </c>
      <c r="D72" s="202">
        <f>Cifras_Originales!D49</f>
        <v>138</v>
      </c>
      <c r="E72" s="202">
        <f>Cifras_Originales!E49</f>
        <v>128.14285714285714</v>
      </c>
      <c r="F72" s="202">
        <f>Cifras_Originales!F49</f>
        <v>109.41428571428573</v>
      </c>
      <c r="G72" s="202">
        <f>Cifras_Originales!G49</f>
        <v>52.242857142857147</v>
      </c>
      <c r="H72" s="202">
        <f>Cifras_Originales!H49</f>
        <v>49.285714285714292</v>
      </c>
      <c r="I72" s="202">
        <f>Cifras_Originales!I49</f>
        <v>48.300000000000004</v>
      </c>
      <c r="J72" s="202">
        <f>Cifras_Originales!J49</f>
        <v>47.314285714285717</v>
      </c>
      <c r="K72" s="202">
        <f>Cifras_Originales!K49</f>
        <v>41.400000000000006</v>
      </c>
      <c r="L72" s="202">
        <f>Cifras_Originales!L49</f>
        <v>34.5</v>
      </c>
      <c r="M72" s="202">
        <f>Cifras_Originales!M49</f>
        <v>25.62857142857143</v>
      </c>
      <c r="N72" s="202"/>
      <c r="O72" s="202"/>
    </row>
    <row r="73" spans="1:242" ht="12" customHeight="1">
      <c r="A73" s="196" t="s">
        <v>251</v>
      </c>
      <c r="B73" s="201"/>
      <c r="C73" s="201">
        <f>Cifras_Originales!C50</f>
        <v>2.3E-2</v>
      </c>
      <c r="D73" s="201">
        <f>Cifras_Originales!D50</f>
        <v>2.3E-2</v>
      </c>
      <c r="E73" s="201">
        <f>Cifras_Originales!E50</f>
        <v>2.3E-2</v>
      </c>
      <c r="F73" s="201">
        <f>Cifras_Originales!F50</f>
        <v>2.3E-2</v>
      </c>
      <c r="G73" s="201">
        <f>Cifras_Originales!G50</f>
        <v>2.3E-2</v>
      </c>
      <c r="H73" s="201">
        <f>Cifras_Originales!H50</f>
        <v>2.3E-2</v>
      </c>
      <c r="I73" s="201">
        <f>Cifras_Originales!I50</f>
        <v>2.3E-2</v>
      </c>
      <c r="J73" s="201">
        <f>Cifras_Originales!J50</f>
        <v>2.3E-2</v>
      </c>
      <c r="K73" s="201">
        <f>Cifras_Originales!K50</f>
        <v>2.3E-2</v>
      </c>
      <c r="L73" s="201">
        <f>Cifras_Originales!L50</f>
        <v>2.3E-2</v>
      </c>
      <c r="M73" s="201">
        <f>Cifras_Originales!M50</f>
        <v>2.3E-2</v>
      </c>
      <c r="N73" s="201"/>
      <c r="O73" s="201"/>
    </row>
    <row r="74" spans="1:242" ht="12" customHeight="1">
      <c r="A74" s="196" t="s">
        <v>252</v>
      </c>
      <c r="B74" s="200"/>
      <c r="C74" s="200" t="str">
        <f>+Cifras_Originales!C51</f>
        <v>N/A</v>
      </c>
      <c r="D74" s="200" t="str">
        <f>+Cifras_Originales!D51</f>
        <v>N/A</v>
      </c>
      <c r="E74" s="200" t="str">
        <f>+Cifras_Originales!E51</f>
        <v>N/A</v>
      </c>
      <c r="F74" s="200" t="str">
        <f>+Cifras_Originales!F51</f>
        <v>N/A</v>
      </c>
      <c r="G74" s="200" t="str">
        <f>+Cifras_Originales!G51</f>
        <v>N/A</v>
      </c>
      <c r="H74" s="200" t="str">
        <f>+Cifras_Originales!H51</f>
        <v>N/A</v>
      </c>
      <c r="I74" s="200" t="str">
        <f>+Cifras_Originales!I51</f>
        <v>N/A</v>
      </c>
      <c r="J74" s="200" t="str">
        <f>+Cifras_Originales!J51</f>
        <v>N/A</v>
      </c>
      <c r="K74" s="200" t="str">
        <f>+Cifras_Originales!K51</f>
        <v>N/A</v>
      </c>
      <c r="L74" s="200" t="str">
        <f>+Cifras_Originales!L51</f>
        <v>N/A</v>
      </c>
      <c r="M74" s="200" t="str">
        <f>+Cifras_Originales!M51</f>
        <v>N/A</v>
      </c>
      <c r="N74" s="200"/>
      <c r="O74" s="200"/>
    </row>
    <row r="75" spans="1:242" ht="12" customHeight="1">
      <c r="A75" s="196" t="str">
        <f>Cifras_Originales!A52</f>
        <v>Vol. Diario en Millones USD</v>
      </c>
      <c r="B75" s="200"/>
      <c r="C75" s="200">
        <f>Cifras_Originales!C52</f>
        <v>18</v>
      </c>
      <c r="D75" s="200">
        <f>Cifras_Originales!D52</f>
        <v>20</v>
      </c>
      <c r="E75" s="200">
        <f>Cifras_Originales!E52</f>
        <v>22</v>
      </c>
      <c r="F75" s="200" t="str">
        <f>Cifras_Originales!F52</f>
        <v>N/A</v>
      </c>
      <c r="G75" s="200" t="str">
        <f>Cifras_Originales!G52</f>
        <v>N/A</v>
      </c>
      <c r="H75" s="200" t="str">
        <f>Cifras_Originales!H52</f>
        <v>N/A</v>
      </c>
      <c r="I75" s="200" t="str">
        <f>Cifras_Originales!I52</f>
        <v>N/A</v>
      </c>
      <c r="J75" s="200" t="str">
        <f>Cifras_Originales!J52</f>
        <v>N/A</v>
      </c>
      <c r="K75" s="200" t="str">
        <f>Cifras_Originales!K52</f>
        <v>N/A</v>
      </c>
      <c r="L75" s="200" t="str">
        <f>Cifras_Originales!L52</f>
        <v>N/A</v>
      </c>
      <c r="M75" s="200" t="str">
        <f>Cifras_Originales!M52</f>
        <v>N/A</v>
      </c>
      <c r="N75" s="200"/>
      <c r="O75" s="200"/>
      <c r="IH75" s="196">
        <f>Cifras_Originales!GN52</f>
        <v>0</v>
      </c>
    </row>
    <row r="76" spans="1:242" ht="12" customHeight="1">
      <c r="C76" s="219"/>
      <c r="D76" s="219"/>
      <c r="E76" s="219"/>
      <c r="F76" s="219"/>
      <c r="G76" s="219"/>
      <c r="H76" s="219"/>
      <c r="I76" s="219"/>
      <c r="J76" s="219"/>
      <c r="K76" s="219"/>
      <c r="L76" s="219"/>
      <c r="M76" s="219"/>
      <c r="N76" s="219"/>
      <c r="IH76" s="196"/>
    </row>
    <row r="77" spans="1:242" ht="12" customHeight="1">
      <c r="B77" s="199">
        <f>+Cifras_Originales!C53</f>
        <v>2021</v>
      </c>
      <c r="C77" s="199">
        <f>+Cifras_Originales!D53</f>
        <v>2022</v>
      </c>
      <c r="D77" s="199">
        <f>+Cifras_Originales!E53</f>
        <v>2023</v>
      </c>
      <c r="H77" s="199"/>
      <c r="I77" s="219"/>
      <c r="J77" s="219"/>
      <c r="K77" s="219"/>
      <c r="L77" s="219"/>
      <c r="M77" s="219"/>
      <c r="N77" s="219"/>
      <c r="IH77" s="196"/>
    </row>
    <row r="78" spans="1:242" ht="12" customHeight="1">
      <c r="A78" s="196" t="str">
        <f>Cifras_Originales!A54</f>
        <v>Posicion en Corto (%)</v>
      </c>
      <c r="B78" s="201">
        <f>Cifras_Originales!C54</f>
        <v>8.5000000000000006E-2</v>
      </c>
      <c r="C78" s="220"/>
      <c r="D78" s="220"/>
      <c r="H78" s="219"/>
      <c r="I78" s="219"/>
      <c r="J78" s="219"/>
      <c r="K78" s="219"/>
      <c r="L78" s="219"/>
      <c r="M78" s="219"/>
      <c r="N78" s="219"/>
      <c r="IH78" s="196"/>
    </row>
    <row r="79" spans="1:242" ht="12" customHeight="1">
      <c r="A79" s="196" t="str">
        <f>Cifras_Originales!A55</f>
        <v>EPS</v>
      </c>
      <c r="B79" s="220">
        <f>Cifras_Originales!C55</f>
        <v>-1.72</v>
      </c>
      <c r="C79" s="220">
        <f>Cifras_Originales!D55</f>
        <v>-0.98</v>
      </c>
      <c r="D79" s="220">
        <f>Cifras_Originales!E55</f>
        <v>3.0000000000000001E-3</v>
      </c>
    </row>
    <row r="80" spans="1:242" ht="12" customHeight="1"/>
    <row r="81" spans="1:8">
      <c r="A81" s="215" t="str">
        <f>+Cifras_Originales!A57</f>
        <v>BONOS DE LA EMISORA A 3, 5 Y 10</v>
      </c>
      <c r="B81" s="199" t="s">
        <v>253</v>
      </c>
      <c r="C81" s="199" t="s">
        <v>254</v>
      </c>
      <c r="D81" s="199" t="s">
        <v>255</v>
      </c>
      <c r="E81" s="199" t="s">
        <v>256</v>
      </c>
      <c r="H81" s="199"/>
    </row>
    <row r="82" spans="1:8" ht="12.5">
      <c r="A82" s="196">
        <f>+Cifras_Originales!A58</f>
        <v>3</v>
      </c>
      <c r="B82" s="220" t="str">
        <f>+Cifras_Originales!C58</f>
        <v>94% of FV</v>
      </c>
      <c r="C82" s="191" t="str">
        <f>+Cifras_Originales!D58</f>
        <v>NA</v>
      </c>
      <c r="D82" s="201">
        <f>+Cifras_Originales!E58</f>
        <v>5.7599999999999998E-2</v>
      </c>
      <c r="E82" s="191" t="str">
        <f>+Cifras_Originales!F58</f>
        <v>USD</v>
      </c>
    </row>
    <row r="83" spans="1:8" ht="12.5">
      <c r="A83" s="196">
        <f>+Cifras_Originales!A59</f>
        <v>0</v>
      </c>
      <c r="B83" s="220">
        <f>+Cifras_Originales!C59</f>
        <v>0</v>
      </c>
      <c r="C83" s="191">
        <f>+Cifras_Originales!D59</f>
        <v>0</v>
      </c>
      <c r="D83" s="201">
        <f>+Cifras_Originales!E59</f>
        <v>0</v>
      </c>
      <c r="E83" s="191">
        <f>+Cifras_Originales!F59</f>
        <v>0</v>
      </c>
    </row>
    <row r="84" spans="1:8" ht="12.5">
      <c r="A84" s="196">
        <f>+Cifras_Originales!A60</f>
        <v>0</v>
      </c>
      <c r="B84" s="220">
        <f>+Cifras_Originales!C60</f>
        <v>0</v>
      </c>
      <c r="C84" s="191">
        <f>+Cifras_Originales!D60</f>
        <v>0</v>
      </c>
      <c r="D84" s="201">
        <f>+Cifras_Originales!E60</f>
        <v>0</v>
      </c>
      <c r="E84" s="191">
        <f>+Cifras_Originales!F60</f>
        <v>0</v>
      </c>
    </row>
    <row r="85" spans="1:8" ht="12.5">
      <c r="A85" s="196">
        <f>+Cifras_Originales!A61</f>
        <v>0</v>
      </c>
      <c r="B85" s="220">
        <f>+Cifras_Originales!C61</f>
        <v>0</v>
      </c>
      <c r="C85" s="191">
        <f>+Cifras_Originales!D61</f>
        <v>0</v>
      </c>
      <c r="D85" s="201">
        <f>+Cifras_Originales!E61</f>
        <v>0</v>
      </c>
      <c r="E85" s="191">
        <f>+Cifras_Originales!F61</f>
        <v>0</v>
      </c>
    </row>
    <row r="86" spans="1:8" ht="12.5">
      <c r="C86" s="220"/>
      <c r="D86" s="220"/>
      <c r="E86" s="191"/>
      <c r="F86" s="221"/>
      <c r="G86" s="191"/>
    </row>
    <row r="87" spans="1:8" ht="12.5">
      <c r="C87" s="220"/>
      <c r="D87" s="220"/>
      <c r="E87" s="191"/>
      <c r="F87" s="221"/>
      <c r="G87" s="191"/>
    </row>
    <row r="88" spans="1:8" ht="12.5">
      <c r="C88" s="220"/>
      <c r="D88" s="220"/>
      <c r="E88" s="191"/>
      <c r="F88" s="221"/>
      <c r="G88" s="191"/>
    </row>
    <row r="89" spans="1:8" ht="12.5">
      <c r="C89" s="220"/>
      <c r="D89" s="220"/>
      <c r="E89" s="191"/>
      <c r="F89" s="221"/>
      <c r="G89" s="191"/>
    </row>
    <row r="90" spans="1:8" ht="12.5">
      <c r="C90" s="220"/>
      <c r="D90" s="220"/>
      <c r="E90" s="191"/>
      <c r="F90" s="221"/>
      <c r="G90" s="191"/>
    </row>
    <row r="91" spans="1:8" ht="12.5">
      <c r="C91" s="220"/>
      <c r="D91" s="220"/>
      <c r="E91" s="191"/>
      <c r="F91" s="221"/>
      <c r="G91" s="191"/>
    </row>
    <row r="92" spans="1:8" ht="12.5">
      <c r="C92" s="220"/>
      <c r="D92" s="220"/>
      <c r="E92" s="191"/>
      <c r="F92" s="221"/>
      <c r="G92" s="191"/>
    </row>
    <row r="93" spans="1:8" ht="12.5">
      <c r="C93" s="220"/>
      <c r="D93" s="220"/>
      <c r="E93" s="191"/>
      <c r="F93" s="221"/>
      <c r="G93" s="191"/>
    </row>
    <row r="94" spans="1:8" ht="12.5">
      <c r="C94" s="220"/>
      <c r="D94" s="220"/>
      <c r="E94" s="191"/>
      <c r="F94" s="221"/>
      <c r="G94" s="191"/>
    </row>
  </sheetData>
  <mergeCells count="2">
    <mergeCell ref="A1:L1"/>
    <mergeCell ref="A2:L2"/>
  </mergeCells>
  <phoneticPr fontId="84" type="noConversion"/>
  <printOptions horizontalCentered="1" verticalCentered="1"/>
  <pageMargins left="0.25" right="0.25" top="0.75" bottom="0.75" header="0.3" footer="0.3"/>
  <pageSetup paperSize="122" scale="33"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Y88"/>
  <sheetViews>
    <sheetView tabSelected="1" topLeftCell="A43" zoomScale="115" zoomScaleNormal="115" workbookViewId="0">
      <selection activeCell="C53" sqref="C53"/>
    </sheetView>
  </sheetViews>
  <sheetFormatPr defaultColWidth="11.453125" defaultRowHeight="14"/>
  <cols>
    <col min="1" max="1" width="34.1796875" style="222" customWidth="1"/>
    <col min="2" max="2" width="13.90625" style="222" customWidth="1"/>
    <col min="3" max="3" width="14.453125" style="222" customWidth="1"/>
    <col min="4" max="8" width="14.453125" style="222" bestFit="1" customWidth="1"/>
    <col min="9" max="9" width="15.1796875" style="222" bestFit="1" customWidth="1"/>
    <col min="10" max="11" width="14.453125" style="222" bestFit="1" customWidth="1"/>
    <col min="12" max="13" width="14.453125" style="223" bestFit="1" customWidth="1"/>
    <col min="14" max="16" width="14.453125" style="222" customWidth="1"/>
    <col min="17" max="17" width="11.453125" style="222" customWidth="1"/>
    <col min="18" max="18" width="17.1796875" style="222" customWidth="1"/>
    <col min="19" max="19" width="18.1796875" style="222" bestFit="1" customWidth="1"/>
    <col min="20" max="30" width="14.7265625" style="222" customWidth="1"/>
    <col min="31" max="16384" width="11.453125" style="222"/>
  </cols>
  <sheetData>
    <row r="1" spans="1:31">
      <c r="A1" s="222" t="s">
        <v>354</v>
      </c>
    </row>
    <row r="2" spans="1:31">
      <c r="A2" s="222" t="s">
        <v>355</v>
      </c>
      <c r="C2" s="253"/>
      <c r="D2" s="707" t="str">
        <f>"Cifras en "&amp;A2&amp;" de "&amp;A1</f>
        <v>Cifras en Millones de USD</v>
      </c>
      <c r="E2" s="707"/>
      <c r="F2" s="707"/>
      <c r="G2" s="707"/>
      <c r="H2" s="707"/>
      <c r="I2" s="707"/>
      <c r="J2" s="707"/>
      <c r="K2" s="707"/>
      <c r="L2" s="707"/>
      <c r="M2" s="707"/>
    </row>
    <row r="3" spans="1:31">
      <c r="A3" s="222" t="e" vm="1">
        <v>#VALUE!</v>
      </c>
      <c r="E3" s="227"/>
      <c r="H3" s="222" t="str">
        <f ca="1">A4</f>
        <v>MAGNITE, INC.</v>
      </c>
    </row>
    <row r="4" spans="1:31">
      <c r="A4" s="222" t="str" cm="1">
        <f t="array" aca="1" ref="A4" ca="1">_FV(A3,"Name")</f>
        <v>MAGNITE, INC.</v>
      </c>
      <c r="E4" s="227"/>
      <c r="L4" s="222"/>
      <c r="M4" s="222"/>
    </row>
    <row r="5" spans="1:31">
      <c r="A5" s="254" t="s">
        <v>257</v>
      </c>
      <c r="B5" s="254">
        <f>C5+1</f>
        <v>2024</v>
      </c>
      <c r="C5" s="254">
        <v>2023</v>
      </c>
      <c r="D5" s="254">
        <f>C5-1</f>
        <v>2022</v>
      </c>
      <c r="E5" s="254">
        <f>D5-1</f>
        <v>2021</v>
      </c>
      <c r="F5" s="254">
        <f>E5-1</f>
        <v>2020</v>
      </c>
      <c r="G5" s="254">
        <f t="shared" ref="G5:M5" si="0">F5-1</f>
        <v>2019</v>
      </c>
      <c r="H5" s="254">
        <f t="shared" si="0"/>
        <v>2018</v>
      </c>
      <c r="I5" s="254">
        <f t="shared" si="0"/>
        <v>2017</v>
      </c>
      <c r="J5" s="254">
        <f t="shared" si="0"/>
        <v>2016</v>
      </c>
      <c r="K5" s="254">
        <f t="shared" si="0"/>
        <v>2015</v>
      </c>
      <c r="L5" s="254">
        <f t="shared" si="0"/>
        <v>2014</v>
      </c>
      <c r="M5" s="254">
        <f t="shared" si="0"/>
        <v>2013</v>
      </c>
      <c r="N5"/>
      <c r="O5"/>
      <c r="T5" s="375"/>
    </row>
    <row r="6" spans="1:31">
      <c r="A6" s="225" t="s">
        <v>207</v>
      </c>
      <c r="B6" s="226">
        <v>668.17</v>
      </c>
      <c r="C6" s="226">
        <v>619.70000000000005</v>
      </c>
      <c r="D6" s="226">
        <v>577.1</v>
      </c>
      <c r="E6" s="226">
        <v>468.4</v>
      </c>
      <c r="F6" s="226">
        <v>221.6</v>
      </c>
      <c r="G6" s="226">
        <v>156.4</v>
      </c>
      <c r="H6" s="226">
        <v>124.6</v>
      </c>
      <c r="I6" s="226">
        <v>155.5</v>
      </c>
      <c r="J6" s="226">
        <v>278.2</v>
      </c>
      <c r="K6" s="226">
        <v>248.4</v>
      </c>
      <c r="L6" s="226">
        <v>125.3</v>
      </c>
      <c r="M6" s="226">
        <v>83.4</v>
      </c>
      <c r="N6"/>
      <c r="O6"/>
      <c r="P6" s="223"/>
      <c r="Q6" s="223"/>
    </row>
    <row r="7" spans="1:31">
      <c r="A7" s="225" t="s">
        <v>209</v>
      </c>
      <c r="B7" s="226">
        <f>B6-258.838</f>
        <v>409.33199999999994</v>
      </c>
      <c r="C7" s="226">
        <v>209.8</v>
      </c>
      <c r="D7" s="226">
        <v>270</v>
      </c>
      <c r="E7" s="226">
        <v>267</v>
      </c>
      <c r="F7" s="226">
        <v>143.9</v>
      </c>
      <c r="G7" s="226">
        <v>99</v>
      </c>
      <c r="H7" s="226">
        <v>64.7</v>
      </c>
      <c r="I7" s="226">
        <v>98</v>
      </c>
      <c r="J7" s="226">
        <v>205.2</v>
      </c>
      <c r="K7" s="226">
        <v>190.1</v>
      </c>
      <c r="L7" s="226">
        <v>104.8</v>
      </c>
      <c r="M7" s="226">
        <v>67.900000000000006</v>
      </c>
      <c r="N7"/>
      <c r="O7"/>
      <c r="P7" s="223"/>
      <c r="Q7" s="376"/>
      <c r="T7" s="377"/>
      <c r="U7" s="375"/>
    </row>
    <row r="8" spans="1:31">
      <c r="A8" s="225" t="s">
        <v>211</v>
      </c>
      <c r="B8" s="226">
        <v>51.087000000000003</v>
      </c>
      <c r="C8" s="226">
        <v>-155.00899999999999</v>
      </c>
      <c r="D8" s="226">
        <v>-112</v>
      </c>
      <c r="E8" s="226">
        <v>-81</v>
      </c>
      <c r="F8" s="226">
        <v>-54</v>
      </c>
      <c r="G8" s="226">
        <v>-27.5</v>
      </c>
      <c r="H8" s="226">
        <v>-64</v>
      </c>
      <c r="I8" s="226">
        <v>-157</v>
      </c>
      <c r="J8" s="226">
        <v>-24.8</v>
      </c>
      <c r="K8" s="226">
        <v>-5.6</v>
      </c>
      <c r="L8" s="226">
        <v>-18.8</v>
      </c>
      <c r="M8" s="226">
        <v>-3.9</v>
      </c>
      <c r="N8"/>
      <c r="O8"/>
      <c r="P8" s="223"/>
      <c r="Q8" s="378"/>
    </row>
    <row r="9" spans="1:31">
      <c r="A9" s="225" t="s">
        <v>258</v>
      </c>
      <c r="B9" s="226">
        <v>-27.032</v>
      </c>
      <c r="C9" s="226">
        <v>-32.4</v>
      </c>
      <c r="D9" s="226">
        <v>-29.3</v>
      </c>
      <c r="E9" s="226">
        <v>-19.5</v>
      </c>
      <c r="F9" s="226">
        <v>0.05</v>
      </c>
      <c r="G9" s="226">
        <v>0.78</v>
      </c>
      <c r="H9" s="226">
        <v>0.98</v>
      </c>
      <c r="I9" s="226">
        <v>0.9</v>
      </c>
      <c r="J9" s="226">
        <v>0.49</v>
      </c>
      <c r="K9" s="226">
        <v>5.8999999999999997E-2</v>
      </c>
      <c r="L9" s="226">
        <v>0.1</v>
      </c>
      <c r="M9" s="226">
        <v>0.27300000000000002</v>
      </c>
      <c r="N9"/>
      <c r="O9"/>
      <c r="P9" s="223"/>
      <c r="Q9" s="223"/>
      <c r="T9" s="254">
        <f>D5</f>
        <v>2022</v>
      </c>
      <c r="U9" s="254">
        <f t="shared" ref="U9:AC9" si="1">E5</f>
        <v>2021</v>
      </c>
      <c r="V9" s="254">
        <f t="shared" si="1"/>
        <v>2020</v>
      </c>
      <c r="W9" s="254">
        <f t="shared" si="1"/>
        <v>2019</v>
      </c>
      <c r="X9" s="254">
        <f t="shared" si="1"/>
        <v>2018</v>
      </c>
      <c r="Y9" s="254">
        <f t="shared" si="1"/>
        <v>2017</v>
      </c>
      <c r="Z9" s="254">
        <f t="shared" si="1"/>
        <v>2016</v>
      </c>
      <c r="AA9" s="254">
        <f t="shared" si="1"/>
        <v>2015</v>
      </c>
      <c r="AB9" s="254">
        <f t="shared" si="1"/>
        <v>2014</v>
      </c>
      <c r="AC9" s="254">
        <f t="shared" si="1"/>
        <v>2013</v>
      </c>
      <c r="AD9" s="254"/>
    </row>
    <row r="10" spans="1:31">
      <c r="A10" s="225" t="s">
        <v>259</v>
      </c>
      <c r="B10" s="226">
        <v>59.030999999999999</v>
      </c>
      <c r="C10" s="226">
        <v>38</v>
      </c>
      <c r="D10" s="226">
        <v>42</v>
      </c>
      <c r="E10" s="226">
        <v>-156.6</v>
      </c>
      <c r="F10" s="226">
        <v>-0.4</v>
      </c>
      <c r="G10" s="226">
        <v>-4.8</v>
      </c>
      <c r="H10" s="226">
        <v>-2.9</v>
      </c>
      <c r="I10" s="226">
        <v>-4.9000000000000004</v>
      </c>
      <c r="J10" s="226">
        <v>-11.9</v>
      </c>
      <c r="K10" s="226">
        <v>-10.6</v>
      </c>
      <c r="L10" s="226">
        <v>-0.4</v>
      </c>
      <c r="M10" s="226">
        <v>4.8</v>
      </c>
      <c r="N10"/>
      <c r="O10"/>
      <c r="P10" s="223"/>
      <c r="Q10" s="223"/>
      <c r="S10" s="222" t="s">
        <v>356</v>
      </c>
      <c r="T10" s="227">
        <f>D24</f>
        <v>0</v>
      </c>
      <c r="U10" s="227">
        <f t="shared" ref="U10:AD10" si="2">E24</f>
        <v>0</v>
      </c>
      <c r="V10" s="227">
        <f t="shared" si="2"/>
        <v>0</v>
      </c>
      <c r="W10" s="227">
        <f t="shared" si="2"/>
        <v>0</v>
      </c>
      <c r="X10" s="227">
        <f t="shared" si="2"/>
        <v>0</v>
      </c>
      <c r="Y10" s="227">
        <f t="shared" si="2"/>
        <v>0</v>
      </c>
      <c r="Z10" s="227">
        <f t="shared" si="2"/>
        <v>0</v>
      </c>
      <c r="AA10" s="227">
        <f t="shared" si="2"/>
        <v>0</v>
      </c>
      <c r="AB10" s="227">
        <f t="shared" si="2"/>
        <v>0</v>
      </c>
      <c r="AC10" s="227">
        <f t="shared" si="2"/>
        <v>0</v>
      </c>
      <c r="AD10" s="227">
        <f t="shared" si="2"/>
        <v>0</v>
      </c>
      <c r="AE10" s="227"/>
    </row>
    <row r="11" spans="1:31">
      <c r="A11" s="225" t="s">
        <v>260</v>
      </c>
      <c r="B11" s="226">
        <v>-58.51</v>
      </c>
      <c r="C11" s="226">
        <v>-240.8</v>
      </c>
      <c r="D11" s="226">
        <v>-216.1</v>
      </c>
      <c r="E11" s="226">
        <v>-146.88</v>
      </c>
      <c r="F11" s="226">
        <v>-49.2</v>
      </c>
      <c r="G11" s="226">
        <v>-32.1</v>
      </c>
      <c r="H11" s="226">
        <v>-35.299999999999997</v>
      </c>
      <c r="I11" s="226">
        <v>-36.200000000000003</v>
      </c>
      <c r="J11" s="226">
        <v>-42.7</v>
      </c>
      <c r="K11" s="226">
        <v>-31</v>
      </c>
      <c r="L11" s="226">
        <v>-12.5</v>
      </c>
      <c r="M11" s="226">
        <v>-8.4</v>
      </c>
      <c r="N11"/>
      <c r="O11"/>
      <c r="P11" s="223"/>
      <c r="Q11" s="223"/>
      <c r="S11" s="222" t="s">
        <v>357</v>
      </c>
      <c r="T11" s="227">
        <f>D23</f>
        <v>976</v>
      </c>
      <c r="U11" s="227">
        <f t="shared" ref="U11:AD11" si="3">E23</f>
        <v>927.8</v>
      </c>
      <c r="V11" s="227">
        <f t="shared" si="3"/>
        <v>471.666</v>
      </c>
      <c r="W11" s="227">
        <f t="shared" si="3"/>
        <v>217</v>
      </c>
      <c r="X11" s="227">
        <f t="shared" si="3"/>
        <v>205</v>
      </c>
      <c r="Y11" s="227">
        <f t="shared" si="3"/>
        <v>166</v>
      </c>
      <c r="Z11" s="227">
        <f t="shared" si="3"/>
        <v>192</v>
      </c>
      <c r="AA11" s="227">
        <f t="shared" si="3"/>
        <v>218</v>
      </c>
      <c r="AB11" s="227">
        <f t="shared" si="3"/>
        <v>133</v>
      </c>
      <c r="AC11" s="227">
        <f t="shared" si="3"/>
        <v>94.8</v>
      </c>
      <c r="AD11" s="227">
        <f t="shared" si="3"/>
        <v>0</v>
      </c>
      <c r="AE11" s="227"/>
    </row>
    <row r="12" spans="1:31">
      <c r="A12" s="225" t="s">
        <v>217</v>
      </c>
      <c r="B12" s="226">
        <v>120.86799999999999</v>
      </c>
      <c r="C12" s="226">
        <f>C67/1000</f>
        <v>80.325999999999993</v>
      </c>
      <c r="D12" s="226">
        <f t="shared" ref="D12:M12" si="4">D67/1000</f>
        <v>43.344999999999999</v>
      </c>
      <c r="E12" s="226">
        <f t="shared" si="4"/>
        <v>48.877000000000002</v>
      </c>
      <c r="F12" s="226">
        <f t="shared" si="4"/>
        <v>-10.534000000000001</v>
      </c>
      <c r="G12" s="226">
        <f t="shared" si="4"/>
        <v>22.443999999999999</v>
      </c>
      <c r="H12" s="226">
        <f t="shared" si="4"/>
        <v>31.663</v>
      </c>
      <c r="I12" s="226">
        <f t="shared" si="4"/>
        <v>12.946999999999999</v>
      </c>
      <c r="J12" s="226">
        <f t="shared" si="4"/>
        <v>-24.672000000000001</v>
      </c>
      <c r="K12" s="226">
        <f t="shared" si="4"/>
        <v>-12.666</v>
      </c>
      <c r="L12" s="226">
        <f t="shared" si="4"/>
        <v>-10.912000000000001</v>
      </c>
      <c r="M12" s="226">
        <f t="shared" si="4"/>
        <v>0</v>
      </c>
      <c r="N12"/>
      <c r="O12"/>
      <c r="P12" s="223"/>
      <c r="Q12" s="223"/>
      <c r="S12" s="222" t="s">
        <v>358</v>
      </c>
      <c r="T12" s="227"/>
      <c r="U12" s="227"/>
      <c r="V12" s="227"/>
      <c r="W12" s="227"/>
      <c r="X12" s="227"/>
      <c r="Y12" s="227"/>
      <c r="Z12" s="227"/>
      <c r="AA12" s="227"/>
      <c r="AB12" s="227"/>
      <c r="AC12" s="227"/>
      <c r="AD12" s="227"/>
      <c r="AE12" s="227"/>
    </row>
    <row r="13" spans="1:31">
      <c r="A13" s="225" t="s">
        <v>117</v>
      </c>
      <c r="B13" s="226">
        <v>-32.81</v>
      </c>
      <c r="C13" s="226">
        <v>-26.7</v>
      </c>
      <c r="D13" s="226">
        <v>-30.8</v>
      </c>
      <c r="E13" s="226">
        <v>-17.7</v>
      </c>
      <c r="F13" s="226">
        <v>-14.3</v>
      </c>
      <c r="G13" s="226">
        <v>-11.4</v>
      </c>
      <c r="H13" s="226">
        <v>-11.4</v>
      </c>
      <c r="I13" s="226">
        <v>-32.299999999999997</v>
      </c>
      <c r="J13" s="226">
        <v>-23</v>
      </c>
      <c r="K13" s="226">
        <v>-20.100000000000001</v>
      </c>
      <c r="L13" s="226">
        <v>-11</v>
      </c>
      <c r="M13" s="226">
        <v>-7</v>
      </c>
      <c r="N13"/>
      <c r="O13"/>
      <c r="Q13" s="222">
        <v>32.799999999999997</v>
      </c>
      <c r="U13" s="227"/>
    </row>
    <row r="14" spans="1:31">
      <c r="A14" s="225" t="s">
        <v>19</v>
      </c>
      <c r="B14" s="226">
        <v>-47.502000000000002</v>
      </c>
      <c r="C14" s="226">
        <v>-37.299999999999997</v>
      </c>
      <c r="D14" s="226">
        <v>-65</v>
      </c>
      <c r="E14" s="226">
        <v>-691</v>
      </c>
      <c r="F14" s="226">
        <v>-21</v>
      </c>
      <c r="G14" s="226">
        <v>-30</v>
      </c>
      <c r="H14" s="226">
        <v>-44</v>
      </c>
      <c r="I14" s="226">
        <v>-93</v>
      </c>
      <c r="J14" s="226">
        <v>-174</v>
      </c>
      <c r="K14" s="226">
        <v>-74</v>
      </c>
      <c r="L14" s="226">
        <v>-23</v>
      </c>
      <c r="M14" s="226">
        <v>-12</v>
      </c>
      <c r="N14"/>
      <c r="O14"/>
      <c r="P14" s="223"/>
      <c r="Q14" s="223">
        <v>47.5</v>
      </c>
      <c r="T14" s="223">
        <f>(T10-U10)</f>
        <v>0</v>
      </c>
      <c r="U14" s="223">
        <f t="shared" ref="U14:AC14" si="5">(U10-V10)</f>
        <v>0</v>
      </c>
      <c r="V14" s="223">
        <f t="shared" si="5"/>
        <v>0</v>
      </c>
      <c r="W14" s="223">
        <f t="shared" si="5"/>
        <v>0</v>
      </c>
      <c r="X14" s="223">
        <f t="shared" si="5"/>
        <v>0</v>
      </c>
      <c r="Y14" s="223">
        <f t="shared" si="5"/>
        <v>0</v>
      </c>
      <c r="Z14" s="223">
        <f t="shared" si="5"/>
        <v>0</v>
      </c>
      <c r="AA14" s="223">
        <f t="shared" si="5"/>
        <v>0</v>
      </c>
      <c r="AB14" s="223">
        <f t="shared" si="5"/>
        <v>0</v>
      </c>
      <c r="AC14" s="223">
        <f t="shared" si="5"/>
        <v>0</v>
      </c>
      <c r="AD14" s="379"/>
      <c r="AE14" s="379"/>
    </row>
    <row r="15" spans="1:31">
      <c r="A15" s="225" t="s">
        <v>219</v>
      </c>
      <c r="B15" s="226">
        <v>-3.698</v>
      </c>
      <c r="C15" s="226">
        <v>-1.6</v>
      </c>
      <c r="D15" s="226">
        <v>5.27</v>
      </c>
      <c r="E15" s="226">
        <v>95</v>
      </c>
      <c r="F15" s="226">
        <v>-0.69</v>
      </c>
      <c r="G15" s="226">
        <v>1.512</v>
      </c>
      <c r="H15" s="226">
        <v>-0.3</v>
      </c>
      <c r="I15" s="226">
        <v>1.7</v>
      </c>
      <c r="J15" s="226">
        <v>4.8</v>
      </c>
      <c r="K15" s="226">
        <v>4.5</v>
      </c>
      <c r="L15" s="226">
        <v>0.17</v>
      </c>
      <c r="M15" s="226">
        <v>0.245</v>
      </c>
      <c r="N15"/>
      <c r="O15"/>
      <c r="P15" s="223"/>
      <c r="Q15" s="223">
        <f>Q13+Q14</f>
        <v>80.3</v>
      </c>
      <c r="S15" s="227"/>
      <c r="T15" s="223">
        <f t="shared" ref="T15:AC16" si="6">(T11-U11)</f>
        <v>48.200000000000045</v>
      </c>
      <c r="U15" s="223">
        <f t="shared" si="6"/>
        <v>456.13399999999996</v>
      </c>
      <c r="V15" s="223">
        <f t="shared" si="6"/>
        <v>254.666</v>
      </c>
      <c r="W15" s="223">
        <f t="shared" si="6"/>
        <v>12</v>
      </c>
      <c r="X15" s="223">
        <f t="shared" si="6"/>
        <v>39</v>
      </c>
      <c r="Y15" s="223">
        <f t="shared" si="6"/>
        <v>-26</v>
      </c>
      <c r="Z15" s="223">
        <f t="shared" si="6"/>
        <v>-26</v>
      </c>
      <c r="AA15" s="223">
        <f t="shared" si="6"/>
        <v>85</v>
      </c>
      <c r="AB15" s="223">
        <f t="shared" si="6"/>
        <v>38.200000000000003</v>
      </c>
      <c r="AC15" s="223">
        <f t="shared" si="6"/>
        <v>94.8</v>
      </c>
      <c r="AD15" s="379"/>
      <c r="AE15" s="379"/>
    </row>
    <row r="16" spans="1:31">
      <c r="A16" s="225" t="s">
        <v>41</v>
      </c>
      <c r="B16" s="226">
        <v>22.786000000000001</v>
      </c>
      <c r="C16" s="226">
        <v>-159</v>
      </c>
      <c r="D16" s="226">
        <v>-130</v>
      </c>
      <c r="E16" s="226">
        <v>6.5000000000000002E-2</v>
      </c>
      <c r="F16" s="226">
        <v>-53</v>
      </c>
      <c r="G16" s="226">
        <v>-25</v>
      </c>
      <c r="H16" s="226">
        <v>-61.8</v>
      </c>
      <c r="I16" s="226">
        <v>-154.69999999999999</v>
      </c>
      <c r="J16" s="226">
        <v>-18.2</v>
      </c>
      <c r="K16" s="226">
        <v>0.4</v>
      </c>
      <c r="L16" s="226">
        <v>-18.7</v>
      </c>
      <c r="M16" s="226">
        <v>-9.25</v>
      </c>
      <c r="N16"/>
      <c r="O16"/>
      <c r="P16" s="223"/>
      <c r="Q16" s="223"/>
      <c r="S16" s="227"/>
      <c r="T16" s="223">
        <f t="shared" si="6"/>
        <v>0</v>
      </c>
      <c r="U16" s="223">
        <f t="shared" si="6"/>
        <v>0</v>
      </c>
      <c r="V16" s="223">
        <f t="shared" si="6"/>
        <v>0</v>
      </c>
      <c r="W16" s="223">
        <f t="shared" si="6"/>
        <v>0</v>
      </c>
      <c r="X16" s="223">
        <f t="shared" si="6"/>
        <v>0</v>
      </c>
      <c r="Y16" s="223">
        <f t="shared" si="6"/>
        <v>0</v>
      </c>
      <c r="Z16" s="223">
        <f t="shared" si="6"/>
        <v>0</v>
      </c>
      <c r="AA16" s="223">
        <f t="shared" si="6"/>
        <v>0</v>
      </c>
      <c r="AB16" s="223">
        <f t="shared" si="6"/>
        <v>0</v>
      </c>
      <c r="AC16" s="223">
        <f t="shared" si="6"/>
        <v>0</v>
      </c>
      <c r="AD16" s="379"/>
      <c r="AE16" s="379"/>
    </row>
    <row r="17" spans="1:103">
      <c r="A17" s="225" t="s">
        <v>223</v>
      </c>
      <c r="B17" s="431">
        <v>0</v>
      </c>
      <c r="C17" s="431">
        <v>0</v>
      </c>
      <c r="D17" s="226">
        <v>0</v>
      </c>
      <c r="E17" s="226">
        <v>0</v>
      </c>
      <c r="F17" s="226">
        <v>0</v>
      </c>
      <c r="G17" s="226">
        <v>0</v>
      </c>
      <c r="H17" s="226">
        <v>0</v>
      </c>
      <c r="I17" s="226">
        <v>0</v>
      </c>
      <c r="J17" s="226">
        <v>0</v>
      </c>
      <c r="K17" s="226">
        <v>0</v>
      </c>
      <c r="L17" s="226">
        <v>0</v>
      </c>
      <c r="M17" s="226">
        <v>0</v>
      </c>
      <c r="N17"/>
      <c r="O17"/>
      <c r="P17" s="223"/>
      <c r="Q17" s="223"/>
      <c r="S17" s="230" t="s">
        <v>359</v>
      </c>
      <c r="T17" s="229">
        <f>SUM(T14:T16)</f>
        <v>48.200000000000045</v>
      </c>
      <c r="U17" s="229">
        <f t="shared" ref="U17:AC17" si="7">SUM(U14:U16)</f>
        <v>456.13399999999996</v>
      </c>
      <c r="V17" s="229">
        <f t="shared" si="7"/>
        <v>254.666</v>
      </c>
      <c r="W17" s="229">
        <f t="shared" si="7"/>
        <v>12</v>
      </c>
      <c r="X17" s="229">
        <f t="shared" si="7"/>
        <v>39</v>
      </c>
      <c r="Y17" s="229">
        <f t="shared" si="7"/>
        <v>-26</v>
      </c>
      <c r="Z17" s="229">
        <f t="shared" si="7"/>
        <v>-26</v>
      </c>
      <c r="AA17" s="229">
        <f t="shared" si="7"/>
        <v>85</v>
      </c>
      <c r="AB17" s="229">
        <f t="shared" si="7"/>
        <v>38.200000000000003</v>
      </c>
      <c r="AC17" s="229">
        <f t="shared" si="7"/>
        <v>94.8</v>
      </c>
      <c r="AD17" s="379"/>
      <c r="AE17" s="379"/>
    </row>
    <row r="18" spans="1:103">
      <c r="A18" s="225" t="s">
        <v>261</v>
      </c>
      <c r="B18" s="226">
        <v>0</v>
      </c>
      <c r="C18" s="226">
        <v>0</v>
      </c>
      <c r="D18" s="226">
        <v>0</v>
      </c>
      <c r="E18" s="226">
        <v>0</v>
      </c>
      <c r="F18" s="226">
        <v>0</v>
      </c>
      <c r="G18" s="226">
        <v>0</v>
      </c>
      <c r="H18" s="226">
        <v>0</v>
      </c>
      <c r="I18" s="226">
        <v>0</v>
      </c>
      <c r="J18" s="226">
        <v>0</v>
      </c>
      <c r="K18" s="226">
        <v>0</v>
      </c>
      <c r="L18" s="226">
        <v>0</v>
      </c>
      <c r="M18" s="226">
        <v>0</v>
      </c>
      <c r="N18"/>
      <c r="O18"/>
      <c r="P18" s="223"/>
      <c r="Q18" s="223"/>
      <c r="T18" s="379"/>
    </row>
    <row r="19" spans="1:103">
      <c r="B19" s="223">
        <f>B8-B9-B10-B15</f>
        <v>22.786000000000001</v>
      </c>
      <c r="C19" s="223">
        <f>C8-C9-C10-C15</f>
        <v>-159.00899999999999</v>
      </c>
      <c r="D19" s="223">
        <f t="shared" ref="D19:M19" si="8">D8-D9-D10-D15</f>
        <v>-129.97</v>
      </c>
      <c r="E19" s="386">
        <f t="shared" si="8"/>
        <v>9.9999999999994316E-2</v>
      </c>
      <c r="F19" s="223">
        <f t="shared" si="8"/>
        <v>-52.96</v>
      </c>
      <c r="G19" s="223">
        <f t="shared" si="8"/>
        <v>-24.992000000000001</v>
      </c>
      <c r="H19" s="223">
        <f t="shared" si="8"/>
        <v>-61.780000000000008</v>
      </c>
      <c r="I19" s="223">
        <f t="shared" si="8"/>
        <v>-154.69999999999999</v>
      </c>
      <c r="J19" s="223">
        <f t="shared" si="8"/>
        <v>-18.189999999999998</v>
      </c>
      <c r="K19" s="223">
        <f t="shared" si="8"/>
        <v>0.44099999999999984</v>
      </c>
      <c r="L19" s="223">
        <f t="shared" si="8"/>
        <v>-18.670000000000005</v>
      </c>
      <c r="M19" s="223">
        <f t="shared" si="8"/>
        <v>-9.2179999999999982</v>
      </c>
      <c r="N19"/>
      <c r="O19"/>
      <c r="R19" s="227"/>
      <c r="T19" s="379"/>
    </row>
    <row r="20" spans="1:103">
      <c r="A20" s="254" t="s">
        <v>262</v>
      </c>
      <c r="B20" s="228">
        <f>B16-B19</f>
        <v>0</v>
      </c>
      <c r="C20" s="228">
        <f>C16-C19</f>
        <v>8.9999999999861302E-3</v>
      </c>
      <c r="D20" s="228">
        <f t="shared" ref="D20:M20" si="9">D16-D19</f>
        <v>-3.0000000000001137E-2</v>
      </c>
      <c r="E20" s="228">
        <f t="shared" si="9"/>
        <v>-3.4999999999994313E-2</v>
      </c>
      <c r="F20" s="228">
        <f t="shared" si="9"/>
        <v>-3.9999999999999147E-2</v>
      </c>
      <c r="G20" s="228">
        <f t="shared" si="9"/>
        <v>-7.9999999999991189E-3</v>
      </c>
      <c r="H20" s="228">
        <f t="shared" si="9"/>
        <v>-1.9999999999988916E-2</v>
      </c>
      <c r="I20" s="228">
        <f t="shared" si="9"/>
        <v>0</v>
      </c>
      <c r="J20" s="228">
        <f t="shared" si="9"/>
        <v>-1.0000000000001563E-2</v>
      </c>
      <c r="K20" s="228">
        <f t="shared" si="9"/>
        <v>-4.0999999999999814E-2</v>
      </c>
      <c r="L20" s="228">
        <f t="shared" si="9"/>
        <v>-2.9999999999994031E-2</v>
      </c>
      <c r="M20" s="228">
        <f t="shared" si="9"/>
        <v>-3.2000000000001805E-2</v>
      </c>
      <c r="N20"/>
      <c r="O20"/>
      <c r="R20" s="227"/>
      <c r="T20" s="379"/>
    </row>
    <row r="21" spans="1:103">
      <c r="A21" s="224" t="s">
        <v>229</v>
      </c>
      <c r="B21" s="224"/>
      <c r="C21" s="425"/>
      <c r="D21" s="425"/>
      <c r="E21" s="425"/>
      <c r="F21" s="425"/>
      <c r="G21" s="425"/>
      <c r="H21" s="425"/>
      <c r="I21" s="425"/>
      <c r="J21" s="425"/>
      <c r="K21" s="425"/>
      <c r="L21" s="425"/>
      <c r="M21" s="425"/>
      <c r="N21"/>
      <c r="O21"/>
      <c r="R21" s="227"/>
      <c r="T21" s="379"/>
    </row>
    <row r="22" spans="1:103">
      <c r="A22" s="225" t="s">
        <v>230</v>
      </c>
      <c r="B22" s="226">
        <v>483.22</v>
      </c>
      <c r="C22" s="226">
        <v>326</v>
      </c>
      <c r="D22" s="226">
        <v>326</v>
      </c>
      <c r="E22" s="226">
        <v>230</v>
      </c>
      <c r="F22" s="226">
        <v>118</v>
      </c>
      <c r="G22" s="226">
        <v>89</v>
      </c>
      <c r="H22" s="226">
        <v>80.400000000000006</v>
      </c>
      <c r="I22" s="226">
        <v>76.599999999999994</v>
      </c>
      <c r="J22" s="226">
        <v>149.4</v>
      </c>
      <c r="K22" s="226">
        <v>116.5</v>
      </c>
      <c r="L22" s="226">
        <v>97.2</v>
      </c>
      <c r="M22" s="226">
        <v>29.97</v>
      </c>
      <c r="N22"/>
      <c r="O22"/>
      <c r="P22" s="223"/>
      <c r="Q22" s="223"/>
      <c r="R22" s="227"/>
      <c r="S22" s="227"/>
      <c r="T22" s="227"/>
      <c r="U22" s="227"/>
      <c r="V22" s="227"/>
      <c r="W22" s="227"/>
      <c r="X22" s="227"/>
      <c r="Y22" s="227"/>
      <c r="Z22" s="227"/>
      <c r="AA22" s="227"/>
      <c r="AB22" s="227"/>
      <c r="AC22" s="227"/>
      <c r="AD22" s="227"/>
    </row>
    <row r="23" spans="1:103" s="232" customFormat="1">
      <c r="A23" s="231" t="s">
        <v>231</v>
      </c>
      <c r="B23" s="226">
        <v>1200.046</v>
      </c>
      <c r="C23" s="226">
        <v>1176</v>
      </c>
      <c r="D23" s="226">
        <v>976</v>
      </c>
      <c r="E23" s="226">
        <v>927.8</v>
      </c>
      <c r="F23" s="226">
        <v>471.666</v>
      </c>
      <c r="G23" s="226">
        <v>217</v>
      </c>
      <c r="H23" s="226">
        <v>205</v>
      </c>
      <c r="I23" s="226">
        <v>166</v>
      </c>
      <c r="J23" s="226">
        <v>192</v>
      </c>
      <c r="K23" s="226">
        <v>218</v>
      </c>
      <c r="L23" s="226">
        <v>133</v>
      </c>
      <c r="M23" s="226">
        <v>94.8</v>
      </c>
      <c r="N23"/>
      <c r="O23"/>
      <c r="P23" s="223"/>
      <c r="Q23" s="223"/>
      <c r="R23" s="227"/>
      <c r="S23" s="227"/>
      <c r="T23" s="227"/>
      <c r="U23" s="227"/>
      <c r="V23" s="227"/>
      <c r="W23" s="227"/>
      <c r="X23" s="227"/>
      <c r="Y23" s="227"/>
      <c r="Z23" s="227"/>
      <c r="AA23" s="227"/>
      <c r="AB23" s="227"/>
      <c r="AC23" s="227"/>
      <c r="AD23" s="227"/>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c r="CY23" s="222"/>
    </row>
    <row r="24" spans="1:103">
      <c r="A24" s="225" t="s">
        <v>232</v>
      </c>
      <c r="B24" s="226">
        <v>0</v>
      </c>
      <c r="C24" s="226">
        <v>0</v>
      </c>
      <c r="D24" s="226">
        <v>0</v>
      </c>
      <c r="E24" s="226">
        <v>0</v>
      </c>
      <c r="F24" s="226">
        <v>0</v>
      </c>
      <c r="G24" s="226">
        <v>0</v>
      </c>
      <c r="H24" s="226">
        <v>0</v>
      </c>
      <c r="I24" s="226">
        <v>0</v>
      </c>
      <c r="J24" s="226">
        <v>0</v>
      </c>
      <c r="K24" s="226">
        <v>0</v>
      </c>
      <c r="L24" s="226">
        <v>0</v>
      </c>
      <c r="M24" s="226">
        <v>0</v>
      </c>
      <c r="N24"/>
      <c r="O24"/>
      <c r="P24" s="223"/>
      <c r="Q24" s="223"/>
      <c r="R24" s="227"/>
      <c r="S24" s="227"/>
      <c r="T24" s="227"/>
      <c r="U24" s="227"/>
      <c r="V24" s="227"/>
      <c r="W24" s="227"/>
      <c r="X24" s="227"/>
      <c r="Y24" s="227"/>
      <c r="Z24" s="227"/>
      <c r="AA24" s="227"/>
      <c r="AB24" s="227"/>
      <c r="AC24" s="227"/>
      <c r="AD24" s="227"/>
    </row>
    <row r="25" spans="1:103">
      <c r="A25" s="225" t="s">
        <v>263</v>
      </c>
      <c r="B25" s="226">
        <v>68.73</v>
      </c>
      <c r="C25" s="226">
        <v>47.4</v>
      </c>
      <c r="D25" s="226">
        <v>44.9</v>
      </c>
      <c r="E25" s="226">
        <v>34</v>
      </c>
      <c r="F25" s="226">
        <v>24</v>
      </c>
      <c r="G25" s="226">
        <v>24</v>
      </c>
      <c r="H25" s="226">
        <v>33</v>
      </c>
      <c r="I25" s="226">
        <v>47.4</v>
      </c>
      <c r="J25" s="226">
        <v>36.200000000000003</v>
      </c>
      <c r="K25" s="226">
        <v>25.4</v>
      </c>
      <c r="L25" s="226">
        <v>15.2</v>
      </c>
      <c r="M25" s="226">
        <v>8.7200000000000006</v>
      </c>
      <c r="N25"/>
      <c r="O25"/>
      <c r="P25" s="223"/>
      <c r="Q25" s="223"/>
      <c r="R25" s="227"/>
      <c r="S25" s="227"/>
      <c r="T25" s="227"/>
      <c r="U25" s="227"/>
      <c r="V25" s="227"/>
      <c r="W25" s="227"/>
      <c r="X25" s="227"/>
      <c r="Y25" s="227"/>
      <c r="Z25" s="227"/>
      <c r="AA25" s="227"/>
      <c r="AB25" s="227"/>
      <c r="AC25" s="227"/>
      <c r="AD25" s="227"/>
    </row>
    <row r="26" spans="1:103">
      <c r="A26" s="222" t="s">
        <v>234</v>
      </c>
      <c r="B26" s="223">
        <f>B27-B25-B24-B23-B22</f>
        <v>1102.7719999999999</v>
      </c>
      <c r="C26" s="223">
        <f>C27-C25-C24-C23-C22</f>
        <v>1139.5999999999999</v>
      </c>
      <c r="D26" s="223">
        <f t="shared" ref="D26:M26" si="10">D27-D25-D24-D23-D22</f>
        <v>1365.1</v>
      </c>
      <c r="E26" s="223">
        <f t="shared" si="10"/>
        <v>1520.8</v>
      </c>
      <c r="F26" s="223">
        <f t="shared" si="10"/>
        <v>325.23399999999998</v>
      </c>
      <c r="G26" s="223">
        <f t="shared" si="10"/>
        <v>65</v>
      </c>
      <c r="H26" s="223">
        <f t="shared" si="10"/>
        <v>41.599999999999994</v>
      </c>
      <c r="I26" s="223">
        <f t="shared" si="10"/>
        <v>93.600000000000051</v>
      </c>
      <c r="J26" s="223">
        <f t="shared" si="10"/>
        <v>142.16999999999999</v>
      </c>
      <c r="K26" s="223">
        <f t="shared" si="10"/>
        <v>177.10000000000002</v>
      </c>
      <c r="L26" s="223">
        <f t="shared" si="10"/>
        <v>50.600000000000009</v>
      </c>
      <c r="M26" s="223">
        <f t="shared" si="10"/>
        <v>16.398800000000008</v>
      </c>
      <c r="N26"/>
      <c r="O26"/>
      <c r="P26" s="223"/>
      <c r="Q26" s="223"/>
      <c r="R26" s="227"/>
      <c r="S26" s="227"/>
      <c r="T26" s="227"/>
      <c r="U26" s="227"/>
      <c r="V26" s="227"/>
      <c r="W26" s="227"/>
      <c r="X26" s="227"/>
      <c r="Y26" s="227"/>
      <c r="Z26" s="227"/>
      <c r="AA26" s="227"/>
    </row>
    <row r="27" spans="1:103">
      <c r="A27" s="225" t="s">
        <v>235</v>
      </c>
      <c r="B27" s="233">
        <v>2854.768</v>
      </c>
      <c r="C27" s="233">
        <v>2689</v>
      </c>
      <c r="D27" s="233">
        <v>2712</v>
      </c>
      <c r="E27" s="233">
        <v>2712.6</v>
      </c>
      <c r="F27" s="233">
        <v>938.9</v>
      </c>
      <c r="G27" s="233">
        <v>395</v>
      </c>
      <c r="H27" s="233">
        <v>360</v>
      </c>
      <c r="I27" s="233">
        <v>383.6</v>
      </c>
      <c r="J27" s="233">
        <v>519.77</v>
      </c>
      <c r="K27" s="233">
        <v>537</v>
      </c>
      <c r="L27" s="233">
        <v>296</v>
      </c>
      <c r="M27" s="233">
        <v>149.8888</v>
      </c>
      <c r="N27"/>
      <c r="O27"/>
      <c r="P27" s="223"/>
      <c r="Q27" s="223"/>
      <c r="R27" s="227"/>
      <c r="S27" s="227"/>
      <c r="T27" s="227"/>
      <c r="U27" s="227"/>
      <c r="V27" s="227"/>
      <c r="W27" s="227"/>
      <c r="X27" s="227"/>
      <c r="Y27" s="227"/>
      <c r="Z27" s="227"/>
      <c r="AA27" s="227"/>
    </row>
    <row r="28" spans="1:103">
      <c r="C28" s="227"/>
      <c r="D28" s="227"/>
      <c r="E28" s="227"/>
      <c r="F28" s="227"/>
      <c r="G28" s="227"/>
      <c r="H28" s="227"/>
      <c r="I28" s="227"/>
      <c r="J28" s="227"/>
      <c r="K28" s="227"/>
      <c r="L28" s="227"/>
      <c r="M28" s="227"/>
      <c r="N28"/>
      <c r="O28"/>
      <c r="R28" s="227"/>
      <c r="S28" s="227"/>
      <c r="T28" s="227"/>
      <c r="U28" s="227"/>
      <c r="V28" s="227"/>
      <c r="W28" s="227"/>
      <c r="X28" s="227"/>
      <c r="Y28" s="227"/>
      <c r="Z28" s="227"/>
      <c r="AA28" s="227"/>
    </row>
    <row r="29" spans="1:103">
      <c r="C29" s="227"/>
      <c r="D29" s="227"/>
      <c r="E29" s="227"/>
      <c r="F29" s="227"/>
      <c r="G29" s="227"/>
      <c r="H29" s="227"/>
      <c r="I29" s="227"/>
      <c r="J29" s="227"/>
      <c r="K29" s="227"/>
      <c r="L29" s="227"/>
      <c r="M29" s="227"/>
      <c r="N29"/>
      <c r="O29"/>
      <c r="R29" s="227"/>
      <c r="S29" s="227"/>
      <c r="T29" s="227"/>
      <c r="U29" s="227"/>
      <c r="V29" s="227"/>
      <c r="W29" s="227"/>
      <c r="X29" s="227"/>
      <c r="Y29" s="227"/>
      <c r="Z29" s="227"/>
      <c r="AA29" s="227"/>
    </row>
    <row r="30" spans="1:103">
      <c r="A30" s="224" t="s">
        <v>236</v>
      </c>
      <c r="B30" s="229">
        <v>2086.5500000000002</v>
      </c>
      <c r="C30" s="229">
        <v>1987</v>
      </c>
      <c r="D30" s="229">
        <v>1921</v>
      </c>
      <c r="E30" s="229">
        <v>1832</v>
      </c>
      <c r="F30" s="229">
        <v>557.4</v>
      </c>
      <c r="G30" s="229">
        <v>283.3</v>
      </c>
      <c r="H30" s="229">
        <v>241.9999</v>
      </c>
      <c r="I30" s="229">
        <v>219</v>
      </c>
      <c r="J30" s="229">
        <v>220.3</v>
      </c>
      <c r="K30" s="229">
        <v>258.7</v>
      </c>
      <c r="L30" s="229">
        <v>167.7</v>
      </c>
      <c r="M30" s="229">
        <v>133.69999999999999</v>
      </c>
      <c r="N30"/>
      <c r="O30"/>
      <c r="R30" s="227"/>
      <c r="S30" s="227"/>
      <c r="T30" s="227"/>
      <c r="U30" s="227"/>
      <c r="V30" s="227"/>
      <c r="W30" s="227"/>
      <c r="X30" s="227"/>
      <c r="Y30" s="227"/>
      <c r="Z30" s="227"/>
      <c r="AA30" s="227"/>
    </row>
    <row r="31" spans="1:103" s="224" customFormat="1">
      <c r="A31" s="234" t="s">
        <v>237</v>
      </c>
      <c r="B31" s="233">
        <v>1495.9839999999999</v>
      </c>
      <c r="C31" s="233">
        <v>1402</v>
      </c>
      <c r="D31" s="233">
        <v>1125</v>
      </c>
      <c r="E31" s="233">
        <v>1029</v>
      </c>
      <c r="F31" s="233">
        <v>522</v>
      </c>
      <c r="G31" s="233">
        <v>267</v>
      </c>
      <c r="H31" s="233">
        <v>241</v>
      </c>
      <c r="I31" s="233">
        <v>217</v>
      </c>
      <c r="J31" s="233">
        <v>218</v>
      </c>
      <c r="K31" s="233">
        <v>250</v>
      </c>
      <c r="L31" s="233">
        <v>154</v>
      </c>
      <c r="M31" s="233">
        <v>123.4</v>
      </c>
      <c r="N31"/>
      <c r="O31"/>
      <c r="P31" s="229"/>
      <c r="Q31" s="229"/>
      <c r="R31" s="227"/>
      <c r="S31" s="227"/>
      <c r="T31" s="227"/>
      <c r="U31" s="227"/>
      <c r="V31" s="227"/>
      <c r="W31" s="227"/>
      <c r="X31" s="227"/>
      <c r="Y31" s="227"/>
      <c r="Z31" s="227"/>
      <c r="AA31" s="227"/>
    </row>
    <row r="32" spans="1:103">
      <c r="A32" s="225" t="s">
        <v>238</v>
      </c>
      <c r="B32" s="226">
        <v>3.641</v>
      </c>
      <c r="C32" s="226">
        <v>3.6</v>
      </c>
      <c r="D32" s="226">
        <v>3.6</v>
      </c>
      <c r="E32" s="226">
        <v>3.6</v>
      </c>
      <c r="F32" s="226">
        <v>0</v>
      </c>
      <c r="G32" s="226">
        <v>0</v>
      </c>
      <c r="H32" s="226">
        <v>0</v>
      </c>
      <c r="I32" s="226">
        <v>0</v>
      </c>
      <c r="J32" s="226">
        <v>0</v>
      </c>
      <c r="K32" s="226">
        <v>0</v>
      </c>
      <c r="L32" s="387">
        <v>0.1</v>
      </c>
      <c r="M32" s="387">
        <v>0.3</v>
      </c>
      <c r="N32"/>
      <c r="O32"/>
      <c r="P32" s="223"/>
      <c r="Q32" s="223"/>
      <c r="R32" s="227"/>
      <c r="S32" s="227"/>
      <c r="T32" s="227"/>
      <c r="U32" s="227"/>
      <c r="V32" s="227"/>
      <c r="W32" s="227"/>
      <c r="X32" s="227"/>
      <c r="Y32" s="227"/>
      <c r="Z32" s="227"/>
      <c r="AA32" s="227"/>
    </row>
    <row r="33" spans="1:27">
      <c r="A33" s="225" t="s">
        <v>239</v>
      </c>
      <c r="B33" s="226">
        <v>16.085999999999999</v>
      </c>
      <c r="C33" s="226">
        <v>20.399999999999999</v>
      </c>
      <c r="D33" s="226">
        <v>21.1</v>
      </c>
      <c r="E33" s="226">
        <v>19.100000000000001</v>
      </c>
      <c r="F33" s="226">
        <v>9.8000000000000007</v>
      </c>
      <c r="G33" s="226">
        <v>7.3</v>
      </c>
      <c r="H33" s="226">
        <v>0</v>
      </c>
      <c r="I33" s="226">
        <v>0</v>
      </c>
      <c r="J33" s="226">
        <v>0</v>
      </c>
      <c r="K33" s="226">
        <v>0</v>
      </c>
      <c r="L33" s="226">
        <v>0</v>
      </c>
      <c r="M33" s="226">
        <v>0</v>
      </c>
      <c r="N33"/>
      <c r="O33"/>
      <c r="P33" s="223"/>
      <c r="Q33" s="223"/>
      <c r="R33" s="227"/>
      <c r="S33" s="227"/>
      <c r="T33" s="227"/>
      <c r="U33" s="227"/>
      <c r="V33" s="227"/>
      <c r="W33" s="227"/>
      <c r="X33" s="227"/>
      <c r="Y33" s="227"/>
      <c r="Z33" s="227"/>
      <c r="AA33" s="227"/>
    </row>
    <row r="34" spans="1:27">
      <c r="A34" s="222" t="s">
        <v>240</v>
      </c>
      <c r="B34" s="223">
        <f t="shared" ref="B34:M34" si="11">B31-B32-B33</f>
        <v>1476.2569999999998</v>
      </c>
      <c r="C34" s="223">
        <f t="shared" si="11"/>
        <v>1378</v>
      </c>
      <c r="D34" s="223">
        <f t="shared" si="11"/>
        <v>1100.3000000000002</v>
      </c>
      <c r="E34" s="223">
        <f t="shared" si="11"/>
        <v>1006.3000000000001</v>
      </c>
      <c r="F34" s="223">
        <f t="shared" si="11"/>
        <v>512.20000000000005</v>
      </c>
      <c r="G34" s="223">
        <f t="shared" si="11"/>
        <v>259.7</v>
      </c>
      <c r="H34" s="223">
        <f t="shared" si="11"/>
        <v>241</v>
      </c>
      <c r="I34" s="223">
        <f t="shared" si="11"/>
        <v>217</v>
      </c>
      <c r="J34" s="223">
        <f t="shared" si="11"/>
        <v>218</v>
      </c>
      <c r="K34" s="223">
        <f t="shared" si="11"/>
        <v>250</v>
      </c>
      <c r="L34" s="223">
        <f t="shared" si="11"/>
        <v>153.9</v>
      </c>
      <c r="M34" s="223">
        <f t="shared" si="11"/>
        <v>123.10000000000001</v>
      </c>
      <c r="N34"/>
      <c r="O34"/>
      <c r="P34" s="223"/>
      <c r="Q34" s="223"/>
      <c r="R34" s="227"/>
      <c r="S34" s="227"/>
      <c r="T34" s="227"/>
      <c r="U34" s="227"/>
      <c r="V34" s="227"/>
      <c r="W34" s="227"/>
      <c r="X34" s="227"/>
      <c r="Y34" s="227"/>
      <c r="Z34" s="227"/>
      <c r="AA34" s="227"/>
    </row>
    <row r="35" spans="1:27" s="224" customFormat="1">
      <c r="A35" s="234" t="s">
        <v>241</v>
      </c>
      <c r="B35" s="233">
        <v>590.56600000000026</v>
      </c>
      <c r="C35" s="233">
        <f>C30-C31</f>
        <v>585</v>
      </c>
      <c r="D35" s="233">
        <f t="shared" ref="D35:M35" si="12">D30-D31</f>
        <v>796</v>
      </c>
      <c r="E35" s="233">
        <f t="shared" si="12"/>
        <v>803</v>
      </c>
      <c r="F35" s="233">
        <f t="shared" si="12"/>
        <v>35.399999999999977</v>
      </c>
      <c r="G35" s="233">
        <f t="shared" si="12"/>
        <v>16.300000000000011</v>
      </c>
      <c r="H35" s="233">
        <f t="shared" si="12"/>
        <v>0.99989999999999668</v>
      </c>
      <c r="I35" s="233">
        <f t="shared" si="12"/>
        <v>2</v>
      </c>
      <c r="J35" s="233">
        <f t="shared" si="12"/>
        <v>2.3000000000000114</v>
      </c>
      <c r="K35" s="233">
        <f t="shared" si="12"/>
        <v>8.6999999999999886</v>
      </c>
      <c r="L35" s="233">
        <f t="shared" si="12"/>
        <v>13.699999999999989</v>
      </c>
      <c r="M35" s="233">
        <f t="shared" si="12"/>
        <v>10.299999999999983</v>
      </c>
      <c r="N35"/>
      <c r="O35"/>
      <c r="P35" s="229"/>
      <c r="Q35" s="229"/>
      <c r="R35" s="227"/>
      <c r="S35" s="227"/>
      <c r="T35" s="227"/>
      <c r="U35" s="227"/>
      <c r="V35" s="227"/>
      <c r="W35" s="227"/>
      <c r="X35" s="227"/>
      <c r="Y35" s="227"/>
      <c r="Z35" s="227"/>
      <c r="AA35" s="227"/>
    </row>
    <row r="36" spans="1:27">
      <c r="A36" s="225" t="s">
        <v>242</v>
      </c>
      <c r="B36" s="226">
        <v>550.10400000000004</v>
      </c>
      <c r="C36" s="226">
        <v>533</v>
      </c>
      <c r="D36" s="226">
        <v>722.7</v>
      </c>
      <c r="E36" s="226">
        <v>720</v>
      </c>
      <c r="F36" s="226">
        <v>0</v>
      </c>
      <c r="G36" s="226">
        <v>0</v>
      </c>
      <c r="H36" s="226">
        <v>0</v>
      </c>
      <c r="I36" s="226">
        <v>0</v>
      </c>
      <c r="J36" s="226">
        <v>0</v>
      </c>
      <c r="K36" s="226">
        <v>0</v>
      </c>
      <c r="L36" s="226">
        <v>0</v>
      </c>
      <c r="M36" s="226">
        <v>0</v>
      </c>
      <c r="N36"/>
      <c r="O36"/>
      <c r="P36" s="223"/>
      <c r="Q36" s="223"/>
      <c r="R36" s="227"/>
      <c r="S36" s="227"/>
      <c r="T36" s="227"/>
      <c r="U36" s="227"/>
      <c r="V36" s="227"/>
      <c r="W36" s="227"/>
      <c r="X36" s="227"/>
      <c r="Y36" s="227"/>
      <c r="Z36" s="227"/>
      <c r="AA36" s="227"/>
    </row>
    <row r="37" spans="1:27">
      <c r="A37" s="225" t="s">
        <v>243</v>
      </c>
      <c r="B37" s="385">
        <v>38.982999999999997</v>
      </c>
      <c r="C37" s="385">
        <v>49.66</v>
      </c>
      <c r="D37" s="385">
        <v>66.3</v>
      </c>
      <c r="E37" s="385">
        <v>66.5</v>
      </c>
      <c r="F37" s="385">
        <v>32.299999999999997</v>
      </c>
      <c r="G37" s="385">
        <v>15.2</v>
      </c>
      <c r="H37" s="226">
        <v>0</v>
      </c>
      <c r="I37" s="226">
        <v>0</v>
      </c>
      <c r="J37" s="226">
        <v>0</v>
      </c>
      <c r="K37" s="226">
        <v>0</v>
      </c>
      <c r="L37" s="226">
        <v>0</v>
      </c>
      <c r="M37" s="226">
        <v>3.9</v>
      </c>
      <c r="N37"/>
      <c r="O37"/>
      <c r="P37" s="223"/>
      <c r="Q37" s="223"/>
      <c r="R37" s="227"/>
      <c r="S37" s="223"/>
    </row>
    <row r="38" spans="1:27">
      <c r="A38" s="222" t="s">
        <v>244</v>
      </c>
      <c r="B38" s="386">
        <f>B35-B36-B37</f>
        <v>1.4790000000002195</v>
      </c>
      <c r="C38" s="386">
        <f>C35-C36-C37</f>
        <v>2.3400000000000034</v>
      </c>
      <c r="D38" s="386">
        <f t="shared" ref="D38:M38" si="13">D35-D36-D37</f>
        <v>6.9999999999999574</v>
      </c>
      <c r="E38" s="386">
        <f t="shared" si="13"/>
        <v>16.5</v>
      </c>
      <c r="F38" s="386">
        <f t="shared" si="13"/>
        <v>3.0999999999999801</v>
      </c>
      <c r="G38" s="386">
        <f t="shared" si="13"/>
        <v>1.1000000000000121</v>
      </c>
      <c r="H38" s="386">
        <f t="shared" si="13"/>
        <v>0.99989999999999668</v>
      </c>
      <c r="I38" s="386">
        <f t="shared" si="13"/>
        <v>2</v>
      </c>
      <c r="J38" s="386">
        <f t="shared" si="13"/>
        <v>2.3000000000000114</v>
      </c>
      <c r="K38" s="386">
        <f t="shared" si="13"/>
        <v>8.6999999999999886</v>
      </c>
      <c r="L38" s="386">
        <f t="shared" si="13"/>
        <v>13.699999999999989</v>
      </c>
      <c r="M38" s="386">
        <f t="shared" si="13"/>
        <v>6.3999999999999826</v>
      </c>
      <c r="N38"/>
      <c r="O38"/>
      <c r="P38" s="223"/>
      <c r="Q38" s="223"/>
      <c r="R38" s="223"/>
      <c r="S38" s="223"/>
    </row>
    <row r="39" spans="1:27" s="224" customFormat="1">
      <c r="A39" s="224" t="s">
        <v>245</v>
      </c>
      <c r="B39" s="229">
        <v>2086.5500000000002</v>
      </c>
      <c r="C39" s="229">
        <v>1987</v>
      </c>
      <c r="D39" s="229">
        <v>1921</v>
      </c>
      <c r="E39" s="229">
        <v>1832</v>
      </c>
      <c r="F39" s="229">
        <v>557.4</v>
      </c>
      <c r="G39" s="229">
        <v>283.3</v>
      </c>
      <c r="H39" s="229">
        <v>241.9999</v>
      </c>
      <c r="I39" s="229">
        <v>219</v>
      </c>
      <c r="J39" s="229">
        <v>220.3</v>
      </c>
      <c r="K39" s="229">
        <v>258.7</v>
      </c>
      <c r="L39" s="229">
        <v>167.7</v>
      </c>
      <c r="M39" s="229">
        <v>133.69999999999999</v>
      </c>
      <c r="N39"/>
      <c r="O39"/>
      <c r="P39" s="229"/>
      <c r="Q39" s="254"/>
      <c r="R39" s="229"/>
      <c r="S39" s="229"/>
    </row>
    <row r="40" spans="1:27">
      <c r="C40" s="227"/>
      <c r="D40" s="227"/>
      <c r="E40" s="227"/>
      <c r="F40" s="227"/>
      <c r="G40" s="227"/>
      <c r="H40" s="227"/>
      <c r="I40" s="227"/>
      <c r="J40" s="227"/>
      <c r="K40" s="227"/>
      <c r="L40" s="227"/>
      <c r="M40" s="227"/>
      <c r="N40"/>
      <c r="O40"/>
      <c r="Q40" s="254"/>
    </row>
    <row r="41" spans="1:27">
      <c r="C41" s="227"/>
      <c r="D41" s="227"/>
      <c r="E41" s="227"/>
      <c r="F41" s="227"/>
      <c r="G41" s="227"/>
      <c r="H41" s="227"/>
      <c r="I41" s="227"/>
      <c r="J41" s="227"/>
      <c r="K41" s="227"/>
      <c r="L41" s="227"/>
      <c r="M41" s="227"/>
      <c r="N41"/>
      <c r="O41"/>
      <c r="Q41" s="254"/>
    </row>
    <row r="42" spans="1:27" s="224" customFormat="1">
      <c r="A42" s="234" t="s">
        <v>246</v>
      </c>
      <c r="B42" s="709">
        <v>0</v>
      </c>
      <c r="C42" s="233">
        <v>0</v>
      </c>
      <c r="D42" s="233">
        <v>0</v>
      </c>
      <c r="E42" s="233">
        <v>0</v>
      </c>
      <c r="F42" s="233">
        <v>0</v>
      </c>
      <c r="G42" s="233">
        <v>0</v>
      </c>
      <c r="H42" s="233">
        <v>0</v>
      </c>
      <c r="I42" s="233">
        <v>0</v>
      </c>
      <c r="J42" s="233">
        <v>0</v>
      </c>
      <c r="K42" s="233">
        <v>0</v>
      </c>
      <c r="L42" s="233">
        <v>0</v>
      </c>
      <c r="M42" s="233">
        <v>0</v>
      </c>
      <c r="N42"/>
      <c r="O42"/>
      <c r="P42" s="223"/>
      <c r="Q42" s="229"/>
      <c r="R42" s="227"/>
      <c r="S42" s="227"/>
      <c r="T42" s="227"/>
      <c r="U42" s="227"/>
      <c r="V42" s="227"/>
      <c r="W42" s="227"/>
      <c r="X42" s="227"/>
      <c r="Y42" s="227"/>
      <c r="Z42" s="227"/>
      <c r="AA42" s="227"/>
    </row>
    <row r="43" spans="1:27">
      <c r="C43" s="227"/>
      <c r="D43" s="227"/>
      <c r="E43" s="227"/>
      <c r="F43" s="227"/>
      <c r="G43" s="223"/>
      <c r="H43" s="223"/>
      <c r="I43" s="223"/>
      <c r="J43" s="223"/>
      <c r="K43" s="223"/>
      <c r="N43"/>
      <c r="O43"/>
      <c r="P43" s="223"/>
      <c r="Q43" s="229"/>
      <c r="R43" s="223"/>
      <c r="S43" s="223"/>
    </row>
    <row r="44" spans="1:27">
      <c r="A44" s="224" t="s">
        <v>247</v>
      </c>
      <c r="B44" s="708">
        <f>B27-B39</f>
        <v>768.21799999999985</v>
      </c>
      <c r="C44" s="708">
        <f t="shared" ref="C44:M44" si="14">C27-C39</f>
        <v>702</v>
      </c>
      <c r="D44" s="708">
        <f t="shared" si="14"/>
        <v>791</v>
      </c>
      <c r="E44" s="708">
        <f t="shared" si="14"/>
        <v>880.59999999999991</v>
      </c>
      <c r="F44" s="708">
        <f t="shared" si="14"/>
        <v>381.5</v>
      </c>
      <c r="G44" s="708">
        <f t="shared" si="14"/>
        <v>111.69999999999999</v>
      </c>
      <c r="H44" s="708">
        <f t="shared" si="14"/>
        <v>118.0001</v>
      </c>
      <c r="I44" s="708">
        <f t="shared" si="14"/>
        <v>164.60000000000002</v>
      </c>
      <c r="J44" s="708">
        <f t="shared" si="14"/>
        <v>299.46999999999997</v>
      </c>
      <c r="K44" s="708">
        <f t="shared" si="14"/>
        <v>278.3</v>
      </c>
      <c r="L44" s="708">
        <f t="shared" si="14"/>
        <v>128.30000000000001</v>
      </c>
      <c r="M44" s="708">
        <f t="shared" si="14"/>
        <v>16.188800000000015</v>
      </c>
      <c r="N44"/>
      <c r="O44"/>
      <c r="P44" s="229"/>
      <c r="Q44" s="229"/>
      <c r="R44" s="229"/>
      <c r="S44" s="229"/>
    </row>
    <row r="45" spans="1:27">
      <c r="C45" s="227"/>
      <c r="D45" s="227"/>
      <c r="E45" s="227"/>
      <c r="N45"/>
      <c r="O45"/>
      <c r="Q45" s="254"/>
    </row>
    <row r="46" spans="1:27">
      <c r="A46" s="254" t="s">
        <v>248</v>
      </c>
      <c r="B46" s="254">
        <f>C46+1</f>
        <v>2024</v>
      </c>
      <c r="C46" s="254">
        <f t="shared" ref="C46:M46" si="15">C5</f>
        <v>2023</v>
      </c>
      <c r="D46" s="254">
        <f t="shared" si="15"/>
        <v>2022</v>
      </c>
      <c r="E46" s="254">
        <f t="shared" si="15"/>
        <v>2021</v>
      </c>
      <c r="F46" s="254">
        <f t="shared" si="15"/>
        <v>2020</v>
      </c>
      <c r="G46" s="254">
        <f t="shared" si="15"/>
        <v>2019</v>
      </c>
      <c r="H46" s="254">
        <f t="shared" si="15"/>
        <v>2018</v>
      </c>
      <c r="I46" s="254">
        <f t="shared" si="15"/>
        <v>2017</v>
      </c>
      <c r="J46" s="254">
        <f t="shared" si="15"/>
        <v>2016</v>
      </c>
      <c r="K46" s="254">
        <f t="shared" si="15"/>
        <v>2015</v>
      </c>
      <c r="L46" s="254">
        <f t="shared" si="15"/>
        <v>2014</v>
      </c>
      <c r="M46" s="254">
        <f t="shared" si="15"/>
        <v>2013</v>
      </c>
      <c r="N46"/>
      <c r="O46"/>
      <c r="Q46" s="254"/>
    </row>
    <row r="47" spans="1:27">
      <c r="A47" s="225" t="s">
        <v>360</v>
      </c>
      <c r="B47" s="710">
        <v>905</v>
      </c>
      <c r="C47" s="226">
        <v>911</v>
      </c>
      <c r="D47" s="226">
        <v>947</v>
      </c>
      <c r="E47" s="226">
        <v>876</v>
      </c>
      <c r="F47" s="226">
        <v>569</v>
      </c>
      <c r="G47" s="226">
        <v>444</v>
      </c>
      <c r="H47" s="226">
        <v>100</v>
      </c>
      <c r="I47" s="226">
        <v>514</v>
      </c>
      <c r="J47" s="226">
        <v>572</v>
      </c>
      <c r="K47" s="226">
        <v>699</v>
      </c>
      <c r="L47" s="226">
        <v>470</v>
      </c>
      <c r="M47" s="226">
        <v>344</v>
      </c>
      <c r="N47"/>
      <c r="O47"/>
      <c r="P47" s="223"/>
      <c r="Q47" s="229"/>
      <c r="R47" s="223"/>
      <c r="S47" s="223"/>
    </row>
    <row r="48" spans="1:27">
      <c r="A48" s="225" t="s">
        <v>250</v>
      </c>
      <c r="B48" s="226">
        <v>142.95140000000001</v>
      </c>
      <c r="C48" s="226">
        <v>140</v>
      </c>
      <c r="D48" s="226">
        <v>140</v>
      </c>
      <c r="E48" s="226">
        <v>130</v>
      </c>
      <c r="F48" s="226">
        <v>111</v>
      </c>
      <c r="G48" s="226">
        <v>53</v>
      </c>
      <c r="H48" s="226">
        <v>50</v>
      </c>
      <c r="I48" s="226">
        <v>49</v>
      </c>
      <c r="J48" s="226">
        <v>48</v>
      </c>
      <c r="K48" s="226">
        <v>42</v>
      </c>
      <c r="L48" s="226">
        <v>35</v>
      </c>
      <c r="M48" s="226">
        <v>26</v>
      </c>
      <c r="N48"/>
      <c r="O48"/>
      <c r="P48" s="223"/>
      <c r="Q48" s="229"/>
      <c r="R48" s="223"/>
      <c r="S48" s="223"/>
    </row>
    <row r="49" spans="1:19">
      <c r="A49" s="225" t="s">
        <v>171</v>
      </c>
      <c r="B49" s="503">
        <v>138.16</v>
      </c>
      <c r="C49" s="503">
        <f t="shared" ref="C49:M49" si="16">138/140*C48</f>
        <v>138</v>
      </c>
      <c r="D49" s="503">
        <f t="shared" si="16"/>
        <v>138</v>
      </c>
      <c r="E49" s="503">
        <f t="shared" si="16"/>
        <v>128.14285714285714</v>
      </c>
      <c r="F49" s="503">
        <f t="shared" si="16"/>
        <v>109.41428571428573</v>
      </c>
      <c r="G49" s="503">
        <f t="shared" si="16"/>
        <v>52.242857142857147</v>
      </c>
      <c r="H49" s="503">
        <f t="shared" si="16"/>
        <v>49.285714285714292</v>
      </c>
      <c r="I49" s="503">
        <f t="shared" si="16"/>
        <v>48.300000000000004</v>
      </c>
      <c r="J49" s="503">
        <f t="shared" si="16"/>
        <v>47.314285714285717</v>
      </c>
      <c r="K49" s="503">
        <f t="shared" si="16"/>
        <v>41.400000000000006</v>
      </c>
      <c r="L49" s="503">
        <f t="shared" si="16"/>
        <v>34.5</v>
      </c>
      <c r="M49" s="503">
        <f t="shared" si="16"/>
        <v>25.62857142857143</v>
      </c>
      <c r="N49"/>
      <c r="O49"/>
      <c r="P49" s="381"/>
      <c r="Q49" s="382"/>
      <c r="R49" s="381"/>
      <c r="S49" s="381"/>
    </row>
    <row r="50" spans="1:19">
      <c r="A50" s="225" t="s">
        <v>251</v>
      </c>
      <c r="B50" s="380">
        <v>2.3E-2</v>
      </c>
      <c r="C50" s="380">
        <v>2.3E-2</v>
      </c>
      <c r="D50" s="380">
        <v>2.3E-2</v>
      </c>
      <c r="E50" s="380">
        <v>2.3E-2</v>
      </c>
      <c r="F50" s="380">
        <v>2.3E-2</v>
      </c>
      <c r="G50" s="380">
        <v>2.3E-2</v>
      </c>
      <c r="H50" s="380">
        <v>2.3E-2</v>
      </c>
      <c r="I50" s="380">
        <v>2.3E-2</v>
      </c>
      <c r="J50" s="380">
        <v>2.3E-2</v>
      </c>
      <c r="K50" s="380">
        <v>2.3E-2</v>
      </c>
      <c r="L50" s="380">
        <v>2.3E-2</v>
      </c>
      <c r="M50" s="380">
        <v>2.3E-2</v>
      </c>
      <c r="N50"/>
      <c r="O50"/>
      <c r="P50" s="381"/>
      <c r="Q50" s="383"/>
      <c r="R50" s="381"/>
      <c r="S50" s="384"/>
    </row>
    <row r="51" spans="1:19">
      <c r="A51" s="225" t="s">
        <v>252</v>
      </c>
      <c r="B51" s="226" t="s">
        <v>512</v>
      </c>
      <c r="C51" s="226" t="s">
        <v>486</v>
      </c>
      <c r="D51" s="226" t="s">
        <v>486</v>
      </c>
      <c r="E51" s="226" t="s">
        <v>486</v>
      </c>
      <c r="F51" s="226" t="s">
        <v>486</v>
      </c>
      <c r="G51" s="226" t="s">
        <v>486</v>
      </c>
      <c r="H51" s="226" t="s">
        <v>486</v>
      </c>
      <c r="I51" s="226" t="s">
        <v>486</v>
      </c>
      <c r="J51" s="226" t="s">
        <v>486</v>
      </c>
      <c r="K51" s="226" t="s">
        <v>486</v>
      </c>
      <c r="L51" s="226" t="s">
        <v>486</v>
      </c>
      <c r="M51" s="226" t="s">
        <v>486</v>
      </c>
      <c r="N51"/>
      <c r="O51"/>
      <c r="P51" s="229"/>
      <c r="Q51" s="229"/>
      <c r="R51" s="229"/>
      <c r="S51" s="229"/>
    </row>
    <row r="52" spans="1:19">
      <c r="A52" s="225" t="str">
        <f>"Vol. Diario en Millones "&amp;A1</f>
        <v>Vol. Diario en Millones USD</v>
      </c>
      <c r="B52" s="385">
        <v>39.038195000000002</v>
      </c>
      <c r="C52" s="385">
        <v>18</v>
      </c>
      <c r="D52" s="385">
        <v>20</v>
      </c>
      <c r="E52" s="385">
        <v>22</v>
      </c>
      <c r="F52" s="385" t="str">
        <f t="shared" ref="F52:M52" si="17">F51</f>
        <v>N/A</v>
      </c>
      <c r="G52" s="385" t="str">
        <f t="shared" si="17"/>
        <v>N/A</v>
      </c>
      <c r="H52" s="385" t="str">
        <f t="shared" si="17"/>
        <v>N/A</v>
      </c>
      <c r="I52" s="385" t="str">
        <f t="shared" si="17"/>
        <v>N/A</v>
      </c>
      <c r="J52" s="385" t="str">
        <f t="shared" si="17"/>
        <v>N/A</v>
      </c>
      <c r="K52" s="385" t="str">
        <f t="shared" si="17"/>
        <v>N/A</v>
      </c>
      <c r="L52" s="385" t="str">
        <f t="shared" si="17"/>
        <v>N/A</v>
      </c>
      <c r="M52" s="385" t="str">
        <f t="shared" si="17"/>
        <v>N/A</v>
      </c>
      <c r="N52"/>
      <c r="O52"/>
      <c r="Q52" s="254"/>
    </row>
    <row r="53" spans="1:19">
      <c r="C53" s="254">
        <v>2021</v>
      </c>
      <c r="D53" s="254">
        <f>C53+1</f>
        <v>2022</v>
      </c>
      <c r="E53" s="254">
        <f>D53+1</f>
        <v>2023</v>
      </c>
      <c r="F53" s="254">
        <f>E53+1</f>
        <v>2024</v>
      </c>
      <c r="H53" s="386"/>
      <c r="I53" s="386"/>
      <c r="J53" s="386"/>
      <c r="K53" s="386"/>
      <c r="L53" s="386"/>
      <c r="M53" s="386"/>
      <c r="N53"/>
      <c r="O53"/>
      <c r="Q53" s="254"/>
    </row>
    <row r="54" spans="1:19">
      <c r="A54" s="225" t="s">
        <v>361</v>
      </c>
      <c r="B54" s="225"/>
      <c r="C54" s="380">
        <v>8.5000000000000006E-2</v>
      </c>
      <c r="D54" s="380">
        <v>0.1</v>
      </c>
      <c r="E54" s="380">
        <v>7.5700000000000003E-2</v>
      </c>
      <c r="F54" s="380">
        <v>3.95E-2</v>
      </c>
      <c r="L54" s="222"/>
      <c r="M54" s="222"/>
      <c r="N54"/>
      <c r="O54"/>
      <c r="Q54" s="254"/>
    </row>
    <row r="55" spans="1:19">
      <c r="A55" s="225" t="s">
        <v>134</v>
      </c>
      <c r="B55" s="225"/>
      <c r="C55" s="385">
        <v>-1.72</v>
      </c>
      <c r="D55" s="385">
        <v>-0.98</v>
      </c>
      <c r="E55" s="385">
        <v>3.0000000000000001E-3</v>
      </c>
      <c r="F55" s="385">
        <v>-4.62</v>
      </c>
      <c r="L55" s="222"/>
      <c r="M55" s="222"/>
      <c r="N55"/>
      <c r="O55"/>
      <c r="Q55" s="254"/>
    </row>
    <row r="56" spans="1:19">
      <c r="N56"/>
      <c r="O56"/>
      <c r="Q56" s="254"/>
    </row>
    <row r="57" spans="1:19">
      <c r="A57" s="254" t="s">
        <v>362</v>
      </c>
      <c r="B57" s="254"/>
      <c r="C57" s="254" t="s">
        <v>253</v>
      </c>
      <c r="D57" s="254" t="s">
        <v>252</v>
      </c>
      <c r="E57" s="254" t="s">
        <v>363</v>
      </c>
      <c r="F57" s="254" t="s">
        <v>256</v>
      </c>
      <c r="K57" s="223"/>
      <c r="M57" s="192"/>
      <c r="N57"/>
      <c r="O57"/>
      <c r="Q57" s="254"/>
    </row>
    <row r="58" spans="1:19">
      <c r="A58" s="225">
        <v>3</v>
      </c>
      <c r="B58" s="225"/>
      <c r="C58" s="387" t="s">
        <v>502</v>
      </c>
      <c r="D58" s="226" t="s">
        <v>501</v>
      </c>
      <c r="E58" s="388">
        <v>5.7599999999999998E-2</v>
      </c>
      <c r="F58" s="226" t="s">
        <v>354</v>
      </c>
      <c r="K58" s="223"/>
      <c r="M58" s="192"/>
      <c r="N58"/>
      <c r="O58"/>
      <c r="Q58" s="254"/>
    </row>
    <row r="59" spans="1:19">
      <c r="A59" s="225"/>
      <c r="B59" s="225"/>
      <c r="C59" s="387"/>
      <c r="D59" s="226"/>
      <c r="E59" s="388"/>
      <c r="F59" s="226"/>
      <c r="K59" s="223"/>
      <c r="M59" s="192"/>
      <c r="N59"/>
      <c r="O59"/>
      <c r="Q59" s="254"/>
    </row>
    <row r="60" spans="1:19">
      <c r="A60" s="225"/>
      <c r="B60" s="225"/>
      <c r="C60" s="387"/>
      <c r="D60" s="226"/>
      <c r="E60" s="388"/>
      <c r="F60" s="226"/>
      <c r="K60" s="223"/>
      <c r="M60" s="192"/>
      <c r="N60"/>
      <c r="O60"/>
      <c r="Q60" s="254"/>
    </row>
    <row r="61" spans="1:19">
      <c r="A61" s="225"/>
      <c r="B61" s="225"/>
      <c r="C61" s="387"/>
      <c r="D61" s="226"/>
      <c r="E61" s="388"/>
      <c r="F61" s="226"/>
      <c r="K61" s="223"/>
      <c r="M61" s="192"/>
      <c r="N61"/>
      <c r="O61"/>
      <c r="Q61" s="254"/>
    </row>
    <row r="62" spans="1:19">
      <c r="N62"/>
      <c r="O62"/>
      <c r="Q62" s="254"/>
    </row>
    <row r="63" spans="1:19">
      <c r="A63" s="222" t="s">
        <v>438</v>
      </c>
      <c r="C63" s="222">
        <v>1523003</v>
      </c>
      <c r="D63" s="222">
        <v>1326261</v>
      </c>
      <c r="E63" s="222">
        <v>1178116</v>
      </c>
      <c r="F63" s="222">
        <v>607071</v>
      </c>
      <c r="G63" s="222">
        <v>313050</v>
      </c>
      <c r="H63" s="222">
        <v>300541</v>
      </c>
      <c r="I63" s="222">
        <v>304656</v>
      </c>
      <c r="J63" s="222">
        <v>391577</v>
      </c>
      <c r="K63" s="222">
        <v>365707</v>
      </c>
      <c r="L63" s="223">
        <v>237977</v>
      </c>
      <c r="M63" s="223">
        <v>128819</v>
      </c>
      <c r="N63"/>
      <c r="O63"/>
      <c r="Q63" s="254"/>
    </row>
    <row r="64" spans="1:19">
      <c r="A64" t="s">
        <v>439</v>
      </c>
      <c r="B64"/>
      <c r="C64">
        <v>1402135</v>
      </c>
      <c r="D64">
        <v>1125032</v>
      </c>
      <c r="E64">
        <v>1029395</v>
      </c>
      <c r="F64">
        <v>522198</v>
      </c>
      <c r="G64">
        <v>267499</v>
      </c>
      <c r="H64">
        <v>240982</v>
      </c>
      <c r="I64">
        <v>217244</v>
      </c>
      <c r="J64">
        <v>218437</v>
      </c>
      <c r="K64">
        <v>250163</v>
      </c>
      <c r="L64" s="223">
        <v>154402</v>
      </c>
      <c r="M64" s="223">
        <v>123387</v>
      </c>
      <c r="N64"/>
      <c r="O64"/>
      <c r="Q64" s="254"/>
    </row>
    <row r="65" spans="1:16">
      <c r="A65" t="s">
        <v>440</v>
      </c>
      <c r="B65"/>
      <c r="C65">
        <v>326219</v>
      </c>
      <c r="D65">
        <v>326254</v>
      </c>
      <c r="E65">
        <v>230401</v>
      </c>
      <c r="F65">
        <v>117676</v>
      </c>
      <c r="G65">
        <v>88888</v>
      </c>
      <c r="H65">
        <v>80452</v>
      </c>
      <c r="I65">
        <v>76642</v>
      </c>
      <c r="J65">
        <v>149423</v>
      </c>
      <c r="K65">
        <v>116499</v>
      </c>
      <c r="L65" s="223">
        <v>97196</v>
      </c>
      <c r="M65" s="223">
        <v>29965</v>
      </c>
      <c r="N65"/>
      <c r="O65"/>
    </row>
    <row r="66" spans="1:16">
      <c r="A66" t="s">
        <v>437</v>
      </c>
      <c r="B66"/>
      <c r="C66">
        <f>C63-C64-C65</f>
        <v>-205351</v>
      </c>
      <c r="D66">
        <f t="shared" ref="D66:M66" si="18">D63-D64-D65</f>
        <v>-125025</v>
      </c>
      <c r="E66">
        <f t="shared" si="18"/>
        <v>-81680</v>
      </c>
      <c r="F66">
        <f t="shared" si="18"/>
        <v>-32803</v>
      </c>
      <c r="G66">
        <f t="shared" si="18"/>
        <v>-43337</v>
      </c>
      <c r="H66">
        <f t="shared" si="18"/>
        <v>-20893</v>
      </c>
      <c r="I66">
        <f t="shared" si="18"/>
        <v>10770</v>
      </c>
      <c r="J66">
        <f t="shared" si="18"/>
        <v>23717</v>
      </c>
      <c r="K66">
        <f t="shared" si="18"/>
        <v>-955</v>
      </c>
      <c r="L66">
        <f t="shared" si="18"/>
        <v>-13621</v>
      </c>
      <c r="M66">
        <f t="shared" si="18"/>
        <v>-24533</v>
      </c>
      <c r="N66"/>
      <c r="O66"/>
    </row>
    <row r="67" spans="1:16">
      <c r="A67"/>
      <c r="B67"/>
      <c r="C67" s="16">
        <f t="shared" ref="C67:L67" si="19">-1*(C66-D66)</f>
        <v>80326</v>
      </c>
      <c r="D67" s="16">
        <f t="shared" si="19"/>
        <v>43345</v>
      </c>
      <c r="E67" s="16">
        <f t="shared" si="19"/>
        <v>48877</v>
      </c>
      <c r="F67" s="16">
        <f t="shared" si="19"/>
        <v>-10534</v>
      </c>
      <c r="G67" s="16">
        <f t="shared" si="19"/>
        <v>22444</v>
      </c>
      <c r="H67" s="16">
        <f t="shared" si="19"/>
        <v>31663</v>
      </c>
      <c r="I67" s="16">
        <f t="shared" si="19"/>
        <v>12947</v>
      </c>
      <c r="J67" s="16">
        <f t="shared" si="19"/>
        <v>-24672</v>
      </c>
      <c r="K67" s="16">
        <f t="shared" si="19"/>
        <v>-12666</v>
      </c>
      <c r="L67" s="16">
        <f t="shared" si="19"/>
        <v>-10912</v>
      </c>
      <c r="M67" s="16"/>
      <c r="N67"/>
      <c r="O67"/>
    </row>
    <row r="68" spans="1:16">
      <c r="A68">
        <v>2024</v>
      </c>
      <c r="B68"/>
      <c r="C68"/>
      <c r="D68"/>
      <c r="E68"/>
      <c r="F68"/>
      <c r="G68"/>
      <c r="H68"/>
      <c r="I68"/>
      <c r="J68"/>
      <c r="K68"/>
      <c r="N68"/>
      <c r="O68"/>
    </row>
    <row r="69" spans="1:16">
      <c r="A69" s="222" t="s">
        <v>438</v>
      </c>
      <c r="C69" s="16">
        <v>1703180</v>
      </c>
      <c r="D69"/>
      <c r="E69"/>
      <c r="F69"/>
      <c r="G69"/>
      <c r="H69"/>
      <c r="I69"/>
      <c r="J69"/>
      <c r="K69"/>
      <c r="N69"/>
      <c r="O69"/>
    </row>
    <row r="70" spans="1:16">
      <c r="A70" t="s">
        <v>439</v>
      </c>
      <c r="B70"/>
      <c r="C70" s="16">
        <v>1495984</v>
      </c>
      <c r="D70"/>
      <c r="E70"/>
      <c r="F70"/>
      <c r="G70"/>
      <c r="H70"/>
      <c r="I70"/>
      <c r="J70"/>
      <c r="K70"/>
      <c r="N70"/>
      <c r="O70"/>
    </row>
    <row r="71" spans="1:16">
      <c r="A71" t="s">
        <v>440</v>
      </c>
      <c r="B71"/>
      <c r="C71" s="16">
        <v>483220</v>
      </c>
      <c r="D71"/>
      <c r="E71"/>
      <c r="F71"/>
      <c r="G71"/>
      <c r="H71"/>
      <c r="I71"/>
      <c r="J71"/>
      <c r="K71"/>
      <c r="N71"/>
      <c r="O71"/>
    </row>
    <row r="72" spans="1:16">
      <c r="A72" t="s">
        <v>437</v>
      </c>
      <c r="B72"/>
      <c r="C72" s="16">
        <f>C69-C70-C71</f>
        <v>-276024</v>
      </c>
      <c r="D72"/>
      <c r="E72"/>
      <c r="F72"/>
      <c r="G72"/>
      <c r="H72"/>
      <c r="I72"/>
      <c r="J72"/>
      <c r="K72"/>
    </row>
    <row r="73" spans="1:16">
      <c r="A73"/>
      <c r="B73"/>
      <c r="C73" s="16">
        <f>-1*(C72-C66)</f>
        <v>70673</v>
      </c>
      <c r="D73"/>
      <c r="E73"/>
      <c r="F73"/>
      <c r="G73"/>
      <c r="H73"/>
      <c r="I73"/>
      <c r="J73"/>
      <c r="K73"/>
    </row>
    <row r="74" spans="1:16">
      <c r="C74" s="222">
        <f>C73/1000</f>
        <v>70.673000000000002</v>
      </c>
    </row>
    <row r="76" spans="1:16">
      <c r="C76" s="222">
        <v>2024</v>
      </c>
      <c r="D76" s="222">
        <v>2023</v>
      </c>
      <c r="E76" s="222">
        <v>2022</v>
      </c>
      <c r="F76" s="222">
        <v>2021</v>
      </c>
      <c r="G76" s="222">
        <v>2020</v>
      </c>
      <c r="H76" s="222">
        <v>2019</v>
      </c>
      <c r="I76" s="222">
        <v>2018</v>
      </c>
      <c r="J76" s="222">
        <v>2017</v>
      </c>
      <c r="K76" s="222">
        <v>2016</v>
      </c>
      <c r="L76" s="222">
        <v>2015</v>
      </c>
      <c r="M76" s="222">
        <v>2014</v>
      </c>
      <c r="O76" s="222" t="s">
        <v>497</v>
      </c>
      <c r="P76" s="377">
        <f>AVERAGE(C79:L79)</f>
        <v>0.2291679870183346</v>
      </c>
    </row>
    <row r="77" spans="1:16">
      <c r="A77" s="222" t="s">
        <v>495</v>
      </c>
      <c r="C77" s="222">
        <f>C74</f>
        <v>70.673000000000002</v>
      </c>
      <c r="D77" s="500">
        <f t="shared" ref="D77:M77" si="20">C12</f>
        <v>80.325999999999993</v>
      </c>
      <c r="E77" s="500">
        <f t="shared" si="20"/>
        <v>43.344999999999999</v>
      </c>
      <c r="F77" s="500">
        <f t="shared" si="20"/>
        <v>48.877000000000002</v>
      </c>
      <c r="G77" s="500">
        <f t="shared" si="20"/>
        <v>-10.534000000000001</v>
      </c>
      <c r="H77" s="500">
        <f t="shared" si="20"/>
        <v>22.443999999999999</v>
      </c>
      <c r="I77" s="500">
        <f t="shared" si="20"/>
        <v>31.663</v>
      </c>
      <c r="J77" s="500">
        <f t="shared" si="20"/>
        <v>12.946999999999999</v>
      </c>
      <c r="K77" s="500">
        <f t="shared" si="20"/>
        <v>-24.672000000000001</v>
      </c>
      <c r="L77" s="500">
        <f t="shared" si="20"/>
        <v>-12.666</v>
      </c>
      <c r="M77" s="500">
        <f t="shared" si="20"/>
        <v>-10.912000000000001</v>
      </c>
      <c r="N77" s="500"/>
      <c r="O77" s="222" t="s">
        <v>498</v>
      </c>
      <c r="P77" s="377">
        <f>AVERAGE(C79:G79)</f>
        <v>0.72938304131063902</v>
      </c>
    </row>
    <row r="78" spans="1:16">
      <c r="A78" s="222" t="s">
        <v>496</v>
      </c>
      <c r="C78" s="222">
        <v>672.99420000000009</v>
      </c>
      <c r="D78" s="227">
        <f t="shared" ref="D78:M78" si="21">C6</f>
        <v>619.70000000000005</v>
      </c>
      <c r="E78" s="227">
        <f t="shared" si="21"/>
        <v>577.1</v>
      </c>
      <c r="F78" s="227">
        <f t="shared" si="21"/>
        <v>468.4</v>
      </c>
      <c r="G78" s="227">
        <f t="shared" si="21"/>
        <v>221.6</v>
      </c>
      <c r="H78" s="227">
        <f t="shared" si="21"/>
        <v>156.4</v>
      </c>
      <c r="I78" s="227">
        <f t="shared" si="21"/>
        <v>124.6</v>
      </c>
      <c r="J78" s="227">
        <f t="shared" si="21"/>
        <v>155.5</v>
      </c>
      <c r="K78" s="227">
        <f t="shared" si="21"/>
        <v>278.2</v>
      </c>
      <c r="L78" s="227">
        <f t="shared" si="21"/>
        <v>248.4</v>
      </c>
      <c r="M78" s="227">
        <f t="shared" si="21"/>
        <v>125.3</v>
      </c>
      <c r="N78" s="227"/>
      <c r="O78" s="222" t="s">
        <v>499</v>
      </c>
      <c r="P78" s="377">
        <f>AVERAGE(C79:E79)</f>
        <v>1.2034788913247405</v>
      </c>
    </row>
    <row r="79" spans="1:16">
      <c r="A79" s="222" t="s">
        <v>500</v>
      </c>
      <c r="C79" s="501">
        <f t="shared" ref="C79:L79" si="22">C77/(C78-D78)</f>
        <v>1.3260917698361161</v>
      </c>
      <c r="D79" s="501">
        <f t="shared" si="22"/>
        <v>1.8855868544600927</v>
      </c>
      <c r="E79" s="501">
        <f t="shared" si="22"/>
        <v>0.3987580496780127</v>
      </c>
      <c r="F79" s="501">
        <f t="shared" si="22"/>
        <v>0.19804294975688819</v>
      </c>
      <c r="G79" s="501">
        <f t="shared" si="22"/>
        <v>-0.16156441717791414</v>
      </c>
      <c r="H79" s="501">
        <f t="shared" si="22"/>
        <v>0.70578616352201229</v>
      </c>
      <c r="I79" s="501">
        <f t="shared" si="22"/>
        <v>-1.0246925566343039</v>
      </c>
      <c r="J79" s="501">
        <f t="shared" si="22"/>
        <v>-0.10551752241238795</v>
      </c>
      <c r="K79" s="501">
        <f t="shared" si="22"/>
        <v>-0.82791946308724884</v>
      </c>
      <c r="L79" s="501">
        <f t="shared" si="22"/>
        <v>-0.10289195775792039</v>
      </c>
      <c r="M79" s="222"/>
      <c r="P79" s="377"/>
    </row>
    <row r="83" spans="1:4">
      <c r="B83" s="222">
        <v>2024</v>
      </c>
      <c r="C83" s="222">
        <v>2023</v>
      </c>
    </row>
    <row r="84" spans="1:4">
      <c r="A84" s="222" t="s">
        <v>514</v>
      </c>
      <c r="B84" s="222">
        <v>1703.18</v>
      </c>
      <c r="C84" s="222">
        <v>1523.0029999999999</v>
      </c>
    </row>
    <row r="85" spans="1:4">
      <c r="A85" s="222" t="s">
        <v>515</v>
      </c>
      <c r="B85" s="222">
        <v>483.22</v>
      </c>
      <c r="C85" s="222">
        <v>326.21899999999999</v>
      </c>
    </row>
    <row r="86" spans="1:4">
      <c r="A86" s="222" t="s">
        <v>516</v>
      </c>
      <c r="B86" s="222">
        <v>1495.9839999999999</v>
      </c>
      <c r="C86" s="222">
        <v>1402.135</v>
      </c>
      <c r="D86" s="222">
        <f>C84-C86</f>
        <v>120.86799999999994</v>
      </c>
    </row>
    <row r="87" spans="1:4">
      <c r="A87" s="222" t="s">
        <v>517</v>
      </c>
      <c r="B87" s="222">
        <f>B84-B85-B86</f>
        <v>-276.02399999999989</v>
      </c>
      <c r="C87" s="222">
        <f>C84-C85-C86</f>
        <v>-205.35100000000011</v>
      </c>
    </row>
    <row r="88" spans="1:4">
      <c r="A88" s="222" t="s">
        <v>518</v>
      </c>
      <c r="B88" s="222">
        <f>B87-C87</f>
        <v>-70.672999999999774</v>
      </c>
    </row>
  </sheetData>
  <mergeCells count="1">
    <mergeCell ref="D2:M2"/>
  </mergeCells>
  <phoneticPr fontId="84" type="noConversion"/>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B63"/>
  <sheetViews>
    <sheetView zoomScale="70" zoomScaleNormal="70" workbookViewId="0">
      <pane xSplit="1" ySplit="2" topLeftCell="B3" activePane="bottomRight" state="frozen"/>
      <selection pane="topRight" activeCell="B1" sqref="B1"/>
      <selection pane="bottomLeft" activeCell="A3" sqref="A3"/>
      <selection pane="bottomRight" activeCell="T33" sqref="T33"/>
    </sheetView>
  </sheetViews>
  <sheetFormatPr defaultColWidth="8.7265625" defaultRowHeight="12.5"/>
  <cols>
    <col min="1" max="2" width="13.7265625" customWidth="1"/>
    <col min="3" max="3" width="8.7265625" customWidth="1"/>
    <col min="4" max="4" width="8.26953125" customWidth="1"/>
    <col min="5" max="5" width="8.453125" customWidth="1"/>
    <col min="6" max="12" width="7.26953125" customWidth="1"/>
  </cols>
  <sheetData>
    <row r="2" spans="1:54">
      <c r="B2" s="102" t="s">
        <v>409</v>
      </c>
      <c r="C2" s="102" t="s">
        <v>408</v>
      </c>
      <c r="D2" s="102" t="s">
        <v>407</v>
      </c>
      <c r="E2" s="102" t="s">
        <v>405</v>
      </c>
      <c r="F2" s="102" t="s">
        <v>404</v>
      </c>
      <c r="G2" t="s">
        <v>403</v>
      </c>
      <c r="H2" t="s">
        <v>402</v>
      </c>
      <c r="I2" t="s">
        <v>398</v>
      </c>
      <c r="J2" t="s">
        <v>399</v>
      </c>
      <c r="K2" t="s">
        <v>400</v>
      </c>
      <c r="L2" t="s">
        <v>401</v>
      </c>
      <c r="M2" t="s">
        <v>379</v>
      </c>
      <c r="N2" t="s">
        <v>380</v>
      </c>
      <c r="O2" t="s">
        <v>381</v>
      </c>
      <c r="P2" t="s">
        <v>382</v>
      </c>
      <c r="Q2" t="s">
        <v>375</v>
      </c>
      <c r="R2" t="s">
        <v>376</v>
      </c>
      <c r="S2" t="s">
        <v>377</v>
      </c>
      <c r="T2" t="s">
        <v>378</v>
      </c>
      <c r="U2" t="s">
        <v>374</v>
      </c>
      <c r="V2" t="s">
        <v>373</v>
      </c>
      <c r="W2" t="s">
        <v>372</v>
      </c>
      <c r="X2" s="102" t="s">
        <v>410</v>
      </c>
      <c r="Y2" s="102"/>
      <c r="Z2" s="102">
        <v>2019</v>
      </c>
      <c r="AA2" s="102">
        <v>2020</v>
      </c>
      <c r="AB2" s="102">
        <v>2021</v>
      </c>
      <c r="AC2">
        <v>2022</v>
      </c>
      <c r="AD2">
        <v>2023</v>
      </c>
      <c r="AE2">
        <v>2024</v>
      </c>
      <c r="AF2">
        <v>2025</v>
      </c>
      <c r="AG2">
        <v>2026</v>
      </c>
      <c r="AH2">
        <v>2027</v>
      </c>
      <c r="AI2">
        <v>2028</v>
      </c>
      <c r="AJ2">
        <v>2029</v>
      </c>
      <c r="AK2">
        <v>2030</v>
      </c>
      <c r="AL2">
        <v>2031</v>
      </c>
      <c r="AM2">
        <v>2032</v>
      </c>
      <c r="AN2">
        <v>2033</v>
      </c>
      <c r="AO2">
        <v>2034</v>
      </c>
      <c r="AP2">
        <v>2035</v>
      </c>
      <c r="AQ2">
        <v>2036</v>
      </c>
      <c r="AR2">
        <v>2037</v>
      </c>
      <c r="AS2">
        <v>2038</v>
      </c>
      <c r="AT2">
        <v>2039</v>
      </c>
      <c r="AU2">
        <v>2040</v>
      </c>
      <c r="AV2">
        <v>2041</v>
      </c>
      <c r="AW2">
        <v>2042</v>
      </c>
      <c r="AX2">
        <v>2043</v>
      </c>
      <c r="AY2">
        <v>2044</v>
      </c>
      <c r="AZ2">
        <v>2045</v>
      </c>
      <c r="BA2">
        <v>2046</v>
      </c>
      <c r="BB2">
        <v>2047</v>
      </c>
    </row>
    <row r="3" spans="1:54">
      <c r="A3" s="102" t="s">
        <v>406</v>
      </c>
      <c r="B3" s="102"/>
      <c r="C3" s="102"/>
      <c r="D3" s="102"/>
      <c r="E3" s="102"/>
      <c r="F3" s="102"/>
    </row>
    <row r="4" spans="1:54">
      <c r="A4" s="102" t="s">
        <v>411</v>
      </c>
      <c r="B4" s="102"/>
      <c r="C4" s="102"/>
      <c r="D4" s="102"/>
      <c r="E4" s="102"/>
      <c r="F4" s="102"/>
    </row>
    <row r="5" spans="1:54">
      <c r="A5" s="102" t="s">
        <v>412</v>
      </c>
      <c r="B5" s="102"/>
      <c r="C5" s="102"/>
      <c r="D5" s="102"/>
      <c r="E5" s="102"/>
      <c r="F5" s="102"/>
      <c r="AE5" s="249">
        <v>4.4999999999999998E-2</v>
      </c>
      <c r="AF5" s="249">
        <f>0.987*AE5</f>
        <v>4.4414999999999996E-2</v>
      </c>
      <c r="AG5" s="249">
        <f t="shared" ref="AG5:BB5" si="0">0.987*AF5</f>
        <v>4.3837604999999995E-2</v>
      </c>
      <c r="AH5" s="249">
        <f t="shared" si="0"/>
        <v>4.3267716134999995E-2</v>
      </c>
      <c r="AI5" s="249">
        <f t="shared" si="0"/>
        <v>4.2705235825244992E-2</v>
      </c>
      <c r="AJ5" s="249">
        <f t="shared" si="0"/>
        <v>4.2150067759516803E-2</v>
      </c>
      <c r="AK5" s="249">
        <f t="shared" si="0"/>
        <v>4.1602116878643083E-2</v>
      </c>
      <c r="AL5" s="249">
        <f t="shared" si="0"/>
        <v>4.1061289359220723E-2</v>
      </c>
      <c r="AM5" s="249">
        <f t="shared" si="0"/>
        <v>4.0527492597550854E-2</v>
      </c>
      <c r="AN5" s="249">
        <f t="shared" si="0"/>
        <v>4.0000635193782691E-2</v>
      </c>
      <c r="AO5" s="249">
        <f t="shared" si="0"/>
        <v>3.9480626936263516E-2</v>
      </c>
      <c r="AP5" s="249">
        <f t="shared" si="0"/>
        <v>3.8967378786092091E-2</v>
      </c>
      <c r="AQ5" s="249">
        <f t="shared" si="0"/>
        <v>3.8460802861872895E-2</v>
      </c>
      <c r="AR5" s="249">
        <f t="shared" si="0"/>
        <v>3.7960812424668547E-2</v>
      </c>
      <c r="AS5" s="249">
        <f t="shared" si="0"/>
        <v>3.7467321863147857E-2</v>
      </c>
      <c r="AT5" s="249">
        <f t="shared" si="0"/>
        <v>3.6980246678926937E-2</v>
      </c>
      <c r="AU5" s="249">
        <f t="shared" si="0"/>
        <v>3.6499503472100889E-2</v>
      </c>
      <c r="AV5" s="249">
        <f t="shared" si="0"/>
        <v>3.6025009926963579E-2</v>
      </c>
      <c r="AW5" s="249">
        <f t="shared" si="0"/>
        <v>3.5556684797913053E-2</v>
      </c>
      <c r="AX5" s="249">
        <f t="shared" si="0"/>
        <v>3.5094447895540185E-2</v>
      </c>
      <c r="AY5" s="249">
        <f t="shared" si="0"/>
        <v>3.4638220072898164E-2</v>
      </c>
      <c r="AZ5" s="249">
        <f t="shared" si="0"/>
        <v>3.4187923211950487E-2</v>
      </c>
      <c r="BA5" s="249">
        <f t="shared" si="0"/>
        <v>3.3743480210195131E-2</v>
      </c>
      <c r="BB5" s="249">
        <f t="shared" si="0"/>
        <v>3.3304814967462591E-2</v>
      </c>
    </row>
    <row r="6" spans="1:54">
      <c r="A6" s="102" t="s">
        <v>413</v>
      </c>
      <c r="B6" s="102"/>
      <c r="C6" s="102"/>
      <c r="D6" s="102"/>
      <c r="E6" s="102"/>
      <c r="F6" s="102"/>
      <c r="AE6" s="120">
        <v>0.09</v>
      </c>
      <c r="AF6">
        <f>AE6*0.975</f>
        <v>8.7749999999999995E-2</v>
      </c>
      <c r="AG6">
        <f t="shared" ref="AG6:BB6" si="1">AF6*0.975</f>
        <v>8.5556249999999986E-2</v>
      </c>
      <c r="AH6">
        <f t="shared" si="1"/>
        <v>8.3417343749999984E-2</v>
      </c>
      <c r="AI6">
        <f t="shared" si="1"/>
        <v>8.1331910156249979E-2</v>
      </c>
      <c r="AJ6">
        <f t="shared" si="1"/>
        <v>7.9298612402343732E-2</v>
      </c>
      <c r="AK6">
        <f t="shared" si="1"/>
        <v>7.731614709228514E-2</v>
      </c>
      <c r="AL6">
        <f t="shared" si="1"/>
        <v>7.5383243414978013E-2</v>
      </c>
      <c r="AM6">
        <f t="shared" si="1"/>
        <v>7.3498662329603559E-2</v>
      </c>
      <c r="AN6">
        <f t="shared" si="1"/>
        <v>7.166119577136347E-2</v>
      </c>
      <c r="AO6">
        <f t="shared" si="1"/>
        <v>6.9869665877079379E-2</v>
      </c>
      <c r="AP6">
        <f t="shared" si="1"/>
        <v>6.8122924230152399E-2</v>
      </c>
      <c r="AQ6">
        <f t="shared" si="1"/>
        <v>6.6419851124398591E-2</v>
      </c>
      <c r="AR6">
        <f t="shared" si="1"/>
        <v>6.4759354846288628E-2</v>
      </c>
      <c r="AS6">
        <f t="shared" si="1"/>
        <v>6.3140370975131407E-2</v>
      </c>
      <c r="AT6">
        <f>AS6*0.975</f>
        <v>6.1561861700753118E-2</v>
      </c>
      <c r="AU6">
        <f t="shared" si="1"/>
        <v>6.0022815158234287E-2</v>
      </c>
      <c r="AV6">
        <f t="shared" si="1"/>
        <v>5.8522244779278428E-2</v>
      </c>
      <c r="AW6">
        <f t="shared" si="1"/>
        <v>5.7059188659796464E-2</v>
      </c>
      <c r="AX6">
        <f t="shared" si="1"/>
        <v>5.5632708943301551E-2</v>
      </c>
      <c r="AY6">
        <f t="shared" si="1"/>
        <v>5.4241891219719014E-2</v>
      </c>
      <c r="AZ6">
        <f t="shared" si="1"/>
        <v>5.2885843939226039E-2</v>
      </c>
      <c r="BA6">
        <f t="shared" si="1"/>
        <v>5.1563697840745389E-2</v>
      </c>
      <c r="BB6">
        <f t="shared" si="1"/>
        <v>5.0274605394726751E-2</v>
      </c>
    </row>
    <row r="7" spans="1:54">
      <c r="A7" s="102"/>
      <c r="B7" s="102"/>
      <c r="C7" s="102"/>
      <c r="D7" s="102"/>
      <c r="E7" s="102"/>
      <c r="F7" s="102"/>
      <c r="AE7" s="120"/>
    </row>
    <row r="8" spans="1:54">
      <c r="A8" s="102" t="s">
        <v>386</v>
      </c>
      <c r="B8" s="102"/>
      <c r="C8" s="102"/>
      <c r="D8" s="102"/>
      <c r="E8" s="102"/>
      <c r="F8" s="102"/>
      <c r="AE8" s="120"/>
    </row>
    <row r="9" spans="1:54">
      <c r="A9" s="102" t="s">
        <v>412</v>
      </c>
      <c r="B9" s="102"/>
      <c r="C9" s="102"/>
      <c r="D9" s="102"/>
      <c r="E9" s="102"/>
      <c r="F9" s="102"/>
      <c r="Z9">
        <f t="shared" ref="Z9:AD10" si="2">Z30/Z26</f>
        <v>0.67792204148997348</v>
      </c>
      <c r="AA9">
        <f t="shared" si="2"/>
        <v>0.68533660706600774</v>
      </c>
      <c r="AB9">
        <f t="shared" si="2"/>
        <v>0.64650696723516432</v>
      </c>
      <c r="AC9">
        <f t="shared" si="2"/>
        <v>0.63716520292600543</v>
      </c>
      <c r="AD9">
        <f t="shared" si="2"/>
        <v>0.63586480102249077</v>
      </c>
      <c r="AE9">
        <f>AD9*1.001</f>
        <v>0.63650066582351317</v>
      </c>
      <c r="AF9">
        <f t="shared" ref="AF9:BB9" si="3">AE9*1.001</f>
        <v>0.6371371664893366</v>
      </c>
      <c r="AG9">
        <f t="shared" si="3"/>
        <v>0.63777430365582588</v>
      </c>
      <c r="AH9">
        <f t="shared" si="3"/>
        <v>0.63841207795948163</v>
      </c>
      <c r="AI9">
        <f t="shared" si="3"/>
        <v>0.63905049003744108</v>
      </c>
      <c r="AJ9">
        <f t="shared" si="3"/>
        <v>0.6396895405274784</v>
      </c>
      <c r="AK9">
        <f t="shared" si="3"/>
        <v>0.64032923006800579</v>
      </c>
      <c r="AL9">
        <f t="shared" si="3"/>
        <v>0.64096955929807375</v>
      </c>
      <c r="AM9">
        <f t="shared" si="3"/>
        <v>0.6416105288573718</v>
      </c>
      <c r="AN9">
        <f t="shared" si="3"/>
        <v>0.64225213938622905</v>
      </c>
      <c r="AO9">
        <f t="shared" si="3"/>
        <v>0.64289439152561523</v>
      </c>
      <c r="AP9">
        <f t="shared" si="3"/>
        <v>0.64353728591714077</v>
      </c>
      <c r="AQ9">
        <f t="shared" si="3"/>
        <v>0.64418082320305781</v>
      </c>
      <c r="AR9">
        <f t="shared" si="3"/>
        <v>0.64482500402626075</v>
      </c>
      <c r="AS9">
        <f t="shared" si="3"/>
        <v>0.64546982903028693</v>
      </c>
      <c r="AT9">
        <f t="shared" si="3"/>
        <v>0.64611529885931718</v>
      </c>
      <c r="AU9">
        <f t="shared" si="3"/>
        <v>0.64676141415817645</v>
      </c>
      <c r="AV9">
        <f t="shared" si="3"/>
        <v>0.64740817557233454</v>
      </c>
      <c r="AW9">
        <f t="shared" si="3"/>
        <v>0.64805558374790684</v>
      </c>
      <c r="AX9">
        <f t="shared" si="3"/>
        <v>0.64870363933165465</v>
      </c>
      <c r="AY9">
        <f t="shared" si="3"/>
        <v>0.64935234297098621</v>
      </c>
      <c r="AZ9">
        <f t="shared" si="3"/>
        <v>0.65000169531395713</v>
      </c>
      <c r="BA9">
        <f t="shared" si="3"/>
        <v>0.65065169700927106</v>
      </c>
      <c r="BB9">
        <f t="shared" si="3"/>
        <v>0.65130234870628023</v>
      </c>
    </row>
    <row r="10" spans="1:54">
      <c r="A10" s="102" t="s">
        <v>413</v>
      </c>
      <c r="B10" s="102"/>
      <c r="C10" s="102"/>
      <c r="D10" s="102"/>
      <c r="E10" s="102"/>
      <c r="F10" s="102"/>
      <c r="Z10">
        <f t="shared" si="2"/>
        <v>0.36261908362316647</v>
      </c>
      <c r="AA10">
        <f t="shared" si="2"/>
        <v>0.33984898080642761</v>
      </c>
      <c r="AB10">
        <f t="shared" si="2"/>
        <v>0.30274022652539279</v>
      </c>
      <c r="AC10">
        <f t="shared" si="2"/>
        <v>0.28254553366867619</v>
      </c>
      <c r="AD10">
        <f t="shared" si="2"/>
        <v>0.29105248779560761</v>
      </c>
      <c r="AE10">
        <f>AD10*1.001</f>
        <v>0.2913435402834032</v>
      </c>
      <c r="AF10">
        <f t="shared" ref="AF10:BB10" si="4">AE10*1.001</f>
        <v>0.29163488382368657</v>
      </c>
      <c r="AG10">
        <f t="shared" si="4"/>
        <v>0.29192651870751024</v>
      </c>
      <c r="AH10">
        <f t="shared" si="4"/>
        <v>0.2922184452262177</v>
      </c>
      <c r="AI10">
        <f t="shared" si="4"/>
        <v>0.2925106636714439</v>
      </c>
      <c r="AJ10">
        <f t="shared" si="4"/>
        <v>0.29280317433511532</v>
      </c>
      <c r="AK10">
        <f t="shared" si="4"/>
        <v>0.29309597750945043</v>
      </c>
      <c r="AL10">
        <f t="shared" si="4"/>
        <v>0.29338907348695986</v>
      </c>
      <c r="AM10">
        <f t="shared" si="4"/>
        <v>0.29368246256044678</v>
      </c>
      <c r="AN10">
        <f t="shared" si="4"/>
        <v>0.29397614502300717</v>
      </c>
      <c r="AO10">
        <f t="shared" si="4"/>
        <v>0.29427012116803014</v>
      </c>
      <c r="AP10">
        <f t="shared" si="4"/>
        <v>0.29456439128919815</v>
      </c>
      <c r="AQ10">
        <f t="shared" si="4"/>
        <v>0.29485895568048731</v>
      </c>
      <c r="AR10">
        <f t="shared" si="4"/>
        <v>0.29515381463616774</v>
      </c>
      <c r="AS10">
        <f t="shared" si="4"/>
        <v>0.29544896845080387</v>
      </c>
      <c r="AT10">
        <f t="shared" si="4"/>
        <v>0.29574441741925467</v>
      </c>
      <c r="AU10">
        <f t="shared" si="4"/>
        <v>0.29604016183667387</v>
      </c>
      <c r="AV10">
        <f t="shared" si="4"/>
        <v>0.29633620199851052</v>
      </c>
      <c r="AW10">
        <f t="shared" si="4"/>
        <v>0.296632538200509</v>
      </c>
      <c r="AX10">
        <f t="shared" si="4"/>
        <v>0.2969291707387095</v>
      </c>
      <c r="AY10">
        <f t="shared" si="4"/>
        <v>0.2972260999094482</v>
      </c>
      <c r="AZ10">
        <f t="shared" si="4"/>
        <v>0.2975233260093576</v>
      </c>
      <c r="BA10">
        <f t="shared" si="4"/>
        <v>0.29782084933536696</v>
      </c>
      <c r="BB10">
        <f t="shared" si="4"/>
        <v>0.29811867018470228</v>
      </c>
    </row>
    <row r="11" spans="1:54">
      <c r="A11" s="102"/>
      <c r="B11" s="102"/>
      <c r="C11" s="102"/>
      <c r="D11" s="102"/>
      <c r="E11" s="102"/>
      <c r="F11" s="102"/>
    </row>
    <row r="12" spans="1:54">
      <c r="A12" s="102" t="s">
        <v>387</v>
      </c>
      <c r="B12" s="102"/>
      <c r="C12" s="102"/>
      <c r="D12" s="102"/>
      <c r="E12" s="102"/>
      <c r="F12" s="102"/>
      <c r="Z12">
        <f>Z33/Z25</f>
        <v>6.233136285716482E-2</v>
      </c>
      <c r="AA12">
        <f t="shared" ref="AA12:AD12" si="5">AA33/AA25</f>
        <v>6.8309564140393061E-2</v>
      </c>
      <c r="AB12">
        <f t="shared" si="5"/>
        <v>5.9904269074427925E-2</v>
      </c>
      <c r="AC12">
        <f t="shared" si="5"/>
        <v>6.657148363798665E-2</v>
      </c>
      <c r="AD12">
        <f t="shared" si="5"/>
        <v>7.8317483273248417E-2</v>
      </c>
      <c r="AE12" s="102">
        <f>1.01*AD12</f>
        <v>7.9100658105980909E-2</v>
      </c>
      <c r="AF12" s="102">
        <f t="shared" ref="AF12:BB12" si="6">1.01*AE12</f>
        <v>7.9891664687040717E-2</v>
      </c>
      <c r="AG12" s="102">
        <f t="shared" si="6"/>
        <v>8.0690581333911118E-2</v>
      </c>
      <c r="AH12" s="102">
        <f t="shared" si="6"/>
        <v>8.1497487147250233E-2</v>
      </c>
      <c r="AI12" s="102">
        <f t="shared" si="6"/>
        <v>8.2312462018722735E-2</v>
      </c>
      <c r="AJ12" s="102">
        <f t="shared" si="6"/>
        <v>8.3135586638909964E-2</v>
      </c>
      <c r="AK12" s="102">
        <f t="shared" si="6"/>
        <v>8.3966942505299069E-2</v>
      </c>
      <c r="AL12" s="102">
        <f t="shared" si="6"/>
        <v>8.4806611930352063E-2</v>
      </c>
      <c r="AM12" s="102">
        <f t="shared" si="6"/>
        <v>8.5654678049655583E-2</v>
      </c>
      <c r="AN12" s="102">
        <f t="shared" si="6"/>
        <v>8.6511224830152139E-2</v>
      </c>
      <c r="AO12" s="102">
        <f t="shared" si="6"/>
        <v>8.7376337078453659E-2</v>
      </c>
      <c r="AP12" s="102">
        <f t="shared" si="6"/>
        <v>8.82501004492382E-2</v>
      </c>
      <c r="AQ12" s="102">
        <f t="shared" si="6"/>
        <v>8.9132601453730587E-2</v>
      </c>
      <c r="AR12" s="102">
        <f t="shared" si="6"/>
        <v>9.0023927468267886E-2</v>
      </c>
      <c r="AS12" s="102">
        <f t="shared" si="6"/>
        <v>9.0924166742950563E-2</v>
      </c>
      <c r="AT12" s="102">
        <f t="shared" si="6"/>
        <v>9.1833408410380069E-2</v>
      </c>
      <c r="AU12" s="102">
        <f t="shared" si="6"/>
        <v>9.2751742494483869E-2</v>
      </c>
      <c r="AV12" s="102">
        <f t="shared" si="6"/>
        <v>9.3679259919428715E-2</v>
      </c>
      <c r="AW12" s="102">
        <f t="shared" si="6"/>
        <v>9.4616052518622998E-2</v>
      </c>
      <c r="AX12" s="102">
        <f t="shared" si="6"/>
        <v>9.5562213043809227E-2</v>
      </c>
      <c r="AY12" s="102">
        <f t="shared" si="6"/>
        <v>9.6517835174247321E-2</v>
      </c>
      <c r="AZ12" s="102">
        <f t="shared" si="6"/>
        <v>9.7483013525989801E-2</v>
      </c>
      <c r="BA12" s="102">
        <f t="shared" si="6"/>
        <v>9.8457843661249697E-2</v>
      </c>
      <c r="BB12" s="102">
        <f t="shared" si="6"/>
        <v>9.9442422097862193E-2</v>
      </c>
    </row>
    <row r="13" spans="1:54">
      <c r="A13" s="102" t="s">
        <v>388</v>
      </c>
      <c r="B13" s="102"/>
      <c r="C13" s="102"/>
      <c r="D13" s="102"/>
      <c r="E13" s="102"/>
      <c r="F13" s="102"/>
      <c r="Z13">
        <f>Z34/Z25</f>
        <v>7.0126146348213125E-2</v>
      </c>
      <c r="AA13">
        <f t="shared" ref="AA13:AD13" si="7">AA34/AA25</f>
        <v>7.2549769593646979E-2</v>
      </c>
      <c r="AB13">
        <f t="shared" si="7"/>
        <v>6.006555190163388E-2</v>
      </c>
      <c r="AC13">
        <f t="shared" si="7"/>
        <v>6.3637378020328261E-2</v>
      </c>
      <c r="AD13">
        <f t="shared" si="7"/>
        <v>6.5265004477000232E-2</v>
      </c>
      <c r="AE13">
        <f>AD13*1.001</f>
        <v>6.5330269481477229E-2</v>
      </c>
      <c r="AF13">
        <f t="shared" ref="AF13:BB13" si="8">AE13*1.001</f>
        <v>6.5395599750958697E-2</v>
      </c>
      <c r="AG13">
        <f t="shared" si="8"/>
        <v>6.546099535070965E-2</v>
      </c>
      <c r="AH13">
        <f t="shared" si="8"/>
        <v>6.5526456346060358E-2</v>
      </c>
      <c r="AI13">
        <f t="shared" si="8"/>
        <v>6.5591982802406412E-2</v>
      </c>
      <c r="AJ13">
        <f t="shared" si="8"/>
        <v>6.5657574785208811E-2</v>
      </c>
      <c r="AK13">
        <f t="shared" si="8"/>
        <v>6.5723232359994013E-2</v>
      </c>
      <c r="AL13">
        <f t="shared" si="8"/>
        <v>6.5788955592353995E-2</v>
      </c>
      <c r="AM13">
        <f t="shared" si="8"/>
        <v>6.5854744547946348E-2</v>
      </c>
      <c r="AN13">
        <f t="shared" si="8"/>
        <v>6.5920599292494289E-2</v>
      </c>
      <c r="AO13">
        <f t="shared" si="8"/>
        <v>6.5986519891786777E-2</v>
      </c>
      <c r="AP13">
        <f t="shared" si="8"/>
        <v>6.6052506411678563E-2</v>
      </c>
      <c r="AQ13">
        <f t="shared" si="8"/>
        <v>6.6118558918090237E-2</v>
      </c>
      <c r="AR13">
        <f t="shared" si="8"/>
        <v>6.6184677477008319E-2</v>
      </c>
      <c r="AS13">
        <f t="shared" si="8"/>
        <v>6.6250862154485321E-2</v>
      </c>
      <c r="AT13">
        <f t="shared" si="8"/>
        <v>6.6317113016639798E-2</v>
      </c>
      <c r="AU13">
        <f t="shared" si="8"/>
        <v>6.6383430129656432E-2</v>
      </c>
      <c r="AV13">
        <f t="shared" si="8"/>
        <v>6.6449813559786075E-2</v>
      </c>
      <c r="AW13">
        <f t="shared" si="8"/>
        <v>6.651626337334586E-2</v>
      </c>
      <c r="AX13">
        <f t="shared" si="8"/>
        <v>6.65827796367192E-2</v>
      </c>
      <c r="AY13">
        <f t="shared" si="8"/>
        <v>6.6649362416355912E-2</v>
      </c>
      <c r="AZ13">
        <f t="shared" si="8"/>
        <v>6.6716011778772261E-2</v>
      </c>
      <c r="BA13">
        <f t="shared" si="8"/>
        <v>6.6782727790551027E-2</v>
      </c>
      <c r="BB13">
        <f t="shared" si="8"/>
        <v>6.6849510518341565E-2</v>
      </c>
    </row>
    <row r="14" spans="1:54">
      <c r="A14" s="102"/>
      <c r="B14" s="102"/>
      <c r="C14" s="102"/>
      <c r="D14" s="102"/>
      <c r="E14" s="102"/>
      <c r="F14" s="102"/>
    </row>
    <row r="15" spans="1:54">
      <c r="A15" s="102" t="s">
        <v>414</v>
      </c>
      <c r="B15" s="102"/>
      <c r="C15" s="102"/>
      <c r="D15" s="102"/>
      <c r="E15" s="102"/>
      <c r="F15" s="102"/>
    </row>
    <row r="16" spans="1:54">
      <c r="A16" s="102"/>
      <c r="B16" s="102"/>
      <c r="C16" s="102"/>
      <c r="D16" s="102"/>
      <c r="E16" s="102"/>
      <c r="F16" s="102"/>
    </row>
    <row r="17" spans="1:54">
      <c r="A17" s="102" t="s">
        <v>329</v>
      </c>
      <c r="B17" s="102"/>
      <c r="C17" s="102"/>
      <c r="D17" s="102"/>
      <c r="E17" s="102"/>
      <c r="F17" s="102"/>
      <c r="Z17">
        <f>Z41/Z40</f>
        <v>0.15943836804235059</v>
      </c>
      <c r="AA17">
        <f t="shared" ref="AA17:AC17" si="9">AA41/AA40</f>
        <v>0.14428164731484103</v>
      </c>
      <c r="AB17">
        <f t="shared" si="9"/>
        <v>0.13302260844085087</v>
      </c>
      <c r="AC17">
        <f t="shared" si="9"/>
        <v>0.16204461684424407</v>
      </c>
      <c r="AE17" s="120"/>
    </row>
    <row r="18" spans="1:54">
      <c r="A18" s="102"/>
      <c r="B18" s="102"/>
      <c r="C18" s="102"/>
      <c r="D18" s="102"/>
      <c r="E18" s="102"/>
      <c r="F18" s="102"/>
      <c r="AE18" s="120"/>
    </row>
    <row r="19" spans="1:54">
      <c r="A19" t="s">
        <v>393</v>
      </c>
      <c r="B19" s="102"/>
      <c r="C19" s="102"/>
      <c r="D19" s="102"/>
      <c r="E19" s="102"/>
      <c r="F19" s="102"/>
      <c r="Z19">
        <f>Z52/Z25</f>
        <v>4.8225418373857493E-2</v>
      </c>
      <c r="AA19">
        <f t="shared" ref="AA19:AC19" si="10">AA52/AA25</f>
        <v>4.0274666229532081E-2</v>
      </c>
      <c r="AB19">
        <f t="shared" si="10"/>
        <v>3.084602410494865E-2</v>
      </c>
      <c r="AC19">
        <f t="shared" si="10"/>
        <v>2.8159298857803657E-2</v>
      </c>
      <c r="AE19" s="120"/>
    </row>
    <row r="20" spans="1:54">
      <c r="A20" t="s">
        <v>394</v>
      </c>
      <c r="B20" s="102"/>
      <c r="C20" s="102"/>
      <c r="D20" s="102"/>
      <c r="E20" s="102"/>
      <c r="F20" s="102"/>
      <c r="Z20">
        <f>Z53/Z25</f>
        <v>2.3322853167495598E-2</v>
      </c>
      <c r="AA20">
        <f t="shared" ref="AA20:AC20" si="11">AA53/AA25</f>
        <v>2.4876600550061016E-2</v>
      </c>
      <c r="AB20">
        <f t="shared" si="11"/>
        <v>2.1611898845597662E-2</v>
      </c>
      <c r="AC20">
        <f t="shared" si="11"/>
        <v>2.2920005680550203E-2</v>
      </c>
      <c r="AE20" s="120"/>
    </row>
    <row r="21" spans="1:54">
      <c r="A21" s="102" t="s">
        <v>416</v>
      </c>
      <c r="B21" s="102"/>
      <c r="C21" s="102"/>
      <c r="D21" s="102"/>
      <c r="E21" s="102"/>
      <c r="F21" s="102"/>
      <c r="U21" s="407">
        <f>((W25+V25)/(R25+S25))-1</f>
        <v>-1.999589429473414E-2</v>
      </c>
      <c r="Z21">
        <f>(Z53+Z54)/Z25</f>
        <v>3.1148385311368546E-2</v>
      </c>
      <c r="AA21">
        <f t="shared" ref="AA21:AC21" si="12">(AA53+AA54)/AA25</f>
        <v>3.4908839225543234E-2</v>
      </c>
      <c r="AB21">
        <f t="shared" si="12"/>
        <v>3.9533427916143865E-2</v>
      </c>
      <c r="AC21">
        <f t="shared" si="12"/>
        <v>3.8701284210099204E-2</v>
      </c>
      <c r="AE21" s="120"/>
    </row>
    <row r="22" spans="1:54">
      <c r="A22" s="102" t="s">
        <v>117</v>
      </c>
      <c r="B22" s="102"/>
      <c r="C22" s="102"/>
      <c r="D22" s="102"/>
      <c r="E22" s="102"/>
      <c r="F22" s="102"/>
      <c r="U22">
        <f>((W25+V25)/(F25+G25))-1</f>
        <v>0.57956252682787235</v>
      </c>
      <c r="Z22">
        <f>Z55/Z25</f>
        <v>4.033838892433525E-2</v>
      </c>
      <c r="AA22">
        <f t="shared" ref="AA22:AC22" si="13">AA55/AA25</f>
        <v>2.6625138881299748E-2</v>
      </c>
      <c r="AB22">
        <f t="shared" si="13"/>
        <v>3.0302036264033657E-2</v>
      </c>
      <c r="AC22">
        <f t="shared" si="13"/>
        <v>2.7155058732831552E-2</v>
      </c>
      <c r="AE22" s="120"/>
    </row>
    <row r="23" spans="1:54">
      <c r="A23" s="102" t="s">
        <v>418</v>
      </c>
      <c r="B23" s="102"/>
      <c r="C23" s="102"/>
      <c r="D23" s="102"/>
      <c r="E23" s="102"/>
      <c r="F23" s="102"/>
      <c r="Z23">
        <f>Z21/Z20</f>
        <v>1.3355306526038233</v>
      </c>
      <c r="AA23">
        <f t="shared" ref="AA23:AC23" si="14">AA21/AA20</f>
        <v>1.4032801288622054</v>
      </c>
      <c r="AB23">
        <f t="shared" si="14"/>
        <v>1.8292436124462434</v>
      </c>
      <c r="AC23">
        <f t="shared" si="14"/>
        <v>1.6885372870104003</v>
      </c>
      <c r="AE23" s="120"/>
    </row>
    <row r="24" spans="1:54">
      <c r="A24" s="102"/>
      <c r="B24" s="102"/>
      <c r="C24" s="102"/>
      <c r="D24" s="102"/>
      <c r="E24" s="102"/>
      <c r="F24" s="102"/>
    </row>
    <row r="25" spans="1:54">
      <c r="A25" t="s">
        <v>383</v>
      </c>
      <c r="C25">
        <f t="shared" ref="C25:W25" si="15">C26+C27</f>
        <v>53265</v>
      </c>
      <c r="D25">
        <f t="shared" si="15"/>
        <v>64040</v>
      </c>
      <c r="E25">
        <f t="shared" si="15"/>
        <v>84310</v>
      </c>
      <c r="F25">
        <f t="shared" si="15"/>
        <v>58015</v>
      </c>
      <c r="G25">
        <f t="shared" si="15"/>
        <v>53809</v>
      </c>
      <c r="H25">
        <f t="shared" si="15"/>
        <v>64040</v>
      </c>
      <c r="I25">
        <f t="shared" si="15"/>
        <v>91819</v>
      </c>
      <c r="J25">
        <f t="shared" si="15"/>
        <v>58313</v>
      </c>
      <c r="K25">
        <f t="shared" si="15"/>
        <v>59685</v>
      </c>
      <c r="L25">
        <f t="shared" si="15"/>
        <v>64698</v>
      </c>
      <c r="M25">
        <f t="shared" si="15"/>
        <v>111439</v>
      </c>
      <c r="N25">
        <f t="shared" si="15"/>
        <v>89584</v>
      </c>
      <c r="O25">
        <f t="shared" si="15"/>
        <v>81434</v>
      </c>
      <c r="P25">
        <f t="shared" si="15"/>
        <v>83360</v>
      </c>
      <c r="Q25">
        <f t="shared" si="15"/>
        <v>123945</v>
      </c>
      <c r="R25">
        <f t="shared" si="15"/>
        <v>97278</v>
      </c>
      <c r="S25">
        <f t="shared" si="15"/>
        <v>82959</v>
      </c>
      <c r="T25">
        <f t="shared" si="15"/>
        <v>90146</v>
      </c>
      <c r="U25">
        <f t="shared" si="15"/>
        <v>117154</v>
      </c>
      <c r="V25">
        <f t="shared" si="15"/>
        <v>94836</v>
      </c>
      <c r="W25">
        <f t="shared" si="15"/>
        <v>81797</v>
      </c>
      <c r="X25">
        <f>X26+X27</f>
        <v>89282</v>
      </c>
      <c r="Z25">
        <f>Z26+Z27</f>
        <v>260174</v>
      </c>
      <c r="AA25">
        <f>AA26+AA27</f>
        <v>274515</v>
      </c>
      <c r="AB25">
        <f>AB26+AB27</f>
        <v>365817</v>
      </c>
      <c r="AC25">
        <f>AC26+AC27</f>
        <v>394328</v>
      </c>
      <c r="AD25">
        <f>AD26+AD27</f>
        <v>383069</v>
      </c>
      <c r="AE25">
        <f t="shared" ref="AE25:BB25" si="16">AE26+AE27</f>
        <v>404095.69999999995</v>
      </c>
      <c r="AF25">
        <f t="shared" si="16"/>
        <v>426020.38502915</v>
      </c>
      <c r="AG25">
        <f t="shared" si="16"/>
        <v>448860.48893937253</v>
      </c>
      <c r="AH25">
        <f t="shared" si="16"/>
        <v>472632.31682514609</v>
      </c>
      <c r="AI25">
        <f t="shared" si="16"/>
        <v>497350.97627166676</v>
      </c>
      <c r="AJ25">
        <f t="shared" si="16"/>
        <v>523030.31453687267</v>
      </c>
      <c r="AK25">
        <f t="shared" si="16"/>
        <v>549682.8620322668</v>
      </c>
      <c r="AL25">
        <f t="shared" si="16"/>
        <v>577319.78240064369</v>
      </c>
      <c r="AM25">
        <f t="shared" si="16"/>
        <v>605950.82942131127</v>
      </c>
      <c r="AN25">
        <f t="shared" si="16"/>
        <v>635584.31090613932</v>
      </c>
      <c r="AO25">
        <f t="shared" si="16"/>
        <v>666227.05968362512</v>
      </c>
      <c r="AP25">
        <f t="shared" si="16"/>
        <v>697884.41170396539</v>
      </c>
      <c r="AQ25">
        <f t="shared" si="16"/>
        <v>730560.19123654719</v>
      </c>
      <c r="AR25">
        <f t="shared" si="16"/>
        <v>764256.70307296689</v>
      </c>
      <c r="AS25">
        <f t="shared" si="16"/>
        <v>798974.73159418046</v>
      </c>
      <c r="AT25">
        <f t="shared" si="16"/>
        <v>834713.54651011061</v>
      </c>
      <c r="AU25">
        <f t="shared" si="16"/>
        <v>871470.91503434</v>
      </c>
      <c r="AV25">
        <f t="shared" si="16"/>
        <v>909243.1202156581</v>
      </c>
      <c r="AW25">
        <f t="shared" si="16"/>
        <v>948024.98511235893</v>
      </c>
      <c r="AX25">
        <f t="shared" si="16"/>
        <v>987809.90246440098</v>
      </c>
      <c r="AY25">
        <f t="shared" si="16"/>
        <v>1028589.869492837</v>
      </c>
      <c r="AZ25">
        <f t="shared" si="16"/>
        <v>1070355.5274352536</v>
      </c>
      <c r="BA25">
        <f t="shared" si="16"/>
        <v>1113096.2054101799</v>
      </c>
      <c r="BB25">
        <f t="shared" si="16"/>
        <v>1156799.9681923776</v>
      </c>
    </row>
    <row r="26" spans="1:54" ht="13">
      <c r="A26" s="405" t="s">
        <v>384</v>
      </c>
      <c r="B26" s="405"/>
      <c r="C26" s="405">
        <v>43095</v>
      </c>
      <c r="D26" s="405">
        <v>51529</v>
      </c>
      <c r="E26" s="405">
        <v>73435</v>
      </c>
      <c r="F26" s="405">
        <v>46565</v>
      </c>
      <c r="G26" s="405">
        <v>42354</v>
      </c>
      <c r="H26" s="405">
        <v>51529</v>
      </c>
      <c r="I26" s="405">
        <v>79104</v>
      </c>
      <c r="J26" s="405">
        <v>44965</v>
      </c>
      <c r="K26" s="405">
        <v>46529</v>
      </c>
      <c r="L26" s="405">
        <v>50149</v>
      </c>
      <c r="M26">
        <v>95678</v>
      </c>
      <c r="N26" s="188">
        <v>72683</v>
      </c>
      <c r="O26">
        <v>63948</v>
      </c>
      <c r="P26">
        <v>65083</v>
      </c>
      <c r="Q26">
        <v>104429</v>
      </c>
      <c r="R26">
        <v>77457</v>
      </c>
      <c r="S26">
        <v>63355</v>
      </c>
      <c r="T26">
        <v>70958</v>
      </c>
      <c r="U26">
        <v>96388</v>
      </c>
      <c r="V26">
        <v>73929</v>
      </c>
      <c r="W26">
        <v>60584</v>
      </c>
      <c r="X26">
        <v>67977</v>
      </c>
      <c r="Z26">
        <f>SUM(E26:H26)</f>
        <v>213883</v>
      </c>
      <c r="AA26">
        <f>SUM(I26:L26)</f>
        <v>220747</v>
      </c>
      <c r="AB26">
        <f>SUM(M26:P26)</f>
        <v>297392</v>
      </c>
      <c r="AC26">
        <f>SUM(Q26:T26)</f>
        <v>316199</v>
      </c>
      <c r="AD26">
        <f>SUM(U26:X26)</f>
        <v>298878</v>
      </c>
      <c r="AE26" s="102">
        <f>(1+AE5)*AD26</f>
        <v>312327.50999999995</v>
      </c>
      <c r="AF26" s="102">
        <f t="shared" ref="AF26:BB26" si="17">(1+AF5)*AE26</f>
        <v>326199.53635665</v>
      </c>
      <c r="AG26" s="102">
        <f t="shared" si="17"/>
        <v>340499.34278263594</v>
      </c>
      <c r="AH26" s="102">
        <f t="shared" si="17"/>
        <v>355231.97169030906</v>
      </c>
      <c r="AI26" s="102">
        <f t="shared" si="17"/>
        <v>370402.23681401042</v>
      </c>
      <c r="AJ26" s="102">
        <f t="shared" si="17"/>
        <v>386014.71619399753</v>
      </c>
      <c r="AK26" s="102">
        <f t="shared" si="17"/>
        <v>402073.74553397647</v>
      </c>
      <c r="AL26" s="102">
        <f t="shared" si="17"/>
        <v>418583.41194309283</v>
      </c>
      <c r="AM26" s="102">
        <f t="shared" si="17"/>
        <v>435547.54807207413</v>
      </c>
      <c r="AN26" s="102">
        <f t="shared" si="17"/>
        <v>452969.72665205173</v>
      </c>
      <c r="AO26" s="102">
        <f t="shared" si="17"/>
        <v>470853.25544342265</v>
      </c>
      <c r="AP26" s="102">
        <f t="shared" si="17"/>
        <v>489201.17260095105</v>
      </c>
      <c r="AQ26" s="102">
        <f t="shared" si="17"/>
        <v>508016.2424601533</v>
      </c>
      <c r="AR26" s="102">
        <f t="shared" si="17"/>
        <v>527300.95174886822</v>
      </c>
      <c r="AS26" s="102">
        <f t="shared" si="17"/>
        <v>547057.50622678723</v>
      </c>
      <c r="AT26" s="102">
        <f t="shared" si="17"/>
        <v>567287.82775461243</v>
      </c>
      <c r="AU26" s="102">
        <f t="shared" si="17"/>
        <v>587993.55179342255</v>
      </c>
      <c r="AV26" s="102">
        <f t="shared" si="17"/>
        <v>609176.02533377125</v>
      </c>
      <c r="AW26" s="102">
        <f t="shared" si="17"/>
        <v>630836.30525300954</v>
      </c>
      <c r="AX26" s="102">
        <f t="shared" si="17"/>
        <v>652975.15709832637</v>
      </c>
      <c r="AY26" s="102">
        <f t="shared" si="17"/>
        <v>675593.05429203343</v>
      </c>
      <c r="AZ26" s="102">
        <f t="shared" si="17"/>
        <v>698690.17775469646</v>
      </c>
      <c r="BA26" s="102">
        <f t="shared" si="17"/>
        <v>722266.41594081966</v>
      </c>
      <c r="BB26" s="102">
        <f t="shared" si="17"/>
        <v>746321.36528094101</v>
      </c>
    </row>
    <row r="27" spans="1:54">
      <c r="A27" s="405" t="s">
        <v>385</v>
      </c>
      <c r="B27" s="405"/>
      <c r="C27" s="405">
        <v>10170</v>
      </c>
      <c r="D27" s="405">
        <v>12511</v>
      </c>
      <c r="E27" s="405">
        <v>10875</v>
      </c>
      <c r="F27" s="405">
        <v>11450</v>
      </c>
      <c r="G27" s="405">
        <v>11455</v>
      </c>
      <c r="H27" s="405">
        <v>12511</v>
      </c>
      <c r="I27" s="405">
        <v>12715</v>
      </c>
      <c r="J27" s="405">
        <v>13348</v>
      </c>
      <c r="K27" s="405">
        <v>13156</v>
      </c>
      <c r="L27" s="405">
        <v>14549</v>
      </c>
      <c r="M27">
        <v>15761</v>
      </c>
      <c r="N27">
        <v>16901</v>
      </c>
      <c r="O27">
        <v>17486</v>
      </c>
      <c r="P27">
        <v>18277</v>
      </c>
      <c r="Q27">
        <v>19516</v>
      </c>
      <c r="R27">
        <v>19821</v>
      </c>
      <c r="S27">
        <v>19604</v>
      </c>
      <c r="T27">
        <v>19188</v>
      </c>
      <c r="U27">
        <v>20766</v>
      </c>
      <c r="V27">
        <v>20907</v>
      </c>
      <c r="W27">
        <v>21213</v>
      </c>
      <c r="X27">
        <v>21305</v>
      </c>
      <c r="Z27">
        <f>SUM(E27:H27)</f>
        <v>46291</v>
      </c>
      <c r="AA27">
        <f>SUM(I27:L27)</f>
        <v>53768</v>
      </c>
      <c r="AB27">
        <f>SUM(M27:P27)</f>
        <v>68425</v>
      </c>
      <c r="AC27">
        <f>SUM(Q27:T27)</f>
        <v>78129</v>
      </c>
      <c r="AD27">
        <f>SUM(U27:X27)</f>
        <v>84191</v>
      </c>
      <c r="AE27" s="102">
        <f>(1+AE6)*AD27</f>
        <v>91768.19</v>
      </c>
      <c r="AF27" s="102">
        <f t="shared" ref="AF27:BB27" si="18">(1+AF6)*AE27</f>
        <v>99820.848672499997</v>
      </c>
      <c r="AG27" s="102">
        <f t="shared" si="18"/>
        <v>108361.14615673658</v>
      </c>
      <c r="AH27" s="102">
        <f t="shared" si="18"/>
        <v>117400.34513483704</v>
      </c>
      <c r="AI27" s="102">
        <f t="shared" si="18"/>
        <v>126948.73945765635</v>
      </c>
      <c r="AJ27" s="102">
        <f t="shared" si="18"/>
        <v>137015.59834287516</v>
      </c>
      <c r="AK27" s="102">
        <f t="shared" si="18"/>
        <v>147609.11649829036</v>
      </c>
      <c r="AL27" s="102">
        <f t="shared" si="18"/>
        <v>158736.3704575508</v>
      </c>
      <c r="AM27" s="102">
        <f t="shared" si="18"/>
        <v>170403.28134923716</v>
      </c>
      <c r="AN27" s="102">
        <f t="shared" si="18"/>
        <v>182614.58425408759</v>
      </c>
      <c r="AO27" s="102">
        <f t="shared" si="18"/>
        <v>195373.80424020247</v>
      </c>
      <c r="AP27" s="102">
        <f t="shared" si="18"/>
        <v>208683.23910301441</v>
      </c>
      <c r="AQ27" s="102">
        <f t="shared" si="18"/>
        <v>222543.9487763939</v>
      </c>
      <c r="AR27" s="102">
        <f t="shared" si="18"/>
        <v>236955.75132409864</v>
      </c>
      <c r="AS27" s="102">
        <f t="shared" si="18"/>
        <v>251917.22536739323</v>
      </c>
      <c r="AT27" s="102">
        <f t="shared" si="18"/>
        <v>267425.71875549818</v>
      </c>
      <c r="AU27" s="102">
        <f t="shared" si="18"/>
        <v>283477.36324091739</v>
      </c>
      <c r="AV27" s="102">
        <f t="shared" si="18"/>
        <v>300067.09488188679</v>
      </c>
      <c r="AW27" s="102">
        <f t="shared" si="18"/>
        <v>317188.67985934939</v>
      </c>
      <c r="AX27" s="102">
        <f t="shared" si="18"/>
        <v>334834.74536607461</v>
      </c>
      <c r="AY27" s="102">
        <f t="shared" si="18"/>
        <v>352996.81520080357</v>
      </c>
      <c r="AZ27" s="102">
        <f t="shared" si="18"/>
        <v>371665.34968055709</v>
      </c>
      <c r="BA27" s="102">
        <f t="shared" si="18"/>
        <v>390829.78946936032</v>
      </c>
      <c r="BB27" s="102">
        <f t="shared" si="18"/>
        <v>410478.60291143652</v>
      </c>
    </row>
    <row r="28" spans="1:54">
      <c r="C28" s="102" t="s">
        <v>266</v>
      </c>
    </row>
    <row r="29" spans="1:54">
      <c r="A29" t="s">
        <v>386</v>
      </c>
    </row>
    <row r="30" spans="1:54">
      <c r="A30" s="405" t="s">
        <v>384</v>
      </c>
      <c r="B30" s="405"/>
      <c r="C30" s="405">
        <v>28956</v>
      </c>
      <c r="D30" s="405">
        <v>35238</v>
      </c>
      <c r="E30" s="405">
        <v>48238</v>
      </c>
      <c r="F30" s="405">
        <v>32047</v>
      </c>
      <c r="G30" s="405">
        <v>29473</v>
      </c>
      <c r="H30" s="405">
        <v>35238</v>
      </c>
      <c r="I30" s="405">
        <v>52075</v>
      </c>
      <c r="J30" s="405">
        <v>31321</v>
      </c>
      <c r="K30" s="405">
        <v>32693</v>
      </c>
      <c r="L30" s="405">
        <v>35197</v>
      </c>
      <c r="M30">
        <v>62130</v>
      </c>
      <c r="N30">
        <v>46447</v>
      </c>
      <c r="O30">
        <v>40899</v>
      </c>
      <c r="P30">
        <v>42790</v>
      </c>
      <c r="Q30">
        <v>64309</v>
      </c>
      <c r="R30">
        <v>49290</v>
      </c>
      <c r="S30">
        <v>41485</v>
      </c>
      <c r="T30">
        <v>46387</v>
      </c>
      <c r="U30">
        <v>60765</v>
      </c>
      <c r="V30">
        <v>46795</v>
      </c>
      <c r="W30">
        <v>39136</v>
      </c>
      <c r="X30">
        <v>43350</v>
      </c>
      <c r="Z30">
        <f>SUM(E30:H30)</f>
        <v>144996</v>
      </c>
      <c r="AA30">
        <f>SUM(I30:L30)</f>
        <v>151286</v>
      </c>
      <c r="AB30">
        <f>SUM(M30:P30)</f>
        <v>192266</v>
      </c>
      <c r="AC30">
        <f>SUM(Q30:T30)</f>
        <v>201471</v>
      </c>
      <c r="AD30">
        <f>SUM(U30:X30)</f>
        <v>190046</v>
      </c>
      <c r="AE30">
        <f>AE9*AE26</f>
        <v>198796.66806999993</v>
      </c>
      <c r="AF30">
        <f t="shared" ref="AF30:BB30" si="19">AF9*AF26</f>
        <v>207833.84830441131</v>
      </c>
      <c r="AG30">
        <f t="shared" si="19"/>
        <v>217161.731238462</v>
      </c>
      <c r="AH30">
        <f t="shared" si="19"/>
        <v>226784.38120445397</v>
      </c>
      <c r="AI30">
        <f t="shared" si="19"/>
        <v>236705.73094695766</v>
      </c>
      <c r="AJ30">
        <f t="shared" si="19"/>
        <v>246929.57643898326</v>
      </c>
      <c r="AK30">
        <f t="shared" si="19"/>
        <v>257459.57190833043</v>
      </c>
      <c r="AL30">
        <f t="shared" si="19"/>
        <v>268299.22508264828</v>
      </c>
      <c r="AM30">
        <f t="shared" si="19"/>
        <v>279451.89266105503</v>
      </c>
      <c r="AN30">
        <f t="shared" si="19"/>
        <v>290920.7760194756</v>
      </c>
      <c r="AO30">
        <f t="shared" si="19"/>
        <v>302708.91715615429</v>
      </c>
      <c r="AP30">
        <f t="shared" si="19"/>
        <v>314819.19488309877</v>
      </c>
      <c r="AQ30">
        <f t="shared" si="19"/>
        <v>327254.32126850577</v>
      </c>
      <c r="AR30">
        <f t="shared" si="19"/>
        <v>340016.83833451505</v>
      </c>
      <c r="AS30">
        <f t="shared" si="19"/>
        <v>353109.1150139395</v>
      </c>
      <c r="AT30">
        <f t="shared" si="19"/>
        <v>366533.34436892427</v>
      </c>
      <c r="AU30">
        <f t="shared" si="19"/>
        <v>380291.54107380292</v>
      </c>
      <c r="AV30">
        <f t="shared" si="19"/>
        <v>394385.53916374309</v>
      </c>
      <c r="AW30">
        <f t="shared" si="19"/>
        <v>408816.99005011184</v>
      </c>
      <c r="AX30">
        <f t="shared" si="19"/>
        <v>423587.36080284324</v>
      </c>
      <c r="AY30">
        <f t="shared" si="19"/>
        <v>438697.93269945658</v>
      </c>
      <c r="AZ30">
        <f t="shared" si="19"/>
        <v>454149.80003976275</v>
      </c>
      <c r="BA30">
        <f t="shared" si="19"/>
        <v>469943.86922469834</v>
      </c>
      <c r="BB30">
        <f t="shared" si="19"/>
        <v>486080.85809715459</v>
      </c>
    </row>
    <row r="31" spans="1:54">
      <c r="A31" s="405" t="s">
        <v>385</v>
      </c>
      <c r="B31" s="405"/>
      <c r="C31" s="405">
        <v>3888</v>
      </c>
      <c r="D31" s="405">
        <v>4489</v>
      </c>
      <c r="E31" s="405">
        <v>4041</v>
      </c>
      <c r="F31" s="405">
        <v>4147</v>
      </c>
      <c r="G31" s="405">
        <v>4109</v>
      </c>
      <c r="H31" s="405">
        <v>4489</v>
      </c>
      <c r="I31" s="405">
        <v>4527</v>
      </c>
      <c r="J31" s="405">
        <v>4622</v>
      </c>
      <c r="K31" s="405">
        <v>4312</v>
      </c>
      <c r="L31" s="405">
        <v>4812</v>
      </c>
      <c r="M31">
        <v>4981</v>
      </c>
      <c r="N31">
        <v>5058</v>
      </c>
      <c r="O31">
        <v>5280</v>
      </c>
      <c r="P31">
        <v>5396</v>
      </c>
      <c r="Q31">
        <v>5393</v>
      </c>
      <c r="R31">
        <v>5429</v>
      </c>
      <c r="S31">
        <v>5589</v>
      </c>
      <c r="T31">
        <v>5664</v>
      </c>
      <c r="U31">
        <v>6057</v>
      </c>
      <c r="V31">
        <v>6065</v>
      </c>
      <c r="W31">
        <v>6248</v>
      </c>
      <c r="X31">
        <v>6134</v>
      </c>
      <c r="Z31">
        <f>SUM(E31:H31)</f>
        <v>16786</v>
      </c>
      <c r="AA31">
        <f>SUM(I31:L31)</f>
        <v>18273</v>
      </c>
      <c r="AB31">
        <f>SUM(M31:P31)</f>
        <v>20715</v>
      </c>
      <c r="AC31">
        <f>SUM(Q31:T31)</f>
        <v>22075</v>
      </c>
      <c r="AD31">
        <f>SUM(U31:X31)</f>
        <v>24504</v>
      </c>
      <c r="AE31">
        <f>AE10*AE27</f>
        <v>26736.069360000001</v>
      </c>
      <c r="AF31">
        <f t="shared" ref="AF31:BB31" si="20">AF10*AF27</f>
        <v>29111.241605786334</v>
      </c>
      <c r="AG31">
        <f t="shared" si="20"/>
        <v>31633.492160691811</v>
      </c>
      <c r="AH31">
        <f t="shared" si="20"/>
        <v>34306.546324323434</v>
      </c>
      <c r="AI31">
        <f t="shared" si="20"/>
        <v>37133.860031012278</v>
      </c>
      <c r="AJ31">
        <f t="shared" si="20"/>
        <v>40118.602128219012</v>
      </c>
      <c r="AK31">
        <f t="shared" si="20"/>
        <v>43263.638289372757</v>
      </c>
      <c r="AL31">
        <f t="shared" si="20"/>
        <v>46571.516657223656</v>
      </c>
      <c r="AM31">
        <f t="shared" si="20"/>
        <v>50044.455295024622</v>
      </c>
      <c r="AN31">
        <f t="shared" si="20"/>
        <v>53684.331503995818</v>
      </c>
      <c r="AO31">
        <f t="shared" si="20"/>
        <v>57492.67304682338</v>
      </c>
      <c r="AP31">
        <f t="shared" si="20"/>
        <v>61470.651298637633</v>
      </c>
      <c r="AQ31">
        <f t="shared" si="20"/>
        <v>65619.076329219373</v>
      </c>
      <c r="AR31">
        <f t="shared" si="20"/>
        <v>69938.393903286866</v>
      </c>
      <c r="AS31">
        <f t="shared" si="20"/>
        <v>74428.684369785013</v>
      </c>
      <c r="AT31">
        <f t="shared" si="20"/>
        <v>79089.663396270262</v>
      </c>
      <c r="AU31">
        <f t="shared" si="20"/>
        <v>83920.684490874773</v>
      </c>
      <c r="AV31">
        <f t="shared" si="20"/>
        <v>88920.743242025026</v>
      </c>
      <c r="AW31">
        <f t="shared" si="20"/>
        <v>94088.483195147477</v>
      </c>
      <c r="AX31">
        <f t="shared" si="20"/>
        <v>99422.203276055487</v>
      </c>
      <c r="AY31">
        <f t="shared" si="20"/>
        <v>104919.86666259107</v>
      </c>
      <c r="AZ31">
        <f t="shared" si="20"/>
        <v>110579.11099939028</v>
      </c>
      <c r="BA31">
        <f t="shared" si="20"/>
        <v>116397.25984532754</v>
      </c>
      <c r="BB31">
        <f t="shared" si="20"/>
        <v>122371.33523923192</v>
      </c>
    </row>
    <row r="33" spans="1:54">
      <c r="A33" t="s">
        <v>387</v>
      </c>
      <c r="C33">
        <v>3701</v>
      </c>
      <c r="D33">
        <v>4110</v>
      </c>
      <c r="E33">
        <v>3902</v>
      </c>
      <c r="F33">
        <v>3948</v>
      </c>
      <c r="G33">
        <v>4257</v>
      </c>
      <c r="H33">
        <v>4110</v>
      </c>
      <c r="I33">
        <v>4451</v>
      </c>
      <c r="J33">
        <v>4565</v>
      </c>
      <c r="K33">
        <v>4758</v>
      </c>
      <c r="L33">
        <v>4978</v>
      </c>
      <c r="M33">
        <v>5163</v>
      </c>
      <c r="N33">
        <v>5262</v>
      </c>
      <c r="O33">
        <v>5717</v>
      </c>
      <c r="P33">
        <v>5772</v>
      </c>
      <c r="Q33">
        <v>6306</v>
      </c>
      <c r="R33">
        <v>6387</v>
      </c>
      <c r="S33">
        <v>6797</v>
      </c>
      <c r="T33">
        <v>6761</v>
      </c>
      <c r="U33">
        <v>7709</v>
      </c>
      <c r="V33">
        <v>7457</v>
      </c>
      <c r="W33">
        <v>7442</v>
      </c>
      <c r="X33">
        <v>7393</v>
      </c>
      <c r="Z33">
        <f>SUM(E33:H33)</f>
        <v>16217</v>
      </c>
      <c r="AA33">
        <f>SUM(I33:L33)</f>
        <v>18752</v>
      </c>
      <c r="AB33">
        <f>SUM(M33:P33)</f>
        <v>21914</v>
      </c>
      <c r="AC33">
        <f>SUM(Q33:T33)</f>
        <v>26251</v>
      </c>
      <c r="AD33">
        <f>SUM(U33:X33)</f>
        <v>30001</v>
      </c>
      <c r="AE33">
        <f>AE12*AE$25</f>
        <v>31964.235807797028</v>
      </c>
      <c r="AF33">
        <f t="shared" ref="AF33:BB33" si="21">AF12*AF$25</f>
        <v>34035.477750592836</v>
      </c>
      <c r="AG33">
        <f t="shared" si="21"/>
        <v>36218.813790341548</v>
      </c>
      <c r="AH33">
        <f t="shared" si="21"/>
        <v>38518.346165832445</v>
      </c>
      <c r="AI33">
        <f t="shared" si="21"/>
        <v>40938.183344336241</v>
      </c>
      <c r="AJ33">
        <f t="shared" si="21"/>
        <v>43482.432028956508</v>
      </c>
      <c r="AK33">
        <f t="shared" si="21"/>
        <v>46155.18927241159</v>
      </c>
      <c r="AL33">
        <f t="shared" si="21"/>
        <v>48960.534745766687</v>
      </c>
      <c r="AM33">
        <f t="shared" si="21"/>
        <v>51902.523208004182</v>
      </c>
      <c r="AN33">
        <f t="shared" si="21"/>
        <v>54985.177219318335</v>
      </c>
      <c r="AO33">
        <f t="shared" si="21"/>
        <v>58212.480137703489</v>
      </c>
      <c r="AP33">
        <f t="shared" si="21"/>
        <v>61588.369434832457</v>
      </c>
      <c r="AQ33">
        <f t="shared" si="21"/>
        <v>65116.730363448361</v>
      </c>
      <c r="AR33">
        <f t="shared" si="21"/>
        <v>68801.390004578323</v>
      </c>
      <c r="AS33">
        <f t="shared" si="21"/>
        <v>72646.111718873435</v>
      </c>
      <c r="AT33">
        <f t="shared" si="21"/>
        <v>76654.590022339762</v>
      </c>
      <c r="AU33">
        <f t="shared" si="21"/>
        <v>80830.445902697335</v>
      </c>
      <c r="AV33">
        <f t="shared" si="21"/>
        <v>85177.222588635006</v>
      </c>
      <c r="AW33">
        <f t="shared" si="21"/>
        <v>89698.38178035774</v>
      </c>
      <c r="AX33">
        <f t="shared" si="21"/>
        <v>94397.300346087504</v>
      </c>
      <c r="AY33">
        <f t="shared" si="21"/>
        <v>99277.267485610209</v>
      </c>
      <c r="AZ33">
        <f t="shared" si="21"/>
        <v>104341.48235858878</v>
      </c>
      <c r="BA33">
        <f t="shared" si="21"/>
        <v>109593.05217220577</v>
      </c>
      <c r="BB33">
        <f t="shared" si="21"/>
        <v>115034.99071977998</v>
      </c>
    </row>
    <row r="34" spans="1:54">
      <c r="A34" t="s">
        <v>388</v>
      </c>
      <c r="C34">
        <v>4108</v>
      </c>
      <c r="D34">
        <v>4578</v>
      </c>
      <c r="E34">
        <v>4783</v>
      </c>
      <c r="F34">
        <v>4458</v>
      </c>
      <c r="G34">
        <v>4426</v>
      </c>
      <c r="H34">
        <v>4578</v>
      </c>
      <c r="I34">
        <v>5197</v>
      </c>
      <c r="J34">
        <v>4952</v>
      </c>
      <c r="K34">
        <v>4831</v>
      </c>
      <c r="L34">
        <v>4936</v>
      </c>
      <c r="M34">
        <v>5631</v>
      </c>
      <c r="N34">
        <v>5314</v>
      </c>
      <c r="O34">
        <v>5412</v>
      </c>
      <c r="P34">
        <v>5616</v>
      </c>
      <c r="Q34">
        <v>6449</v>
      </c>
      <c r="R34">
        <v>6193</v>
      </c>
      <c r="S34">
        <v>6012</v>
      </c>
      <c r="T34">
        <v>6440</v>
      </c>
      <c r="U34">
        <v>6607</v>
      </c>
      <c r="V34">
        <v>6201</v>
      </c>
      <c r="W34">
        <v>5973</v>
      </c>
      <c r="X34">
        <v>6220</v>
      </c>
      <c r="Z34">
        <f>SUM(E34:H34)</f>
        <v>18245</v>
      </c>
      <c r="AA34">
        <f>SUM(I34:L34)</f>
        <v>19916</v>
      </c>
      <c r="AB34">
        <f>SUM(M34:P34)</f>
        <v>21973</v>
      </c>
      <c r="AC34">
        <f>SUM(Q34:T34)</f>
        <v>25094</v>
      </c>
      <c r="AD34">
        <f>SUM(U34:X34)</f>
        <v>25001</v>
      </c>
      <c r="AE34">
        <f>AE13*AE$25</f>
        <v>26399.680977306176</v>
      </c>
      <c r="AF34">
        <f t="shared" ref="AF34:BB34" si="22">AF13*AF$25</f>
        <v>27859.858585115609</v>
      </c>
      <c r="AG34">
        <f t="shared" si="22"/>
        <v>29382.854379577526</v>
      </c>
      <c r="AH34">
        <f t="shared" si="22"/>
        <v>30969.920876180302</v>
      </c>
      <c r="AI34">
        <f t="shared" si="22"/>
        <v>32622.236682371207</v>
      </c>
      <c r="AJ34">
        <f t="shared" si="22"/>
        <v>34340.901991636005</v>
      </c>
      <c r="AK34">
        <f t="shared" si="22"/>
        <v>36126.934465653205</v>
      </c>
      <c r="AL34">
        <f t="shared" si="22"/>
        <v>37981.265526943418</v>
      </c>
      <c r="AM34">
        <f t="shared" si="22"/>
        <v>39904.737080156665</v>
      </c>
      <c r="AN34">
        <f t="shared" si="22"/>
        <v>41898.098675839719</v>
      </c>
      <c r="AO34">
        <f t="shared" si="22"/>
        <v>43962.005126260148</v>
      </c>
      <c r="AP34">
        <f t="shared" si="22"/>
        <v>46097.0145786867</v>
      </c>
      <c r="AQ34">
        <f t="shared" si="22"/>
        <v>48303.587047484914</v>
      </c>
      <c r="AR34">
        <f t="shared" si="22"/>
        <v>50582.083402526026</v>
      </c>
      <c r="AS34">
        <f t="shared" si="22"/>
        <v>52932.764807762956</v>
      </c>
      <c r="AT34">
        <f t="shared" si="22"/>
        <v>55355.792600431225</v>
      </c>
      <c r="AU34">
        <f t="shared" si="22"/>
        <v>57851.228598209869</v>
      </c>
      <c r="AV34">
        <f t="shared" si="22"/>
        <v>60419.035818848635</v>
      </c>
      <c r="AW34">
        <f t="shared" si="22"/>
        <v>63059.079594245952</v>
      </c>
      <c r="AX34">
        <f t="shared" si="22"/>
        <v>65771.129058756298</v>
      </c>
      <c r="AY34">
        <f t="shared" si="22"/>
        <v>68554.858989620319</v>
      </c>
      <c r="AZ34">
        <f t="shared" si="22"/>
        <v>71409.851975844373</v>
      </c>
      <c r="BA34">
        <f t="shared" si="22"/>
        <v>74335.600890603324</v>
      </c>
      <c r="BB34">
        <f t="shared" si="22"/>
        <v>77331.511641293531</v>
      </c>
    </row>
    <row r="36" spans="1:54">
      <c r="A36" s="102" t="s">
        <v>415</v>
      </c>
      <c r="C36">
        <f>C25-C30-C31-C33-C34</f>
        <v>12612</v>
      </c>
      <c r="D36">
        <f t="shared" ref="D36:BB36" si="23">D25-D30-D31-D33-D34</f>
        <v>15625</v>
      </c>
      <c r="E36">
        <f t="shared" si="23"/>
        <v>23346</v>
      </c>
      <c r="F36">
        <f t="shared" si="23"/>
        <v>13415</v>
      </c>
      <c r="G36">
        <f t="shared" si="23"/>
        <v>11544</v>
      </c>
      <c r="H36">
        <f t="shared" si="23"/>
        <v>15625</v>
      </c>
      <c r="I36">
        <f t="shared" si="23"/>
        <v>25569</v>
      </c>
      <c r="J36">
        <f t="shared" si="23"/>
        <v>12853</v>
      </c>
      <c r="K36">
        <f t="shared" si="23"/>
        <v>13091</v>
      </c>
      <c r="L36">
        <f t="shared" si="23"/>
        <v>14775</v>
      </c>
      <c r="M36">
        <f t="shared" si="23"/>
        <v>33534</v>
      </c>
      <c r="N36">
        <f t="shared" si="23"/>
        <v>27503</v>
      </c>
      <c r="O36">
        <f t="shared" si="23"/>
        <v>24126</v>
      </c>
      <c r="P36">
        <f t="shared" si="23"/>
        <v>23786</v>
      </c>
      <c r="Q36">
        <f t="shared" si="23"/>
        <v>41488</v>
      </c>
      <c r="R36">
        <f t="shared" si="23"/>
        <v>29979</v>
      </c>
      <c r="S36">
        <f t="shared" si="23"/>
        <v>23076</v>
      </c>
      <c r="T36">
        <f t="shared" si="23"/>
        <v>24894</v>
      </c>
      <c r="U36">
        <f t="shared" si="23"/>
        <v>36016</v>
      </c>
      <c r="V36">
        <f t="shared" si="23"/>
        <v>28318</v>
      </c>
      <c r="W36">
        <f t="shared" si="23"/>
        <v>22998</v>
      </c>
      <c r="X36">
        <f>X25-X30-X31-X33-X34</f>
        <v>26185</v>
      </c>
      <c r="Z36">
        <f t="shared" si="23"/>
        <v>63930</v>
      </c>
      <c r="AA36">
        <f t="shared" si="23"/>
        <v>66288</v>
      </c>
      <c r="AB36">
        <f t="shared" si="23"/>
        <v>108949</v>
      </c>
      <c r="AC36">
        <f t="shared" si="23"/>
        <v>119437</v>
      </c>
      <c r="AD36">
        <f t="shared" si="23"/>
        <v>113517</v>
      </c>
      <c r="AE36">
        <f t="shared" si="23"/>
        <v>120199.04578489682</v>
      </c>
      <c r="AF36">
        <f t="shared" si="23"/>
        <v>127179.9587832439</v>
      </c>
      <c r="AG36">
        <f t="shared" si="23"/>
        <v>134463.59737029963</v>
      </c>
      <c r="AH36">
        <f t="shared" si="23"/>
        <v>142053.12225435593</v>
      </c>
      <c r="AI36">
        <f t="shared" si="23"/>
        <v>149950.9652669894</v>
      </c>
      <c r="AJ36">
        <f t="shared" si="23"/>
        <v>158158.8019490779</v>
      </c>
      <c r="AK36">
        <f t="shared" si="23"/>
        <v>166677.52809649881</v>
      </c>
      <c r="AL36">
        <f t="shared" si="23"/>
        <v>175507.24038806168</v>
      </c>
      <c r="AM36">
        <f t="shared" si="23"/>
        <v>184647.22117707078</v>
      </c>
      <c r="AN36">
        <f t="shared" si="23"/>
        <v>194095.92748750985</v>
      </c>
      <c r="AO36">
        <f t="shared" si="23"/>
        <v>203850.98421668384</v>
      </c>
      <c r="AP36">
        <f t="shared" si="23"/>
        <v>213909.18150870985</v>
      </c>
      <c r="AQ36">
        <f t="shared" si="23"/>
        <v>224266.47622788875</v>
      </c>
      <c r="AR36">
        <f t="shared" si="23"/>
        <v>234917.99742806063</v>
      </c>
      <c r="AS36">
        <f t="shared" si="23"/>
        <v>245858.05568381955</v>
      </c>
      <c r="AT36">
        <f t="shared" si="23"/>
        <v>257080.1561221451</v>
      </c>
      <c r="AU36">
        <f t="shared" si="23"/>
        <v>268577.01496875513</v>
      </c>
      <c r="AV36">
        <f t="shared" si="23"/>
        <v>280340.57940240635</v>
      </c>
      <c r="AW36">
        <f t="shared" si="23"/>
        <v>292362.050492496</v>
      </c>
      <c r="AX36">
        <f t="shared" si="23"/>
        <v>304631.90898065845</v>
      </c>
      <c r="AY36">
        <f t="shared" si="23"/>
        <v>317139.94365555886</v>
      </c>
      <c r="AZ36">
        <f t="shared" si="23"/>
        <v>329875.28206166747</v>
      </c>
      <c r="BA36">
        <f t="shared" si="23"/>
        <v>342826.42327734496</v>
      </c>
      <c r="BB36">
        <f t="shared" si="23"/>
        <v>355981.2724949175</v>
      </c>
    </row>
    <row r="37" spans="1:54">
      <c r="AB37" s="102"/>
      <c r="AC37" s="102"/>
    </row>
    <row r="38" spans="1:54">
      <c r="A38" t="s">
        <v>389</v>
      </c>
      <c r="C38">
        <v>672</v>
      </c>
      <c r="D38">
        <v>502</v>
      </c>
      <c r="E38">
        <v>560</v>
      </c>
      <c r="F38">
        <v>378</v>
      </c>
      <c r="G38">
        <v>367</v>
      </c>
      <c r="H38">
        <v>502</v>
      </c>
      <c r="I38">
        <v>349</v>
      </c>
      <c r="J38">
        <v>282</v>
      </c>
      <c r="K38">
        <v>46</v>
      </c>
      <c r="L38">
        <v>126</v>
      </c>
      <c r="M38">
        <v>45</v>
      </c>
      <c r="N38">
        <v>508</v>
      </c>
      <c r="O38">
        <v>243</v>
      </c>
      <c r="P38">
        <v>-538</v>
      </c>
      <c r="Q38">
        <v>-247</v>
      </c>
      <c r="R38">
        <v>160</v>
      </c>
      <c r="S38">
        <v>-10</v>
      </c>
      <c r="T38">
        <v>-237</v>
      </c>
      <c r="U38">
        <v>-393</v>
      </c>
      <c r="V38">
        <v>64</v>
      </c>
      <c r="W38">
        <v>-265</v>
      </c>
      <c r="Z38">
        <f>SUM(E38:H38)</f>
        <v>1807</v>
      </c>
      <c r="AA38">
        <f>SUM(I38:L38)</f>
        <v>803</v>
      </c>
      <c r="AB38">
        <f>SUM(M38:P38)</f>
        <v>258</v>
      </c>
      <c r="AC38">
        <f>SUM(Q38:T38)</f>
        <v>-334</v>
      </c>
    </row>
    <row r="39" spans="1:54">
      <c r="AC39" s="102"/>
    </row>
    <row r="40" spans="1:54">
      <c r="A40" t="s">
        <v>390</v>
      </c>
      <c r="C40">
        <f t="shared" ref="C40:W40" si="24">C26+C27-C30-C31-C33-C34+C38</f>
        <v>13284</v>
      </c>
      <c r="D40">
        <f t="shared" si="24"/>
        <v>16127</v>
      </c>
      <c r="E40">
        <f t="shared" si="24"/>
        <v>23906</v>
      </c>
      <c r="F40">
        <f t="shared" si="24"/>
        <v>13793</v>
      </c>
      <c r="G40">
        <f t="shared" si="24"/>
        <v>11911</v>
      </c>
      <c r="H40">
        <f t="shared" si="24"/>
        <v>16127</v>
      </c>
      <c r="I40">
        <f t="shared" si="24"/>
        <v>25918</v>
      </c>
      <c r="J40">
        <f t="shared" si="24"/>
        <v>13135</v>
      </c>
      <c r="K40">
        <f t="shared" si="24"/>
        <v>13137</v>
      </c>
      <c r="L40">
        <f t="shared" si="24"/>
        <v>14901</v>
      </c>
      <c r="M40">
        <f t="shared" si="24"/>
        <v>33579</v>
      </c>
      <c r="N40">
        <f t="shared" si="24"/>
        <v>28011</v>
      </c>
      <c r="O40">
        <f t="shared" si="24"/>
        <v>24369</v>
      </c>
      <c r="P40">
        <f t="shared" si="24"/>
        <v>23248</v>
      </c>
      <c r="Q40">
        <f t="shared" si="24"/>
        <v>41241</v>
      </c>
      <c r="R40">
        <f t="shared" si="24"/>
        <v>30139</v>
      </c>
      <c r="S40">
        <f t="shared" si="24"/>
        <v>23066</v>
      </c>
      <c r="T40">
        <f t="shared" si="24"/>
        <v>24657</v>
      </c>
      <c r="U40">
        <f t="shared" si="24"/>
        <v>35623</v>
      </c>
      <c r="V40">
        <f t="shared" si="24"/>
        <v>28382</v>
      </c>
      <c r="W40">
        <f t="shared" si="24"/>
        <v>22733</v>
      </c>
      <c r="Z40">
        <f>SUM(E40:H40)</f>
        <v>65737</v>
      </c>
      <c r="AA40">
        <f>SUM(I40:L40)</f>
        <v>67091</v>
      </c>
      <c r="AB40">
        <f>SUM(M40:P40)</f>
        <v>109207</v>
      </c>
      <c r="AC40">
        <f>SUM(Q40:T40)</f>
        <v>119103</v>
      </c>
    </row>
    <row r="41" spans="1:54">
      <c r="A41" t="s">
        <v>391</v>
      </c>
      <c r="C41">
        <v>1765</v>
      </c>
      <c r="D41">
        <v>2441</v>
      </c>
      <c r="E41">
        <v>3941</v>
      </c>
      <c r="F41">
        <v>2232</v>
      </c>
      <c r="G41">
        <v>1867</v>
      </c>
      <c r="H41">
        <v>2441</v>
      </c>
      <c r="I41">
        <v>3682</v>
      </c>
      <c r="J41">
        <v>1886</v>
      </c>
      <c r="K41">
        <v>1884</v>
      </c>
      <c r="L41">
        <v>2228</v>
      </c>
      <c r="M41">
        <v>4824</v>
      </c>
      <c r="N41">
        <v>4381</v>
      </c>
      <c r="O41">
        <v>2625</v>
      </c>
      <c r="P41">
        <v>2697</v>
      </c>
      <c r="Q41">
        <v>6611</v>
      </c>
      <c r="R41">
        <v>5129</v>
      </c>
      <c r="S41">
        <v>3624</v>
      </c>
      <c r="T41">
        <v>3936</v>
      </c>
      <c r="U41">
        <v>5625</v>
      </c>
      <c r="V41">
        <v>4222</v>
      </c>
      <c r="W41">
        <v>2852</v>
      </c>
      <c r="Z41">
        <f>SUM(E41:H41)</f>
        <v>10481</v>
      </c>
      <c r="AA41">
        <f>SUM(I41:L41)</f>
        <v>9680</v>
      </c>
      <c r="AB41">
        <f>SUM(M41:P41)</f>
        <v>14527</v>
      </c>
      <c r="AC41">
        <f>SUM(Q41:T41)</f>
        <v>19300</v>
      </c>
    </row>
    <row r="42" spans="1:54">
      <c r="A42" t="s">
        <v>392</v>
      </c>
      <c r="C42">
        <f t="shared" ref="C42:W42" si="25">C40-C41</f>
        <v>11519</v>
      </c>
      <c r="D42">
        <f t="shared" si="25"/>
        <v>13686</v>
      </c>
      <c r="E42">
        <f t="shared" si="25"/>
        <v>19965</v>
      </c>
      <c r="F42">
        <f t="shared" si="25"/>
        <v>11561</v>
      </c>
      <c r="G42">
        <f t="shared" si="25"/>
        <v>10044</v>
      </c>
      <c r="H42">
        <f t="shared" si="25"/>
        <v>13686</v>
      </c>
      <c r="I42">
        <f t="shared" si="25"/>
        <v>22236</v>
      </c>
      <c r="J42">
        <f t="shared" si="25"/>
        <v>11249</v>
      </c>
      <c r="K42">
        <f t="shared" si="25"/>
        <v>11253</v>
      </c>
      <c r="L42">
        <f t="shared" si="25"/>
        <v>12673</v>
      </c>
      <c r="M42">
        <f t="shared" si="25"/>
        <v>28755</v>
      </c>
      <c r="N42">
        <f t="shared" si="25"/>
        <v>23630</v>
      </c>
      <c r="O42">
        <f t="shared" si="25"/>
        <v>21744</v>
      </c>
      <c r="P42">
        <f t="shared" si="25"/>
        <v>20551</v>
      </c>
      <c r="Q42">
        <f t="shared" si="25"/>
        <v>34630</v>
      </c>
      <c r="R42">
        <f t="shared" si="25"/>
        <v>25010</v>
      </c>
      <c r="S42">
        <f t="shared" si="25"/>
        <v>19442</v>
      </c>
      <c r="T42">
        <f t="shared" si="25"/>
        <v>20721</v>
      </c>
      <c r="U42">
        <f t="shared" si="25"/>
        <v>29998</v>
      </c>
      <c r="V42">
        <f t="shared" si="25"/>
        <v>24160</v>
      </c>
      <c r="W42">
        <f t="shared" si="25"/>
        <v>19881</v>
      </c>
    </row>
    <row r="45" spans="1:54">
      <c r="A45" t="s">
        <v>393</v>
      </c>
      <c r="E45">
        <v>3395</v>
      </c>
      <c r="F45">
        <v>6435</v>
      </c>
      <c r="G45">
        <v>9368</v>
      </c>
      <c r="H45">
        <v>12547</v>
      </c>
      <c r="I45">
        <v>2816</v>
      </c>
      <c r="J45">
        <v>5602</v>
      </c>
      <c r="K45">
        <v>8354</v>
      </c>
      <c r="L45">
        <v>11056</v>
      </c>
      <c r="M45">
        <v>2666</v>
      </c>
      <c r="N45">
        <v>5463</v>
      </c>
      <c r="O45">
        <v>8295</v>
      </c>
      <c r="P45">
        <v>11284</v>
      </c>
      <c r="Q45">
        <v>2697</v>
      </c>
      <c r="R45">
        <v>5434</v>
      </c>
      <c r="S45">
        <v>8239</v>
      </c>
      <c r="T45">
        <v>11104</v>
      </c>
      <c r="U45">
        <v>2916</v>
      </c>
      <c r="V45">
        <v>5814</v>
      </c>
      <c r="W45">
        <v>8866</v>
      </c>
    </row>
    <row r="46" spans="1:54">
      <c r="A46" t="s">
        <v>394</v>
      </c>
      <c r="E46">
        <v>1559</v>
      </c>
      <c r="F46">
        <v>3073</v>
      </c>
      <c r="G46">
        <v>4569</v>
      </c>
      <c r="H46">
        <v>6068</v>
      </c>
      <c r="I46">
        <v>1710</v>
      </c>
      <c r="J46">
        <v>3407</v>
      </c>
      <c r="K46">
        <v>5105</v>
      </c>
      <c r="L46">
        <v>6829</v>
      </c>
      <c r="M46">
        <v>2020</v>
      </c>
      <c r="N46">
        <v>4001</v>
      </c>
      <c r="O46">
        <v>5961</v>
      </c>
      <c r="P46">
        <v>7906</v>
      </c>
      <c r="Q46">
        <v>2265</v>
      </c>
      <c r="R46">
        <v>4517</v>
      </c>
      <c r="S46">
        <v>6760</v>
      </c>
      <c r="T46">
        <v>9038</v>
      </c>
      <c r="U46">
        <v>2905</v>
      </c>
      <c r="V46">
        <v>5591</v>
      </c>
      <c r="W46">
        <v>8208</v>
      </c>
    </row>
    <row r="47" spans="1:54">
      <c r="A47" t="s">
        <v>395</v>
      </c>
      <c r="E47">
        <v>1318</v>
      </c>
      <c r="F47">
        <v>1037</v>
      </c>
      <c r="G47">
        <v>2325</v>
      </c>
      <c r="H47">
        <v>2036</v>
      </c>
      <c r="I47">
        <v>1377</v>
      </c>
      <c r="J47">
        <v>1136</v>
      </c>
      <c r="K47">
        <v>2804</v>
      </c>
      <c r="L47">
        <v>2754</v>
      </c>
      <c r="M47">
        <v>2861</v>
      </c>
      <c r="N47">
        <v>3160</v>
      </c>
      <c r="O47">
        <v>5855</v>
      </c>
      <c r="P47">
        <v>6556</v>
      </c>
      <c r="Q47">
        <v>2888</v>
      </c>
      <c r="R47">
        <v>3218</v>
      </c>
      <c r="S47">
        <v>5915</v>
      </c>
      <c r="T47">
        <v>6223</v>
      </c>
      <c r="U47">
        <v>2316</v>
      </c>
      <c r="V47">
        <v>2734</v>
      </c>
      <c r="W47">
        <v>5119</v>
      </c>
    </row>
    <row r="48" spans="1:54">
      <c r="A48" t="s">
        <v>117</v>
      </c>
      <c r="E48">
        <v>3355</v>
      </c>
      <c r="F48">
        <v>5718</v>
      </c>
      <c r="G48">
        <v>7718</v>
      </c>
      <c r="H48">
        <v>10495</v>
      </c>
      <c r="I48">
        <v>2107</v>
      </c>
      <c r="J48">
        <v>3960</v>
      </c>
      <c r="K48">
        <v>5525</v>
      </c>
      <c r="L48">
        <v>7309</v>
      </c>
      <c r="M48">
        <v>3500</v>
      </c>
      <c r="N48">
        <v>5769</v>
      </c>
      <c r="O48">
        <v>7862</v>
      </c>
      <c r="P48">
        <v>11085</v>
      </c>
      <c r="Q48">
        <v>2803</v>
      </c>
      <c r="R48">
        <v>5317</v>
      </c>
      <c r="S48">
        <v>7419</v>
      </c>
      <c r="T48">
        <v>10708</v>
      </c>
      <c r="U48">
        <v>3787</v>
      </c>
      <c r="V48">
        <v>6703</v>
      </c>
      <c r="W48">
        <v>8796</v>
      </c>
    </row>
    <row r="49" spans="1:29">
      <c r="A49" t="s">
        <v>396</v>
      </c>
      <c r="E49">
        <v>3568</v>
      </c>
      <c r="F49">
        <v>7011</v>
      </c>
      <c r="G49">
        <v>10640</v>
      </c>
      <c r="H49">
        <v>14119</v>
      </c>
      <c r="I49">
        <v>3539</v>
      </c>
      <c r="J49">
        <v>6914</v>
      </c>
      <c r="K49">
        <v>10570</v>
      </c>
      <c r="L49">
        <v>14081</v>
      </c>
      <c r="M49">
        <v>3613</v>
      </c>
      <c r="N49">
        <v>7060</v>
      </c>
      <c r="O49">
        <v>10827</v>
      </c>
      <c r="P49">
        <v>14467</v>
      </c>
      <c r="Q49">
        <v>3732</v>
      </c>
      <c r="R49">
        <v>7327</v>
      </c>
      <c r="S49">
        <v>11138</v>
      </c>
      <c r="T49">
        <v>14841</v>
      </c>
      <c r="U49">
        <v>3768</v>
      </c>
      <c r="V49">
        <v>7418</v>
      </c>
      <c r="W49">
        <v>11267</v>
      </c>
    </row>
    <row r="50" spans="1:29">
      <c r="A50" t="s">
        <v>397</v>
      </c>
      <c r="E50">
        <v>8796</v>
      </c>
      <c r="F50">
        <v>32498</v>
      </c>
      <c r="G50">
        <v>49463</v>
      </c>
      <c r="H50">
        <v>66897</v>
      </c>
      <c r="I50">
        <v>20706</v>
      </c>
      <c r="J50">
        <v>39280</v>
      </c>
      <c r="K50">
        <v>55171</v>
      </c>
      <c r="L50">
        <v>72358</v>
      </c>
      <c r="M50">
        <v>24775</v>
      </c>
      <c r="N50">
        <v>43323</v>
      </c>
      <c r="O50">
        <v>66223</v>
      </c>
      <c r="P50">
        <v>85971</v>
      </c>
      <c r="Q50">
        <v>20478</v>
      </c>
      <c r="R50">
        <v>43109</v>
      </c>
      <c r="S50">
        <v>64974</v>
      </c>
      <c r="T50">
        <v>89402</v>
      </c>
      <c r="U50">
        <v>19475</v>
      </c>
      <c r="V50">
        <v>39069</v>
      </c>
      <c r="W50">
        <v>56547</v>
      </c>
    </row>
    <row r="52" spans="1:29">
      <c r="A52" t="s">
        <v>393</v>
      </c>
      <c r="E52">
        <f>E45</f>
        <v>3395</v>
      </c>
      <c r="F52">
        <f t="shared" ref="F52" si="26">F45-E45</f>
        <v>3040</v>
      </c>
      <c r="G52">
        <f t="shared" ref="G52" si="27">G45-F45</f>
        <v>2933</v>
      </c>
      <c r="H52">
        <f t="shared" ref="H52" si="28">H45-G45</f>
        <v>3179</v>
      </c>
      <c r="I52">
        <f>I45</f>
        <v>2816</v>
      </c>
      <c r="J52">
        <f t="shared" ref="J52:K52" si="29">J45-I45</f>
        <v>2786</v>
      </c>
      <c r="K52">
        <f t="shared" si="29"/>
        <v>2752</v>
      </c>
      <c r="L52">
        <f>L45-K45</f>
        <v>2702</v>
      </c>
      <c r="M52">
        <f>M45</f>
        <v>2666</v>
      </c>
      <c r="N52">
        <f>N45-M45</f>
        <v>2797</v>
      </c>
      <c r="O52">
        <f>O45-N45</f>
        <v>2832</v>
      </c>
      <c r="P52">
        <f>P45-O45</f>
        <v>2989</v>
      </c>
      <c r="Q52">
        <f>Q45</f>
        <v>2697</v>
      </c>
      <c r="R52">
        <f>R45-Q45</f>
        <v>2737</v>
      </c>
      <c r="S52">
        <f>S45-R45</f>
        <v>2805</v>
      </c>
      <c r="T52">
        <f>T45-S45</f>
        <v>2865</v>
      </c>
      <c r="U52">
        <f>U45</f>
        <v>2916</v>
      </c>
      <c r="V52">
        <f>V45-U45</f>
        <v>2898</v>
      </c>
      <c r="W52">
        <f>W45-V45</f>
        <v>3052</v>
      </c>
      <c r="X52">
        <v>3262</v>
      </c>
      <c r="Z52">
        <f>SUM(E52:H52)</f>
        <v>12547</v>
      </c>
      <c r="AA52">
        <f>SUM(I52:L52)</f>
        <v>11056</v>
      </c>
      <c r="AB52">
        <f>SUM(M52:P52)</f>
        <v>11284</v>
      </c>
      <c r="AC52">
        <f>SUM(Q52:T52)</f>
        <v>11104</v>
      </c>
    </row>
    <row r="53" spans="1:29">
      <c r="A53" t="s">
        <v>394</v>
      </c>
      <c r="E53">
        <f t="shared" ref="E53:E57" si="30">E46</f>
        <v>1559</v>
      </c>
      <c r="F53">
        <f t="shared" ref="F53" si="31">F46-E46</f>
        <v>1514</v>
      </c>
      <c r="G53">
        <f t="shared" ref="G53" si="32">G46-F46</f>
        <v>1496</v>
      </c>
      <c r="H53">
        <f t="shared" ref="H53" si="33">H46-G46</f>
        <v>1499</v>
      </c>
      <c r="I53">
        <f t="shared" ref="I53:I57" si="34">I46</f>
        <v>1710</v>
      </c>
      <c r="J53">
        <f t="shared" ref="J53:L57" si="35">J46-I46</f>
        <v>1697</v>
      </c>
      <c r="K53">
        <f t="shared" si="35"/>
        <v>1698</v>
      </c>
      <c r="L53">
        <f t="shared" si="35"/>
        <v>1724</v>
      </c>
      <c r="M53">
        <f t="shared" ref="M53:M57" si="36">M46</f>
        <v>2020</v>
      </c>
      <c r="N53">
        <f t="shared" ref="N53:P53" si="37">N46-M46</f>
        <v>1981</v>
      </c>
      <c r="O53">
        <f t="shared" si="37"/>
        <v>1960</v>
      </c>
      <c r="P53">
        <f t="shared" si="37"/>
        <v>1945</v>
      </c>
      <c r="Q53">
        <f t="shared" ref="Q53:Q57" si="38">Q46</f>
        <v>2265</v>
      </c>
      <c r="R53">
        <f t="shared" ref="R53:T53" si="39">R46-Q46</f>
        <v>2252</v>
      </c>
      <c r="S53">
        <f t="shared" si="39"/>
        <v>2243</v>
      </c>
      <c r="T53">
        <f t="shared" si="39"/>
        <v>2278</v>
      </c>
      <c r="U53">
        <f t="shared" ref="U53:U57" si="40">U46</f>
        <v>2905</v>
      </c>
      <c r="V53">
        <f t="shared" ref="V53:W53" si="41">V46-U46</f>
        <v>2686</v>
      </c>
      <c r="W53">
        <f t="shared" si="41"/>
        <v>2617</v>
      </c>
      <c r="Z53">
        <f t="shared" ref="Z53:Z57" si="42">SUM(E53:H53)</f>
        <v>6068</v>
      </c>
      <c r="AA53">
        <f t="shared" ref="AA53:AA57" si="43">SUM(I53:L53)</f>
        <v>6829</v>
      </c>
      <c r="AB53">
        <f t="shared" ref="AB53:AB57" si="44">SUM(M53:P53)</f>
        <v>7906</v>
      </c>
      <c r="AC53">
        <f t="shared" ref="AC53:AC57" si="45">SUM(Q53:T53)</f>
        <v>9038</v>
      </c>
    </row>
    <row r="54" spans="1:29">
      <c r="A54" t="s">
        <v>395</v>
      </c>
      <c r="E54">
        <f t="shared" si="30"/>
        <v>1318</v>
      </c>
      <c r="F54">
        <f t="shared" ref="F54" si="46">F47-E47</f>
        <v>-281</v>
      </c>
      <c r="G54">
        <f t="shared" ref="G54" si="47">G47-F47</f>
        <v>1288</v>
      </c>
      <c r="H54">
        <f t="shared" ref="H54" si="48">H47-G47</f>
        <v>-289</v>
      </c>
      <c r="I54">
        <f t="shared" si="34"/>
        <v>1377</v>
      </c>
      <c r="J54">
        <f t="shared" si="35"/>
        <v>-241</v>
      </c>
      <c r="K54">
        <f t="shared" si="35"/>
        <v>1668</v>
      </c>
      <c r="L54">
        <f t="shared" si="35"/>
        <v>-50</v>
      </c>
      <c r="M54">
        <f t="shared" si="36"/>
        <v>2861</v>
      </c>
      <c r="N54">
        <f t="shared" ref="N54:P54" si="49">N47-M47</f>
        <v>299</v>
      </c>
      <c r="O54">
        <f t="shared" si="49"/>
        <v>2695</v>
      </c>
      <c r="P54">
        <f t="shared" si="49"/>
        <v>701</v>
      </c>
      <c r="Q54">
        <f t="shared" si="38"/>
        <v>2888</v>
      </c>
      <c r="R54">
        <f t="shared" ref="R54:T54" si="50">R47-Q47</f>
        <v>330</v>
      </c>
      <c r="S54">
        <f t="shared" si="50"/>
        <v>2697</v>
      </c>
      <c r="T54">
        <f t="shared" si="50"/>
        <v>308</v>
      </c>
      <c r="U54">
        <f t="shared" si="40"/>
        <v>2316</v>
      </c>
      <c r="V54">
        <f t="shared" ref="V54:W54" si="51">V47-U47</f>
        <v>418</v>
      </c>
      <c r="W54">
        <f t="shared" si="51"/>
        <v>2385</v>
      </c>
      <c r="Z54">
        <f t="shared" si="42"/>
        <v>2036</v>
      </c>
      <c r="AA54">
        <f t="shared" si="43"/>
        <v>2754</v>
      </c>
      <c r="AB54">
        <f t="shared" si="44"/>
        <v>6556</v>
      </c>
      <c r="AC54">
        <f t="shared" si="45"/>
        <v>6223</v>
      </c>
    </row>
    <row r="55" spans="1:29">
      <c r="A55" t="s">
        <v>117</v>
      </c>
      <c r="E55">
        <f t="shared" si="30"/>
        <v>3355</v>
      </c>
      <c r="F55">
        <f t="shared" ref="F55" si="52">F48-E48</f>
        <v>2363</v>
      </c>
      <c r="G55">
        <f t="shared" ref="G55" si="53">G48-F48</f>
        <v>2000</v>
      </c>
      <c r="H55">
        <f t="shared" ref="H55" si="54">H48-G48</f>
        <v>2777</v>
      </c>
      <c r="I55">
        <f t="shared" si="34"/>
        <v>2107</v>
      </c>
      <c r="J55">
        <f t="shared" si="35"/>
        <v>1853</v>
      </c>
      <c r="K55">
        <f t="shared" si="35"/>
        <v>1565</v>
      </c>
      <c r="L55">
        <f t="shared" si="35"/>
        <v>1784</v>
      </c>
      <c r="M55">
        <f t="shared" si="36"/>
        <v>3500</v>
      </c>
      <c r="N55">
        <f t="shared" ref="N55:P55" si="55">N48-M48</f>
        <v>2269</v>
      </c>
      <c r="O55">
        <f t="shared" si="55"/>
        <v>2093</v>
      </c>
      <c r="P55">
        <f t="shared" si="55"/>
        <v>3223</v>
      </c>
      <c r="Q55">
        <f t="shared" si="38"/>
        <v>2803</v>
      </c>
      <c r="R55">
        <f t="shared" ref="R55:T55" si="56">R48-Q48</f>
        <v>2514</v>
      </c>
      <c r="S55">
        <f t="shared" si="56"/>
        <v>2102</v>
      </c>
      <c r="T55">
        <f t="shared" si="56"/>
        <v>3289</v>
      </c>
      <c r="U55">
        <f t="shared" si="40"/>
        <v>3787</v>
      </c>
      <c r="V55">
        <f t="shared" ref="V55:W55" si="57">V48-U48</f>
        <v>2916</v>
      </c>
      <c r="W55">
        <f t="shared" si="57"/>
        <v>2093</v>
      </c>
      <c r="Z55">
        <f t="shared" si="42"/>
        <v>10495</v>
      </c>
      <c r="AA55">
        <f t="shared" si="43"/>
        <v>7309</v>
      </c>
      <c r="AB55">
        <f t="shared" si="44"/>
        <v>11085</v>
      </c>
      <c r="AC55">
        <f t="shared" si="45"/>
        <v>10708</v>
      </c>
    </row>
    <row r="56" spans="1:29">
      <c r="A56" t="s">
        <v>396</v>
      </c>
      <c r="E56">
        <f t="shared" si="30"/>
        <v>3568</v>
      </c>
      <c r="F56">
        <f t="shared" ref="F56" si="58">F49-E49</f>
        <v>3443</v>
      </c>
      <c r="G56">
        <f t="shared" ref="G56" si="59">G49-F49</f>
        <v>3629</v>
      </c>
      <c r="H56">
        <f t="shared" ref="H56" si="60">H49-G49</f>
        <v>3479</v>
      </c>
      <c r="I56">
        <f t="shared" si="34"/>
        <v>3539</v>
      </c>
      <c r="J56">
        <f t="shared" si="35"/>
        <v>3375</v>
      </c>
      <c r="K56">
        <f t="shared" si="35"/>
        <v>3656</v>
      </c>
      <c r="L56">
        <f t="shared" si="35"/>
        <v>3511</v>
      </c>
      <c r="M56">
        <f t="shared" si="36"/>
        <v>3613</v>
      </c>
      <c r="N56">
        <f t="shared" ref="N56:P56" si="61">N49-M49</f>
        <v>3447</v>
      </c>
      <c r="O56">
        <f t="shared" si="61"/>
        <v>3767</v>
      </c>
      <c r="P56">
        <f t="shared" si="61"/>
        <v>3640</v>
      </c>
      <c r="Q56">
        <f t="shared" si="38"/>
        <v>3732</v>
      </c>
      <c r="R56">
        <f t="shared" ref="R56:T56" si="62">R49-Q49</f>
        <v>3595</v>
      </c>
      <c r="S56">
        <f t="shared" si="62"/>
        <v>3811</v>
      </c>
      <c r="T56">
        <f t="shared" si="62"/>
        <v>3703</v>
      </c>
      <c r="U56">
        <f t="shared" si="40"/>
        <v>3768</v>
      </c>
      <c r="V56">
        <f t="shared" ref="V56:W56" si="63">V49-U49</f>
        <v>3650</v>
      </c>
      <c r="W56">
        <f t="shared" si="63"/>
        <v>3849</v>
      </c>
      <c r="Z56">
        <f t="shared" si="42"/>
        <v>14119</v>
      </c>
      <c r="AA56">
        <f t="shared" si="43"/>
        <v>14081</v>
      </c>
      <c r="AB56">
        <f t="shared" si="44"/>
        <v>14467</v>
      </c>
      <c r="AC56">
        <f t="shared" si="45"/>
        <v>14841</v>
      </c>
    </row>
    <row r="57" spans="1:29">
      <c r="A57" t="s">
        <v>397</v>
      </c>
      <c r="E57">
        <f t="shared" si="30"/>
        <v>8796</v>
      </c>
      <c r="F57">
        <f t="shared" ref="F57" si="64">F50-E50</f>
        <v>23702</v>
      </c>
      <c r="G57">
        <f t="shared" ref="G57" si="65">G50-F50</f>
        <v>16965</v>
      </c>
      <c r="H57">
        <f t="shared" ref="H57" si="66">H50-G50</f>
        <v>17434</v>
      </c>
      <c r="I57">
        <f t="shared" si="34"/>
        <v>20706</v>
      </c>
      <c r="J57">
        <f>J50-I50</f>
        <v>18574</v>
      </c>
      <c r="K57">
        <f t="shared" si="35"/>
        <v>15891</v>
      </c>
      <c r="L57">
        <f t="shared" si="35"/>
        <v>17187</v>
      </c>
      <c r="M57">
        <f t="shared" si="36"/>
        <v>24775</v>
      </c>
      <c r="N57">
        <f t="shared" ref="N57:P57" si="67">N50-M50</f>
        <v>18548</v>
      </c>
      <c r="O57">
        <f t="shared" si="67"/>
        <v>22900</v>
      </c>
      <c r="P57">
        <f t="shared" si="67"/>
        <v>19748</v>
      </c>
      <c r="Q57">
        <f t="shared" si="38"/>
        <v>20478</v>
      </c>
      <c r="R57">
        <f t="shared" ref="R57:T57" si="68">R50-Q50</f>
        <v>22631</v>
      </c>
      <c r="S57">
        <f t="shared" si="68"/>
        <v>21865</v>
      </c>
      <c r="T57">
        <f t="shared" si="68"/>
        <v>24428</v>
      </c>
      <c r="U57">
        <f t="shared" si="40"/>
        <v>19475</v>
      </c>
      <c r="V57">
        <f t="shared" ref="V57:W57" si="69">V50-U50</f>
        <v>19594</v>
      </c>
      <c r="W57">
        <f t="shared" si="69"/>
        <v>17478</v>
      </c>
      <c r="Z57">
        <f t="shared" si="42"/>
        <v>66897</v>
      </c>
      <c r="AA57">
        <f t="shared" si="43"/>
        <v>72358</v>
      </c>
      <c r="AB57">
        <f t="shared" si="44"/>
        <v>85971</v>
      </c>
      <c r="AC57">
        <f t="shared" si="45"/>
        <v>89402</v>
      </c>
    </row>
    <row r="63" spans="1:29">
      <c r="J63">
        <v>-1</v>
      </c>
    </row>
  </sheetData>
  <phoneticPr fontId="6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2B2F-25DC-4F01-AF32-D864F8B16945}">
  <dimension ref="A1:AO3"/>
  <sheetViews>
    <sheetView workbookViewId="0"/>
  </sheetViews>
  <sheetFormatPr defaultColWidth="11.453125" defaultRowHeight="12.5"/>
  <sheetData>
    <row r="1" spans="1:41">
      <c r="A1" s="247">
        <f>Cifras_Originales!C12</f>
        <v>80.325999999999993</v>
      </c>
      <c r="B1" s="247">
        <f>Cifras_Originales!D12</f>
        <v>43.344999999999999</v>
      </c>
      <c r="C1" s="247">
        <f>Cifras_Originales!E12</f>
        <v>48.877000000000002</v>
      </c>
      <c r="D1" s="247">
        <f>Cifras_Originales!F12</f>
        <v>-10.534000000000001</v>
      </c>
      <c r="E1" s="247">
        <f>Cifras_Originales!G12</f>
        <v>22.443999999999999</v>
      </c>
      <c r="F1" s="247">
        <f>Cifras_Originales!H12</f>
        <v>31.663</v>
      </c>
      <c r="G1" s="247">
        <f>Cifras_Originales!I12</f>
        <v>12.946999999999999</v>
      </c>
      <c r="H1" s="247">
        <f>Cifras_Originales!J12</f>
        <v>-24.672000000000001</v>
      </c>
      <c r="I1" s="247">
        <f>Cifras_Originales!K12</f>
        <v>-12.666</v>
      </c>
      <c r="J1" s="247">
        <f>Cifras_Originales!L12</f>
        <v>-10.912000000000001</v>
      </c>
      <c r="K1" s="247">
        <f>Cifras_Originales!M12</f>
        <v>0</v>
      </c>
      <c r="L1" s="247" t="s">
        <v>483</v>
      </c>
      <c r="M1" s="247" t="s">
        <v>484</v>
      </c>
      <c r="N1" s="247" t="s">
        <v>485</v>
      </c>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row>
    <row r="2" spans="1:41">
      <c r="A2" s="16">
        <f>Cifras_Originales!C6</f>
        <v>619.70000000000005</v>
      </c>
      <c r="B2" s="16">
        <f>Cifras_Originales!D6</f>
        <v>577.1</v>
      </c>
      <c r="C2" s="16">
        <f>Cifras_Originales!E6</f>
        <v>468.4</v>
      </c>
      <c r="D2" s="16">
        <f>Cifras_Originales!F6</f>
        <v>221.6</v>
      </c>
      <c r="E2" s="16">
        <f>Cifras_Originales!G6</f>
        <v>156.4</v>
      </c>
      <c r="F2" s="16">
        <f>Cifras_Originales!H6</f>
        <v>124.6</v>
      </c>
      <c r="G2" s="16">
        <f>Cifras_Originales!I6</f>
        <v>155.5</v>
      </c>
      <c r="H2" s="16">
        <f>Cifras_Originales!J6</f>
        <v>278.2</v>
      </c>
      <c r="I2" s="16">
        <f>Cifras_Originales!K6</f>
        <v>248.4</v>
      </c>
      <c r="J2" s="16">
        <f>Cifras_Originales!L6</f>
        <v>125.3</v>
      </c>
      <c r="K2" s="16">
        <f>Cifras_Originales!M6</f>
        <v>83.4</v>
      </c>
    </row>
    <row r="3" spans="1:41">
      <c r="A3" s="463">
        <f t="shared" ref="A3:K3" si="0">A1/A2</f>
        <v>0.12962078425044374</v>
      </c>
      <c r="B3" s="463">
        <f t="shared" si="0"/>
        <v>7.5108300121296129E-2</v>
      </c>
      <c r="C3" s="463">
        <f t="shared" si="0"/>
        <v>0.10434884713919727</v>
      </c>
      <c r="D3" s="463">
        <f t="shared" si="0"/>
        <v>-4.7536101083032495E-2</v>
      </c>
      <c r="E3" s="463">
        <f t="shared" si="0"/>
        <v>0.14350383631713554</v>
      </c>
      <c r="F3" s="463">
        <f t="shared" si="0"/>
        <v>0.25411717495987163</v>
      </c>
      <c r="G3" s="463">
        <f t="shared" si="0"/>
        <v>8.3260450160771701E-2</v>
      </c>
      <c r="H3" s="463">
        <f t="shared" si="0"/>
        <v>-8.8684399712437106E-2</v>
      </c>
      <c r="I3" s="463">
        <f t="shared" si="0"/>
        <v>-5.0990338164251206E-2</v>
      </c>
      <c r="J3" s="463">
        <f t="shared" si="0"/>
        <v>-8.7086991221069443E-2</v>
      </c>
      <c r="K3" s="463">
        <f t="shared" si="0"/>
        <v>0</v>
      </c>
      <c r="L3" s="464">
        <f>AVERAGE(A3:K3)</f>
        <v>4.6878323887993241E-2</v>
      </c>
      <c r="M3" s="464">
        <f>AVERAGE(A3:E3)</f>
        <v>8.1009133349008042E-2</v>
      </c>
      <c r="N3" s="464">
        <f>AVERAGE(A3:C3)</f>
        <v>0.10302597717031238</v>
      </c>
    </row>
  </sheetData>
  <phoneticPr fontId="8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95F15-C902-4F29-BCC3-173A7BFB5290}">
  <ds:schemaRefs>
    <ds:schemaRef ds:uri="8c89d0e4-a8d9-42ba-a773-c59a56f7723e"/>
    <ds:schemaRef ds:uri="http://schemas.microsoft.com/office/2006/documentManagement/types"/>
    <ds:schemaRef ds:uri="http://purl.org/dc/elements/1.1/"/>
    <ds:schemaRef ds:uri="http://purl.org/dc/dcmitype/"/>
    <ds:schemaRef ds:uri="http://schemas.openxmlformats.org/package/2006/metadata/core-properties"/>
    <ds:schemaRef ds:uri="6ba73c8a-1af7-4183-b158-1cd1291da2b6"/>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6206C075-38B2-4794-9284-163FF9CCDD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FB3ED4-AE09-4A5F-AFD9-51C7AB8401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OP</vt:lpstr>
      <vt:lpstr>COVID-19 impact</vt:lpstr>
      <vt:lpstr>Segments</vt:lpstr>
      <vt:lpstr>Peers</vt:lpstr>
      <vt:lpstr>Acuerdo</vt:lpstr>
      <vt:lpstr>ESG</vt:lpstr>
      <vt:lpstr>DCF</vt:lpstr>
      <vt:lpstr>DCFF</vt:lpstr>
      <vt:lpstr>Cifras_en_Millones</vt:lpstr>
      <vt:lpstr>Cifras_Originales</vt:lpstr>
      <vt:lpstr>Q</vt:lpstr>
      <vt:lpstr>Folha1</vt:lpstr>
      <vt:lpstr>Cifras_en_Millones!Área_de_Impressão</vt:lpstr>
      <vt:lpstr>Cifras_en_Millones!Print_Area</vt:lpstr>
      <vt:lpstr>OP!Print_Area</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Jorge Daniel Vieira Freitas</cp:lastModifiedBy>
  <cp:lastPrinted>2019-08-19T22:45:59Z</cp:lastPrinted>
  <dcterms:created xsi:type="dcterms:W3CDTF">2000-04-19T14:51:26Z</dcterms:created>
  <dcterms:modified xsi:type="dcterms:W3CDTF">2025-04-15T12:59:32Z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