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omments5.xml" ContentType="application/vnd.openxmlformats-officedocument.spreadsheetml.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24-25/1st cycle/Team 1 (Jorge Freitas)/"/>
    </mc:Choice>
  </mc:AlternateContent>
  <xr:revisionPtr revIDLastSave="13173" documentId="109_{E3A9A622-4DE4-4476-89EA-9F85F6D2218B}" xr6:coauthVersionLast="47" xr6:coauthVersionMax="47" xr10:uidLastSave="{A780F848-4A3E-4610-9C17-BBBE57C118C7}"/>
  <bookViews>
    <workbookView xWindow="-110" yWindow="-110" windowWidth="19420" windowHeight="10300" tabRatio="644" firstSheet="6" activeTab="6" xr2:uid="{00000000-000D-0000-FFFF-FFFF00000000}"/>
  </bookViews>
  <sheets>
    <sheet name="OP" sheetId="1" r:id="rId1"/>
    <sheet name="Segments" sheetId="3" r:id="rId2"/>
    <sheet name="Peers" sheetId="10" r:id="rId3"/>
    <sheet name="Acuerdo" sheetId="11" state="hidden" r:id="rId4"/>
    <sheet name="ESG" sheetId="19" r:id="rId5"/>
    <sheet name="DCF" sheetId="4" r:id="rId6"/>
    <sheet name="Assumptions" sheetId="22" r:id="rId7"/>
    <sheet name="Fin. Data" sheetId="16" r:id="rId8"/>
    <sheet name="Inputs" sheetId="17" r:id="rId9"/>
    <sheet name="Sector Impact" sheetId="18" state="hidden" r:id="rId10"/>
  </sheets>
  <externalReferences>
    <externalReference r:id="rId11"/>
  </externalReferences>
  <definedNames>
    <definedName name="_xlnm.Print_Area" localSheetId="0">OP!$A$1:$M$82</definedName>
    <definedName name="_xlnm.Print_Area" localSheetId="1">Segments!#REF!</definedName>
    <definedName name="Sectors" localSheetId="6">'[1]Sector Impact'!$K$4:$K$16</definedName>
    <definedName name="Sectors">'Sector Impact'!$K$4:$K$16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4" l="1"/>
  <c r="G49" i="10"/>
  <c r="F49" i="10"/>
  <c r="D11" i="10"/>
  <c r="E11" i="10"/>
  <c r="G79" i="10"/>
  <c r="G77" i="10"/>
  <c r="G76" i="10"/>
  <c r="G75" i="10"/>
  <c r="G74" i="10"/>
  <c r="G73" i="10"/>
  <c r="G72" i="10"/>
  <c r="G71" i="10"/>
  <c r="G70" i="10"/>
  <c r="G69" i="10"/>
  <c r="G68" i="10"/>
  <c r="G65" i="10"/>
  <c r="G64" i="10"/>
  <c r="G63" i="10"/>
  <c r="G62" i="10"/>
  <c r="G61" i="10"/>
  <c r="G60" i="10"/>
  <c r="G59" i="10"/>
  <c r="G11" i="10" s="1"/>
  <c r="G58" i="10"/>
  <c r="G57" i="10"/>
  <c r="F79" i="10"/>
  <c r="F77" i="10"/>
  <c r="F76" i="10"/>
  <c r="F75" i="10"/>
  <c r="F74" i="10"/>
  <c r="F73" i="10"/>
  <c r="F72" i="10"/>
  <c r="F71" i="10"/>
  <c r="F70" i="10"/>
  <c r="F69" i="10"/>
  <c r="F68" i="10"/>
  <c r="F65" i="10"/>
  <c r="F64" i="10"/>
  <c r="F63" i="10"/>
  <c r="F62" i="10"/>
  <c r="F61" i="10"/>
  <c r="F60" i="10"/>
  <c r="F59" i="10"/>
  <c r="F11" i="10" s="1"/>
  <c r="F58" i="10"/>
  <c r="F57" i="10"/>
  <c r="E49" i="10"/>
  <c r="D49" i="10"/>
  <c r="G7" i="4" l="1"/>
  <c r="H7" i="4"/>
  <c r="I7" i="4"/>
  <c r="J7" i="4"/>
  <c r="K7" i="4"/>
  <c r="L7" i="4"/>
  <c r="M7" i="4"/>
  <c r="N7" i="4"/>
  <c r="O7" i="4"/>
  <c r="P7" i="4"/>
  <c r="Q7" i="4"/>
  <c r="R7" i="4"/>
  <c r="S7" i="4"/>
  <c r="T7" i="4"/>
  <c r="U7" i="4"/>
  <c r="V7" i="4"/>
  <c r="W7" i="4"/>
  <c r="X7" i="4"/>
  <c r="Y7" i="4"/>
  <c r="Z7" i="4"/>
  <c r="AA7" i="4"/>
  <c r="AB7" i="4"/>
  <c r="AC7" i="4"/>
  <c r="AD7" i="4"/>
  <c r="AE7" i="4"/>
  <c r="AF7" i="4"/>
  <c r="H290" i="22"/>
  <c r="C287" i="22"/>
  <c r="G44" i="4" s="1"/>
  <c r="I290" i="22"/>
  <c r="J290" i="22"/>
  <c r="K290" i="22"/>
  <c r="L290" i="22"/>
  <c r="M290" i="22"/>
  <c r="N290" i="22"/>
  <c r="O290" i="22"/>
  <c r="P290" i="22"/>
  <c r="Q290" i="22"/>
  <c r="R290" i="22"/>
  <c r="S290" i="22"/>
  <c r="T290" i="22"/>
  <c r="U290" i="22"/>
  <c r="V290" i="22"/>
  <c r="W290" i="22"/>
  <c r="X290" i="22"/>
  <c r="Y290" i="22"/>
  <c r="Z290" i="22"/>
  <c r="AA290" i="22"/>
  <c r="AB290" i="22"/>
  <c r="E286" i="22"/>
  <c r="F286" i="22" s="1"/>
  <c r="G286" i="22" s="1"/>
  <c r="H286" i="22" s="1"/>
  <c r="I286" i="22" s="1"/>
  <c r="J286" i="22" s="1"/>
  <c r="K286" i="22" s="1"/>
  <c r="L286" i="22" s="1"/>
  <c r="M286" i="22" s="1"/>
  <c r="N286" i="22" s="1"/>
  <c r="O286" i="22" s="1"/>
  <c r="P286" i="22" s="1"/>
  <c r="Q286" i="22" s="1"/>
  <c r="R286" i="22" s="1"/>
  <c r="S286" i="22" s="1"/>
  <c r="T286" i="22" s="1"/>
  <c r="U286" i="22" s="1"/>
  <c r="V286" i="22" s="1"/>
  <c r="W286" i="22" s="1"/>
  <c r="X286" i="22" s="1"/>
  <c r="Y286" i="22" s="1"/>
  <c r="Z286" i="22" s="1"/>
  <c r="AA286" i="22" s="1"/>
  <c r="AB286" i="22" s="1"/>
  <c r="D23" i="22"/>
  <c r="D287" i="22" l="1"/>
  <c r="E287" i="22" s="1"/>
  <c r="F287" i="22" s="1"/>
  <c r="G287" i="22" s="1"/>
  <c r="E65" i="4"/>
  <c r="J44" i="4" l="1"/>
  <c r="K44" i="4"/>
  <c r="H287" i="22"/>
  <c r="I287" i="22" l="1"/>
  <c r="L44" i="4"/>
  <c r="D277" i="22"/>
  <c r="E277" i="22"/>
  <c r="F277" i="22"/>
  <c r="G277" i="22"/>
  <c r="H277" i="22"/>
  <c r="I277" i="22"/>
  <c r="J277" i="22"/>
  <c r="K277" i="22"/>
  <c r="L277" i="22"/>
  <c r="M277" i="22"/>
  <c r="N277" i="22"/>
  <c r="C277" i="22"/>
  <c r="B62" i="17"/>
  <c r="F46" i="17"/>
  <c r="Q4" i="19"/>
  <c r="D8" i="10"/>
  <c r="D83" i="10" s="1"/>
  <c r="E8" i="10"/>
  <c r="F8" i="10"/>
  <c r="G8" i="10"/>
  <c r="I9" i="10"/>
  <c r="I12" i="10"/>
  <c r="D13" i="10"/>
  <c r="E13" i="10"/>
  <c r="F13" i="10"/>
  <c r="G13" i="10"/>
  <c r="D14" i="10"/>
  <c r="E14" i="10"/>
  <c r="F14" i="10"/>
  <c r="G14" i="10"/>
  <c r="D15" i="10"/>
  <c r="E15" i="10"/>
  <c r="F15" i="10"/>
  <c r="G15" i="10"/>
  <c r="D16" i="10"/>
  <c r="E16" i="10"/>
  <c r="F16" i="10"/>
  <c r="G16" i="10"/>
  <c r="D17" i="10"/>
  <c r="E17" i="10"/>
  <c r="F17" i="10"/>
  <c r="G17" i="10"/>
  <c r="D18" i="10"/>
  <c r="E18" i="10"/>
  <c r="F18" i="10"/>
  <c r="G18" i="10"/>
  <c r="I19" i="10"/>
  <c r="D20" i="10"/>
  <c r="E20" i="10"/>
  <c r="F20" i="10"/>
  <c r="G20" i="10"/>
  <c r="D21" i="10"/>
  <c r="E21" i="10"/>
  <c r="F21" i="10"/>
  <c r="G21" i="10"/>
  <c r="D22" i="10"/>
  <c r="E22" i="10"/>
  <c r="F22" i="10"/>
  <c r="G22" i="10"/>
  <c r="D24" i="10"/>
  <c r="E24" i="10"/>
  <c r="F24" i="10"/>
  <c r="G24" i="10"/>
  <c r="D25" i="10"/>
  <c r="E25" i="10"/>
  <c r="F25" i="10"/>
  <c r="G25" i="10"/>
  <c r="I26" i="10"/>
  <c r="D27" i="10"/>
  <c r="E27" i="10"/>
  <c r="F27" i="10"/>
  <c r="G27" i="10"/>
  <c r="D28" i="10"/>
  <c r="E28" i="10"/>
  <c r="F28" i="10"/>
  <c r="G28" i="10"/>
  <c r="D29" i="10"/>
  <c r="E29" i="10"/>
  <c r="F29" i="10"/>
  <c r="G29" i="10"/>
  <c r="D30" i="10"/>
  <c r="E30" i="10"/>
  <c r="F30" i="10"/>
  <c r="G30" i="10"/>
  <c r="D31" i="10"/>
  <c r="E31" i="10"/>
  <c r="F31" i="10"/>
  <c r="G31" i="10"/>
  <c r="I32" i="10"/>
  <c r="I38" i="10"/>
  <c r="I43" i="10"/>
  <c r="J43" i="10" s="1"/>
  <c r="I44" i="10"/>
  <c r="J44" i="10" s="1"/>
  <c r="I46" i="10"/>
  <c r="J46" i="10" s="1"/>
  <c r="I48" i="10"/>
  <c r="C49" i="10"/>
  <c r="I49" i="10" s="1"/>
  <c r="D50" i="10"/>
  <c r="E50" i="10"/>
  <c r="F50" i="10"/>
  <c r="G50" i="10"/>
  <c r="I51" i="10"/>
  <c r="D52" i="10"/>
  <c r="E52" i="10"/>
  <c r="F52" i="10"/>
  <c r="G52" i="10"/>
  <c r="D53" i="10"/>
  <c r="E53" i="10"/>
  <c r="F53" i="10"/>
  <c r="G53" i="10"/>
  <c r="H177" i="22"/>
  <c r="I177" i="22" s="1"/>
  <c r="J177" i="22" s="1"/>
  <c r="K177" i="22" s="1"/>
  <c r="L177" i="22" s="1"/>
  <c r="M177" i="22" s="1"/>
  <c r="N177" i="22" s="1"/>
  <c r="O177" i="22" s="1"/>
  <c r="P177" i="22" s="1"/>
  <c r="Q177" i="22" s="1"/>
  <c r="R177" i="22" s="1"/>
  <c r="S177" i="22" s="1"/>
  <c r="T177" i="22" s="1"/>
  <c r="U177" i="22" s="1"/>
  <c r="V177" i="22" s="1"/>
  <c r="W177" i="22" s="1"/>
  <c r="X177" i="22" s="1"/>
  <c r="Y177" i="22" s="1"/>
  <c r="Z177" i="22" s="1"/>
  <c r="AA177" i="22" s="1"/>
  <c r="AB177" i="22" s="1"/>
  <c r="AC177" i="22" s="1"/>
  <c r="H176" i="22"/>
  <c r="I176" i="22" s="1"/>
  <c r="J176" i="22" s="1"/>
  <c r="K176" i="22" s="1"/>
  <c r="L176" i="22" s="1"/>
  <c r="M176" i="22" s="1"/>
  <c r="N176" i="22" s="1"/>
  <c r="O176" i="22" s="1"/>
  <c r="P176" i="22" s="1"/>
  <c r="Q176" i="22" s="1"/>
  <c r="R176" i="22" s="1"/>
  <c r="S176" i="22" s="1"/>
  <c r="T176" i="22" s="1"/>
  <c r="U176" i="22" s="1"/>
  <c r="V176" i="22" s="1"/>
  <c r="W176" i="22" s="1"/>
  <c r="X176" i="22" s="1"/>
  <c r="Y176" i="22" s="1"/>
  <c r="Z176" i="22" s="1"/>
  <c r="AA176" i="22" s="1"/>
  <c r="AB176" i="22" s="1"/>
  <c r="AC176" i="22" s="1"/>
  <c r="H175" i="22"/>
  <c r="I175" i="22" s="1"/>
  <c r="J175" i="22" s="1"/>
  <c r="K175" i="22" s="1"/>
  <c r="L175" i="22" s="1"/>
  <c r="M175" i="22" s="1"/>
  <c r="N175" i="22" s="1"/>
  <c r="O175" i="22" s="1"/>
  <c r="P175" i="22" s="1"/>
  <c r="Q175" i="22" s="1"/>
  <c r="R175" i="22" s="1"/>
  <c r="S175" i="22" s="1"/>
  <c r="T175" i="22" s="1"/>
  <c r="U175" i="22" s="1"/>
  <c r="V175" i="22" s="1"/>
  <c r="W175" i="22" s="1"/>
  <c r="X175" i="22" s="1"/>
  <c r="Y175" i="22" s="1"/>
  <c r="Z175" i="22" s="1"/>
  <c r="AA175" i="22" s="1"/>
  <c r="AB175" i="22" s="1"/>
  <c r="AC175" i="22" s="1"/>
  <c r="H174" i="22"/>
  <c r="I174" i="22" s="1"/>
  <c r="J174" i="22" s="1"/>
  <c r="K174" i="22" s="1"/>
  <c r="L174" i="22" s="1"/>
  <c r="M174" i="22" s="1"/>
  <c r="N174" i="22" s="1"/>
  <c r="O174" i="22" s="1"/>
  <c r="P174" i="22" s="1"/>
  <c r="Q174" i="22" s="1"/>
  <c r="R174" i="22" s="1"/>
  <c r="S174" i="22" s="1"/>
  <c r="T174" i="22" s="1"/>
  <c r="U174" i="22" s="1"/>
  <c r="V174" i="22" s="1"/>
  <c r="W174" i="22" s="1"/>
  <c r="X174" i="22" s="1"/>
  <c r="Y174" i="22" s="1"/>
  <c r="Z174" i="22" s="1"/>
  <c r="AA174" i="22" s="1"/>
  <c r="AB174" i="22" s="1"/>
  <c r="AC174" i="22" s="1"/>
  <c r="H173" i="22"/>
  <c r="I178" i="22"/>
  <c r="J178" i="22"/>
  <c r="K178" i="22"/>
  <c r="L178" i="22"/>
  <c r="M178" i="22"/>
  <c r="N178" i="22"/>
  <c r="O178" i="22"/>
  <c r="P178" i="22"/>
  <c r="Q178" i="22"/>
  <c r="R178" i="22"/>
  <c r="S178" i="22"/>
  <c r="T178" i="22"/>
  <c r="U178" i="22"/>
  <c r="V178" i="22"/>
  <c r="W178" i="22"/>
  <c r="X178" i="22"/>
  <c r="Y178" i="22"/>
  <c r="Z178" i="22"/>
  <c r="AA178" i="22"/>
  <c r="AB178" i="22"/>
  <c r="AC178" i="22"/>
  <c r="H178" i="22"/>
  <c r="E178" i="22"/>
  <c r="F178" i="22"/>
  <c r="C178" i="22"/>
  <c r="D178" i="22"/>
  <c r="C177" i="22"/>
  <c r="D177" i="22" s="1"/>
  <c r="E177" i="22" s="1"/>
  <c r="F177" i="22" s="1"/>
  <c r="C176" i="22"/>
  <c r="D176" i="22" s="1"/>
  <c r="E176" i="22" s="1"/>
  <c r="F176" i="22" s="1"/>
  <c r="C175" i="22"/>
  <c r="D175" i="22" s="1"/>
  <c r="E175" i="22" s="1"/>
  <c r="F175" i="22" s="1"/>
  <c r="C174" i="22"/>
  <c r="D174" i="22" s="1"/>
  <c r="E174" i="22" s="1"/>
  <c r="F174" i="22" s="1"/>
  <c r="C173" i="22"/>
  <c r="C129" i="22"/>
  <c r="D129" i="22" s="1"/>
  <c r="E129" i="22" s="1"/>
  <c r="C130" i="22"/>
  <c r="D130" i="22" s="1"/>
  <c r="E130" i="22" s="1"/>
  <c r="F130" i="22" s="1"/>
  <c r="H130" i="22" s="1"/>
  <c r="I130" i="22" s="1"/>
  <c r="J130" i="22" s="1"/>
  <c r="K130" i="22" s="1"/>
  <c r="L130" i="22" s="1"/>
  <c r="M130" i="22" s="1"/>
  <c r="N130" i="22" s="1"/>
  <c r="O130" i="22" s="1"/>
  <c r="P130" i="22" s="1"/>
  <c r="Q130" i="22" s="1"/>
  <c r="R130" i="22" s="1"/>
  <c r="S130" i="22" s="1"/>
  <c r="T130" i="22" s="1"/>
  <c r="U130" i="22" s="1"/>
  <c r="V130" i="22" s="1"/>
  <c r="W130" i="22" s="1"/>
  <c r="X130" i="22" s="1"/>
  <c r="Y130" i="22" s="1"/>
  <c r="Z130" i="22" s="1"/>
  <c r="AA130" i="22" s="1"/>
  <c r="AB130" i="22" s="1"/>
  <c r="AC130" i="22" s="1"/>
  <c r="I172" i="22"/>
  <c r="J172" i="22" s="1"/>
  <c r="K172" i="22" s="1"/>
  <c r="L172" i="22" s="1"/>
  <c r="M172" i="22" s="1"/>
  <c r="N172" i="22" s="1"/>
  <c r="O172" i="22" s="1"/>
  <c r="P172" i="22" s="1"/>
  <c r="Q172" i="22" s="1"/>
  <c r="R172" i="22" s="1"/>
  <c r="S172" i="22" s="1"/>
  <c r="T172" i="22" s="1"/>
  <c r="U172" i="22" s="1"/>
  <c r="V172" i="22" s="1"/>
  <c r="W172" i="22" s="1"/>
  <c r="X172" i="22" s="1"/>
  <c r="Y172" i="22" s="1"/>
  <c r="Z172" i="22" s="1"/>
  <c r="AA172" i="22" s="1"/>
  <c r="AB172" i="22" s="1"/>
  <c r="AC172" i="22" s="1"/>
  <c r="C79" i="10"/>
  <c r="C53" i="10" s="1"/>
  <c r="C134" i="22"/>
  <c r="D134" i="22" s="1"/>
  <c r="E134" i="22" s="1"/>
  <c r="F134" i="22" s="1"/>
  <c r="H134" i="22" s="1"/>
  <c r="I134" i="22" s="1"/>
  <c r="J134" i="22" s="1"/>
  <c r="K134" i="22" s="1"/>
  <c r="L134" i="22" s="1"/>
  <c r="M134" i="22" s="1"/>
  <c r="N134" i="22" s="1"/>
  <c r="O134" i="22" s="1"/>
  <c r="P134" i="22" s="1"/>
  <c r="Q134" i="22" s="1"/>
  <c r="R134" i="22" s="1"/>
  <c r="S134" i="22" s="1"/>
  <c r="T134" i="22" s="1"/>
  <c r="U134" i="22" s="1"/>
  <c r="V134" i="22" s="1"/>
  <c r="W134" i="22" s="1"/>
  <c r="X134" i="22" s="1"/>
  <c r="Y134" i="22" s="1"/>
  <c r="Z134" i="22" s="1"/>
  <c r="AA134" i="22" s="1"/>
  <c r="AB134" i="22" s="1"/>
  <c r="AC134" i="22" s="1"/>
  <c r="C133" i="22"/>
  <c r="D133" i="22" s="1"/>
  <c r="E133" i="22" s="1"/>
  <c r="F133" i="22" s="1"/>
  <c r="H133" i="22" s="1"/>
  <c r="I133" i="22" s="1"/>
  <c r="J133" i="22" s="1"/>
  <c r="K133" i="22" s="1"/>
  <c r="L133" i="22" s="1"/>
  <c r="M133" i="22" s="1"/>
  <c r="N133" i="22" s="1"/>
  <c r="O133" i="22" s="1"/>
  <c r="P133" i="22" s="1"/>
  <c r="Q133" i="22" s="1"/>
  <c r="R133" i="22" s="1"/>
  <c r="S133" i="22" s="1"/>
  <c r="T133" i="22" s="1"/>
  <c r="U133" i="22" s="1"/>
  <c r="V133" i="22" s="1"/>
  <c r="W133" i="22" s="1"/>
  <c r="X133" i="22" s="1"/>
  <c r="Y133" i="22" s="1"/>
  <c r="Z133" i="22" s="1"/>
  <c r="AA133" i="22" s="1"/>
  <c r="AB133" i="22" s="1"/>
  <c r="AC133" i="22" s="1"/>
  <c r="C132" i="22"/>
  <c r="D132" i="22" s="1"/>
  <c r="E132" i="22" s="1"/>
  <c r="F132" i="22" s="1"/>
  <c r="H132" i="22" s="1"/>
  <c r="I132" i="22" s="1"/>
  <c r="J132" i="22" s="1"/>
  <c r="K132" i="22" s="1"/>
  <c r="L132" i="22" s="1"/>
  <c r="M132" i="22" s="1"/>
  <c r="N132" i="22" s="1"/>
  <c r="O132" i="22" s="1"/>
  <c r="P132" i="22" s="1"/>
  <c r="Q132" i="22" s="1"/>
  <c r="R132" i="22" s="1"/>
  <c r="S132" i="22" s="1"/>
  <c r="T132" i="22" s="1"/>
  <c r="U132" i="22" s="1"/>
  <c r="V132" i="22" s="1"/>
  <c r="W132" i="22" s="1"/>
  <c r="X132" i="22" s="1"/>
  <c r="Y132" i="22" s="1"/>
  <c r="Z132" i="22" s="1"/>
  <c r="AA132" i="22" s="1"/>
  <c r="AB132" i="22" s="1"/>
  <c r="AC132" i="22" s="1"/>
  <c r="C131" i="22"/>
  <c r="D131" i="22" s="1"/>
  <c r="E131" i="22" s="1"/>
  <c r="F131" i="22" s="1"/>
  <c r="H131" i="22" s="1"/>
  <c r="I131" i="22" s="1"/>
  <c r="J131" i="22" s="1"/>
  <c r="K131" i="22" s="1"/>
  <c r="L131" i="22" s="1"/>
  <c r="M131" i="22" s="1"/>
  <c r="N131" i="22" s="1"/>
  <c r="O131" i="22" s="1"/>
  <c r="P131" i="22" s="1"/>
  <c r="Q131" i="22" s="1"/>
  <c r="R131" i="22" s="1"/>
  <c r="S131" i="22" s="1"/>
  <c r="T131" i="22" s="1"/>
  <c r="U131" i="22" s="1"/>
  <c r="V131" i="22" s="1"/>
  <c r="W131" i="22" s="1"/>
  <c r="X131" i="22" s="1"/>
  <c r="Y131" i="22" s="1"/>
  <c r="Z131" i="22" s="1"/>
  <c r="AA131" i="22" s="1"/>
  <c r="AB131" i="22" s="1"/>
  <c r="AC131" i="22" s="1"/>
  <c r="I128" i="22"/>
  <c r="J128" i="22" s="1"/>
  <c r="K128" i="22" s="1"/>
  <c r="L128" i="22" s="1"/>
  <c r="M128" i="22" s="1"/>
  <c r="N128" i="22" s="1"/>
  <c r="O128" i="22" s="1"/>
  <c r="P128" i="22" s="1"/>
  <c r="Q128" i="22" s="1"/>
  <c r="R128" i="22" s="1"/>
  <c r="S128" i="22" s="1"/>
  <c r="T128" i="22" s="1"/>
  <c r="U128" i="22" s="1"/>
  <c r="V128" i="22" s="1"/>
  <c r="W128" i="22" s="1"/>
  <c r="X128" i="22" s="1"/>
  <c r="Y128" i="22" s="1"/>
  <c r="Z128" i="22" s="1"/>
  <c r="AA128" i="22" s="1"/>
  <c r="AB128" i="22" s="1"/>
  <c r="AC128" i="22" s="1"/>
  <c r="I84" i="22"/>
  <c r="J84" i="22" s="1"/>
  <c r="K84" i="22" s="1"/>
  <c r="L84" i="22" s="1"/>
  <c r="M84" i="22" s="1"/>
  <c r="N84" i="22" s="1"/>
  <c r="O84" i="22" s="1"/>
  <c r="P84" i="22" s="1"/>
  <c r="Q84" i="22" s="1"/>
  <c r="R84" i="22" s="1"/>
  <c r="S84" i="22" s="1"/>
  <c r="T84" i="22" s="1"/>
  <c r="U84" i="22" s="1"/>
  <c r="V84" i="22" s="1"/>
  <c r="W84" i="22" s="1"/>
  <c r="X84" i="22" s="1"/>
  <c r="Y84" i="22" s="1"/>
  <c r="Z84" i="22" s="1"/>
  <c r="AA84" i="22" s="1"/>
  <c r="AB84" i="22" s="1"/>
  <c r="AC84" i="22" s="1"/>
  <c r="O277" i="22" l="1"/>
  <c r="F55" i="10"/>
  <c r="F83" i="10"/>
  <c r="E10" i="10" a="1"/>
  <c r="E10" i="10" s="1"/>
  <c r="E37" i="10" s="1"/>
  <c r="E83" i="10"/>
  <c r="G55" i="10"/>
  <c r="G83" i="10"/>
  <c r="J287" i="22"/>
  <c r="M44" i="4"/>
  <c r="M4" i="19"/>
  <c r="H44" i="4"/>
  <c r="I53" i="10"/>
  <c r="J53" i="10" s="1"/>
  <c r="N4" i="19"/>
  <c r="O4" i="19"/>
  <c r="G45" i="10" a="1"/>
  <c r="G45" i="10" s="1"/>
  <c r="G47" i="10" s="1"/>
  <c r="P4" i="19"/>
  <c r="D47" i="10"/>
  <c r="G10" i="10" a="1"/>
  <c r="G10" i="10" s="1"/>
  <c r="D10" i="10" a="1"/>
  <c r="D10" i="10" s="1"/>
  <c r="E45" i="10" a="1"/>
  <c r="E45" i="10" s="1"/>
  <c r="E47" i="10" s="1"/>
  <c r="D55" i="10"/>
  <c r="J49" i="10"/>
  <c r="E55" i="10"/>
  <c r="F10" i="10" a="1"/>
  <c r="F10" i="10" s="1"/>
  <c r="F45" i="10" a="1"/>
  <c r="F45" i="10" s="1"/>
  <c r="F47" i="10" s="1"/>
  <c r="C135" i="22"/>
  <c r="C136" i="22" s="1"/>
  <c r="D111" i="22" s="1"/>
  <c r="F129" i="22"/>
  <c r="E135" i="22"/>
  <c r="F112" i="22" s="1"/>
  <c r="D135" i="22"/>
  <c r="E112" i="22" s="1"/>
  <c r="C179" i="22"/>
  <c r="D173" i="22"/>
  <c r="H179" i="22"/>
  <c r="H156" i="22" s="1"/>
  <c r="I173" i="22"/>
  <c r="F50" i="4"/>
  <c r="F46" i="4" s="1"/>
  <c r="E18" i="22"/>
  <c r="F18" i="22"/>
  <c r="G18" i="22"/>
  <c r="H18" i="22"/>
  <c r="I18" i="22"/>
  <c r="J18" i="22"/>
  <c r="K18" i="22"/>
  <c r="L18" i="22"/>
  <c r="D18" i="22"/>
  <c r="E17" i="22"/>
  <c r="F17" i="22"/>
  <c r="G17" i="22"/>
  <c r="H17" i="22"/>
  <c r="I17" i="22"/>
  <c r="J17" i="22"/>
  <c r="K17" i="22"/>
  <c r="L17" i="22"/>
  <c r="D17" i="22"/>
  <c r="D4" i="1" a="1"/>
  <c r="D4" i="1" s="1"/>
  <c r="M81" i="1"/>
  <c r="D256" i="22"/>
  <c r="E256" i="22" s="1"/>
  <c r="F256" i="22" s="1"/>
  <c r="G256" i="22" s="1"/>
  <c r="H256" i="22" s="1"/>
  <c r="I256" i="22" s="1"/>
  <c r="J256" i="22" s="1"/>
  <c r="K256" i="22" s="1"/>
  <c r="L256" i="22" s="1"/>
  <c r="M256" i="22" s="1"/>
  <c r="N256" i="22" s="1"/>
  <c r="O256" i="22" s="1"/>
  <c r="P256" i="22" s="1"/>
  <c r="Q256" i="22" s="1"/>
  <c r="R256" i="22" s="1"/>
  <c r="S256" i="22" s="1"/>
  <c r="T256" i="22" s="1"/>
  <c r="U256" i="22" s="1"/>
  <c r="V256" i="22" s="1"/>
  <c r="W256" i="22" s="1"/>
  <c r="X256" i="22" s="1"/>
  <c r="Y256" i="22" s="1"/>
  <c r="Z256" i="22" s="1"/>
  <c r="AA256" i="22" s="1"/>
  <c r="AB256" i="22" s="1"/>
  <c r="D253" i="22"/>
  <c r="E253" i="22"/>
  <c r="F253" i="22"/>
  <c r="G253" i="22"/>
  <c r="H253" i="22"/>
  <c r="I253" i="22"/>
  <c r="J253" i="22"/>
  <c r="K253" i="22"/>
  <c r="L253" i="22"/>
  <c r="M253" i="22"/>
  <c r="N253" i="22"/>
  <c r="C253" i="22"/>
  <c r="D252" i="22"/>
  <c r="E252" i="22"/>
  <c r="F252" i="22"/>
  <c r="G252" i="22"/>
  <c r="H252" i="22"/>
  <c r="I252" i="22"/>
  <c r="J252" i="22"/>
  <c r="K252" i="22"/>
  <c r="L252" i="22"/>
  <c r="M252" i="22"/>
  <c r="N252" i="22"/>
  <c r="C252" i="22"/>
  <c r="Q211" i="22"/>
  <c r="Q212" i="22"/>
  <c r="R212" i="22" s="1"/>
  <c r="S212" i="22" s="1"/>
  <c r="T212" i="22" s="1"/>
  <c r="U212" i="22" s="1"/>
  <c r="V212" i="22" s="1"/>
  <c r="W212" i="22" s="1"/>
  <c r="X212" i="22" s="1"/>
  <c r="Y212" i="22" s="1"/>
  <c r="Q213" i="22"/>
  <c r="R213" i="22" s="1"/>
  <c r="S213" i="22" s="1"/>
  <c r="T213" i="22" s="1"/>
  <c r="U213" i="22" s="1"/>
  <c r="V213" i="22" s="1"/>
  <c r="W213" i="22" s="1"/>
  <c r="X213" i="22" s="1"/>
  <c r="Y213" i="22" s="1"/>
  <c r="Q214" i="22"/>
  <c r="R214" i="22" s="1"/>
  <c r="Q215" i="22"/>
  <c r="R215" i="22" s="1"/>
  <c r="S215" i="22" s="1"/>
  <c r="T215" i="22" s="1"/>
  <c r="U215" i="22" s="1"/>
  <c r="V215" i="22" s="1"/>
  <c r="W215" i="22" s="1"/>
  <c r="X215" i="22" s="1"/>
  <c r="Y215" i="22" s="1"/>
  <c r="Q210" i="22"/>
  <c r="R210" i="22" s="1"/>
  <c r="S210" i="22" s="1"/>
  <c r="T210" i="22" s="1"/>
  <c r="U210" i="22" s="1"/>
  <c r="V210" i="22" s="1"/>
  <c r="W210" i="22" s="1"/>
  <c r="X210" i="22" s="1"/>
  <c r="Y210" i="22" s="1"/>
  <c r="P13" i="19"/>
  <c r="P15" i="19"/>
  <c r="O13" i="19"/>
  <c r="O7" i="19" s="1"/>
  <c r="O15" i="19"/>
  <c r="N13" i="19"/>
  <c r="E81" i="3"/>
  <c r="F81" i="3"/>
  <c r="H81" i="3"/>
  <c r="D82" i="3"/>
  <c r="E82" i="3"/>
  <c r="F82" i="3"/>
  <c r="G82" i="3"/>
  <c r="H82" i="3"/>
  <c r="I82" i="3"/>
  <c r="E80" i="3"/>
  <c r="G80" i="3"/>
  <c r="L79" i="3"/>
  <c r="M79" i="3" s="1"/>
  <c r="N79" i="3" s="1"/>
  <c r="O79" i="3" s="1"/>
  <c r="P79" i="3" s="1"/>
  <c r="E79" i="3"/>
  <c r="F79" i="3" s="1"/>
  <c r="G79" i="3" s="1"/>
  <c r="H79" i="3" s="1"/>
  <c r="I79" i="3" s="1"/>
  <c r="L70" i="3"/>
  <c r="M70" i="3" s="1"/>
  <c r="N70" i="3" s="1"/>
  <c r="O70" i="3" s="1"/>
  <c r="P70" i="3" s="1"/>
  <c r="L61" i="3"/>
  <c r="M61" i="3" s="1"/>
  <c r="N61" i="3" s="1"/>
  <c r="O61" i="3" s="1"/>
  <c r="P61" i="3" s="1"/>
  <c r="I71" i="3"/>
  <c r="E70" i="3"/>
  <c r="F70" i="3" s="1"/>
  <c r="G70" i="3" s="1"/>
  <c r="H70" i="3" s="1"/>
  <c r="I70" i="3" s="1"/>
  <c r="D75" i="3"/>
  <c r="E75" i="3"/>
  <c r="D72" i="3"/>
  <c r="E72" i="3"/>
  <c r="G72" i="3"/>
  <c r="D73" i="3"/>
  <c r="E73" i="3"/>
  <c r="F73" i="3"/>
  <c r="G73" i="3"/>
  <c r="H73" i="3"/>
  <c r="D74" i="3"/>
  <c r="E74" i="3"/>
  <c r="G71" i="3"/>
  <c r="F71" i="3"/>
  <c r="E71" i="3"/>
  <c r="D71" i="3"/>
  <c r="E61" i="3"/>
  <c r="F61" i="3" s="1"/>
  <c r="G61" i="3" s="1"/>
  <c r="H61" i="3" s="1"/>
  <c r="I61" i="3" s="1"/>
  <c r="E63" i="3"/>
  <c r="F63" i="3"/>
  <c r="M63" i="3" s="1"/>
  <c r="G63" i="3"/>
  <c r="H63" i="3"/>
  <c r="I63" i="3"/>
  <c r="D64" i="3"/>
  <c r="E64" i="3"/>
  <c r="F64" i="3"/>
  <c r="G64" i="3"/>
  <c r="H64" i="3"/>
  <c r="I64" i="3"/>
  <c r="D62" i="3"/>
  <c r="I62" i="3"/>
  <c r="G62" i="3"/>
  <c r="F62" i="3"/>
  <c r="G28" i="22"/>
  <c r="E28" i="22"/>
  <c r="F28" i="22"/>
  <c r="H28" i="22"/>
  <c r="I28" i="22"/>
  <c r="J28" i="22"/>
  <c r="K28" i="22"/>
  <c r="L28" i="22"/>
  <c r="G27" i="22"/>
  <c r="L27" i="22"/>
  <c r="K27" i="22"/>
  <c r="J27" i="22"/>
  <c r="I27" i="22"/>
  <c r="H27" i="22"/>
  <c r="F27" i="22"/>
  <c r="B82" i="17"/>
  <c r="M19" i="1" s="1"/>
  <c r="C39" i="10" s="1"/>
  <c r="I39" i="10" s="1"/>
  <c r="B8" i="17"/>
  <c r="D10" i="22" s="1"/>
  <c r="D29" i="22"/>
  <c r="D28" i="22"/>
  <c r="F21" i="16"/>
  <c r="F23" i="16"/>
  <c r="E23" i="22"/>
  <c r="F23" i="22"/>
  <c r="G23" i="22"/>
  <c r="H23" i="22"/>
  <c r="I23" i="22"/>
  <c r="J23" i="22"/>
  <c r="K23" i="22"/>
  <c r="L23" i="22"/>
  <c r="E30" i="22"/>
  <c r="F30" i="22"/>
  <c r="G30" i="22"/>
  <c r="H30" i="22"/>
  <c r="I30" i="22"/>
  <c r="J30" i="22"/>
  <c r="K30" i="22"/>
  <c r="L30" i="22"/>
  <c r="D30" i="22"/>
  <c r="DH739" i="3"/>
  <c r="CH539" i="3"/>
  <c r="BH339" i="3"/>
  <c r="AH139" i="3"/>
  <c r="E29" i="17"/>
  <c r="AB1048544" i="3"/>
  <c r="AB1048542" i="3"/>
  <c r="AA1048544" i="3"/>
  <c r="D83" i="3" s="1"/>
  <c r="AA1048542" i="3"/>
  <c r="D81" i="3" s="1"/>
  <c r="L81" i="3" s="1"/>
  <c r="AA1048541" i="3"/>
  <c r="D80" i="3" s="1"/>
  <c r="Y1048544" i="3"/>
  <c r="D65" i="3" s="1"/>
  <c r="Y1048542" i="3"/>
  <c r="D63" i="3" s="1"/>
  <c r="X1048544" i="3"/>
  <c r="X1048542" i="3"/>
  <c r="X1048541" i="3"/>
  <c r="W1048544" i="3"/>
  <c r="E83" i="3" s="1"/>
  <c r="U1048541" i="3"/>
  <c r="E62" i="3" s="1"/>
  <c r="U1048544" i="3"/>
  <c r="U1048545" i="3" s="1"/>
  <c r="E66" i="3" s="1"/>
  <c r="T1048544" i="3"/>
  <c r="T1048542" i="3"/>
  <c r="S1048541" i="3"/>
  <c r="F80" i="3" s="1"/>
  <c r="N80" i="3" s="1"/>
  <c r="R1048544" i="3"/>
  <c r="O1048544" i="3"/>
  <c r="G83" i="3" s="1"/>
  <c r="S1048544" i="3"/>
  <c r="F83" i="3" s="1"/>
  <c r="N1048544" i="3"/>
  <c r="N1048545" i="3" s="1"/>
  <c r="G75" i="3" s="1"/>
  <c r="R1048542" i="3"/>
  <c r="F72" i="3" s="1"/>
  <c r="Q1048544" i="3"/>
  <c r="Q1048545" i="3" s="1"/>
  <c r="F66" i="3" s="1"/>
  <c r="P1048544" i="3"/>
  <c r="P1048545" i="3" s="1"/>
  <c r="O1048542" i="3"/>
  <c r="G81" i="3" s="1"/>
  <c r="M1048544" i="3"/>
  <c r="G65" i="3" s="1"/>
  <c r="I28" i="3"/>
  <c r="I30" i="3"/>
  <c r="H30" i="3"/>
  <c r="H29" i="3"/>
  <c r="O29" i="3" s="1"/>
  <c r="H28" i="3"/>
  <c r="I21" i="3"/>
  <c r="I20" i="3"/>
  <c r="O20" i="3" s="1"/>
  <c r="I19" i="3"/>
  <c r="I18" i="3"/>
  <c r="H21" i="3"/>
  <c r="H19" i="3"/>
  <c r="H18" i="3"/>
  <c r="G30" i="3"/>
  <c r="F30" i="3"/>
  <c r="G28" i="3"/>
  <c r="M28" i="3" s="1"/>
  <c r="F28" i="3"/>
  <c r="L28" i="3" s="1"/>
  <c r="G21" i="3"/>
  <c r="G19" i="3"/>
  <c r="G18" i="3"/>
  <c r="F21" i="3"/>
  <c r="F19" i="3"/>
  <c r="F18" i="3"/>
  <c r="F31" i="1"/>
  <c r="F30" i="1"/>
  <c r="F28" i="1"/>
  <c r="K10" i="3"/>
  <c r="L10" i="3"/>
  <c r="M10" i="3"/>
  <c r="N10" i="3"/>
  <c r="O10" i="3"/>
  <c r="E30" i="3"/>
  <c r="E27" i="3"/>
  <c r="K27" i="3" s="1"/>
  <c r="L1048544" i="3"/>
  <c r="L1048541" i="3"/>
  <c r="K1048544" i="3"/>
  <c r="H83" i="3" s="1"/>
  <c r="K1048541" i="3"/>
  <c r="H80" i="3" s="1"/>
  <c r="O80" i="3" s="1"/>
  <c r="J1048544" i="3"/>
  <c r="H74" i="3" s="1"/>
  <c r="J1048542" i="3"/>
  <c r="J1048541" i="3"/>
  <c r="H71" i="3" s="1"/>
  <c r="I1048544" i="3"/>
  <c r="H65" i="3" s="1"/>
  <c r="I1048541" i="3"/>
  <c r="H62" i="3" s="1"/>
  <c r="H1048544" i="3"/>
  <c r="H1048542" i="3"/>
  <c r="H1048541" i="3"/>
  <c r="G1048544" i="3"/>
  <c r="I83" i="3" s="1"/>
  <c r="G1048542" i="3"/>
  <c r="I81" i="3" s="1"/>
  <c r="G1048541" i="3"/>
  <c r="I80" i="3" s="1"/>
  <c r="F1048544" i="3"/>
  <c r="I74" i="3" s="1"/>
  <c r="F1048543" i="3"/>
  <c r="I73" i="3" s="1"/>
  <c r="F1048542" i="3"/>
  <c r="E1048544" i="3"/>
  <c r="E1048545" i="3" s="1"/>
  <c r="D30" i="3"/>
  <c r="M29" i="3"/>
  <c r="L29" i="3"/>
  <c r="K29" i="3"/>
  <c r="K28" i="3"/>
  <c r="O27" i="3"/>
  <c r="N27" i="3"/>
  <c r="M27" i="3"/>
  <c r="L26" i="3"/>
  <c r="M26" i="3" s="1"/>
  <c r="N26" i="3" s="1"/>
  <c r="O26" i="3" s="1"/>
  <c r="P26" i="3" s="1"/>
  <c r="E26" i="3"/>
  <c r="F26" i="3" s="1"/>
  <c r="G26" i="3" s="1"/>
  <c r="H26" i="3" s="1"/>
  <c r="I26" i="3" s="1"/>
  <c r="E21" i="3"/>
  <c r="E20" i="3"/>
  <c r="L20" i="3" s="1"/>
  <c r="E19" i="3"/>
  <c r="E18" i="3"/>
  <c r="D21" i="3"/>
  <c r="D20" i="3"/>
  <c r="D19" i="3"/>
  <c r="D18" i="3"/>
  <c r="O25" i="22"/>
  <c r="O21" i="22"/>
  <c r="O22" i="22"/>
  <c r="P21" i="22"/>
  <c r="P22" i="22"/>
  <c r="P25" i="22"/>
  <c r="D62" i="17"/>
  <c r="D21" i="4" s="1"/>
  <c r="D19" i="4" s="1"/>
  <c r="D22" i="4" s="1"/>
  <c r="F62" i="17"/>
  <c r="H24" i="22" s="1"/>
  <c r="J62" i="17"/>
  <c r="L24" i="22" s="1"/>
  <c r="L62" i="17"/>
  <c r="M62" i="17"/>
  <c r="K62" i="17"/>
  <c r="I62" i="17"/>
  <c r="K24" i="22" s="1"/>
  <c r="H62" i="17"/>
  <c r="J24" i="22" s="1"/>
  <c r="G62" i="17"/>
  <c r="E39" i="4"/>
  <c r="F39" i="4" s="1"/>
  <c r="E41" i="4"/>
  <c r="F41" i="4" s="1"/>
  <c r="N25" i="22"/>
  <c r="N22" i="22"/>
  <c r="N21" i="22"/>
  <c r="I19" i="22"/>
  <c r="J19" i="22"/>
  <c r="K19" i="22"/>
  <c r="L19" i="22"/>
  <c r="I29" i="22"/>
  <c r="J29" i="22"/>
  <c r="K29" i="22"/>
  <c r="L29" i="22"/>
  <c r="F19" i="22"/>
  <c r="G19" i="22"/>
  <c r="H19" i="22"/>
  <c r="E19" i="22"/>
  <c r="D19" i="22"/>
  <c r="AB15" i="22"/>
  <c r="AC15" i="22" s="1"/>
  <c r="AD15" i="22" s="1"/>
  <c r="AE15" i="22" s="1"/>
  <c r="AF15" i="22" s="1"/>
  <c r="AG15" i="22" s="1"/>
  <c r="AH15" i="22" s="1"/>
  <c r="AI15" i="22" s="1"/>
  <c r="AJ15" i="22" s="1"/>
  <c r="AK15" i="22" s="1"/>
  <c r="M81" i="3"/>
  <c r="F65" i="3"/>
  <c r="N29" i="3"/>
  <c r="E62" i="17"/>
  <c r="G24" i="22" s="1"/>
  <c r="D24" i="22"/>
  <c r="C62" i="17"/>
  <c r="E21" i="4" s="1"/>
  <c r="E19" i="4" s="1"/>
  <c r="E22" i="4" s="1"/>
  <c r="M65" i="17"/>
  <c r="M67" i="17" s="1"/>
  <c r="L65" i="17"/>
  <c r="L67" i="17" s="1"/>
  <c r="K65" i="17"/>
  <c r="J65" i="17"/>
  <c r="L26" i="22" s="1"/>
  <c r="H65" i="17"/>
  <c r="H67" i="17" s="1"/>
  <c r="I65" i="17"/>
  <c r="K26" i="22" s="1"/>
  <c r="G65" i="17"/>
  <c r="G67" i="17" s="1"/>
  <c r="F65" i="17"/>
  <c r="F67" i="17" s="1"/>
  <c r="E65" i="17"/>
  <c r="G26" i="22" s="1"/>
  <c r="D24" i="4"/>
  <c r="D65" i="17"/>
  <c r="D69" i="16" s="1"/>
  <c r="C65" i="17"/>
  <c r="E26" i="22" s="1"/>
  <c r="C66" i="17"/>
  <c r="E27" i="22" s="1"/>
  <c r="B65" i="17"/>
  <c r="B69" i="16" s="1"/>
  <c r="B66" i="17"/>
  <c r="D27" i="22" s="1"/>
  <c r="J269" i="22"/>
  <c r="J271" i="22" s="1"/>
  <c r="M18" i="19"/>
  <c r="I67" i="17"/>
  <c r="L271" i="22"/>
  <c r="C90" i="22"/>
  <c r="D90" i="22" s="1"/>
  <c r="E90" i="22" s="1"/>
  <c r="F90" i="22" s="1"/>
  <c r="H90" i="22" s="1"/>
  <c r="I90" i="22" s="1"/>
  <c r="J90" i="22" s="1"/>
  <c r="K90" i="22" s="1"/>
  <c r="L90" i="22" s="1"/>
  <c r="M90" i="22" s="1"/>
  <c r="N90" i="22" s="1"/>
  <c r="O90" i="22" s="1"/>
  <c r="P90" i="22" s="1"/>
  <c r="Q90" i="22" s="1"/>
  <c r="R90" i="22" s="1"/>
  <c r="S90" i="22" s="1"/>
  <c r="T90" i="22" s="1"/>
  <c r="U90" i="22" s="1"/>
  <c r="V90" i="22" s="1"/>
  <c r="W90" i="22" s="1"/>
  <c r="X90" i="22" s="1"/>
  <c r="Y90" i="22" s="1"/>
  <c r="Z90" i="22" s="1"/>
  <c r="AA90" i="22" s="1"/>
  <c r="AB90" i="22" s="1"/>
  <c r="AC90" i="22" s="1"/>
  <c r="D85" i="22"/>
  <c r="C86" i="22"/>
  <c r="D86" i="22" s="1"/>
  <c r="C87" i="22"/>
  <c r="D87" i="22" s="1"/>
  <c r="E87" i="22" s="1"/>
  <c r="F87" i="22" s="1"/>
  <c r="H87" i="22" s="1"/>
  <c r="I87" i="22" s="1"/>
  <c r="J87" i="22" s="1"/>
  <c r="K87" i="22" s="1"/>
  <c r="L87" i="22" s="1"/>
  <c r="M87" i="22" s="1"/>
  <c r="N87" i="22" s="1"/>
  <c r="O87" i="22" s="1"/>
  <c r="P87" i="22" s="1"/>
  <c r="Q87" i="22" s="1"/>
  <c r="R87" i="22" s="1"/>
  <c r="S87" i="22" s="1"/>
  <c r="T87" i="22" s="1"/>
  <c r="U87" i="22" s="1"/>
  <c r="V87" i="22" s="1"/>
  <c r="W87" i="22" s="1"/>
  <c r="X87" i="22" s="1"/>
  <c r="Y87" i="22" s="1"/>
  <c r="Z87" i="22" s="1"/>
  <c r="AA87" i="22" s="1"/>
  <c r="AB87" i="22" s="1"/>
  <c r="AC87" i="22" s="1"/>
  <c r="C88" i="22"/>
  <c r="D88" i="22" s="1"/>
  <c r="E88" i="22" s="1"/>
  <c r="F88" i="22" s="1"/>
  <c r="H88" i="22" s="1"/>
  <c r="I88" i="22" s="1"/>
  <c r="J88" i="22" s="1"/>
  <c r="K88" i="22" s="1"/>
  <c r="L88" i="22" s="1"/>
  <c r="M88" i="22" s="1"/>
  <c r="N88" i="22" s="1"/>
  <c r="O88" i="22" s="1"/>
  <c r="P88" i="22" s="1"/>
  <c r="Q88" i="22" s="1"/>
  <c r="R88" i="22" s="1"/>
  <c r="S88" i="22" s="1"/>
  <c r="T88" i="22" s="1"/>
  <c r="U88" i="22" s="1"/>
  <c r="V88" i="22" s="1"/>
  <c r="W88" i="22" s="1"/>
  <c r="X88" i="22" s="1"/>
  <c r="Y88" i="22" s="1"/>
  <c r="Z88" i="22" s="1"/>
  <c r="AA88" i="22" s="1"/>
  <c r="AB88" i="22" s="1"/>
  <c r="AC88" i="22" s="1"/>
  <c r="C89" i="22"/>
  <c r="D89" i="22" s="1"/>
  <c r="E89" i="22" s="1"/>
  <c r="F89" i="22" s="1"/>
  <c r="H89" i="22" s="1"/>
  <c r="I89" i="22" s="1"/>
  <c r="J89" i="22" s="1"/>
  <c r="K89" i="22" s="1"/>
  <c r="L89" i="22" s="1"/>
  <c r="M89" i="22" s="1"/>
  <c r="N89" i="22" s="1"/>
  <c r="O89" i="22" s="1"/>
  <c r="P89" i="22" s="1"/>
  <c r="Q89" i="22" s="1"/>
  <c r="R89" i="22" s="1"/>
  <c r="S89" i="22" s="1"/>
  <c r="T89" i="22" s="1"/>
  <c r="U89" i="22" s="1"/>
  <c r="V89" i="22" s="1"/>
  <c r="W89" i="22" s="1"/>
  <c r="X89" i="22" s="1"/>
  <c r="Y89" i="22" s="1"/>
  <c r="Z89" i="22" s="1"/>
  <c r="AA89" i="22" s="1"/>
  <c r="AB89" i="22" s="1"/>
  <c r="AC89" i="22" s="1"/>
  <c r="C85" i="22"/>
  <c r="D238" i="22"/>
  <c r="C241" i="22"/>
  <c r="D241" i="22"/>
  <c r="E241" i="22"/>
  <c r="F241" i="22"/>
  <c r="C236" i="22"/>
  <c r="D236" i="22"/>
  <c r="E236" i="22"/>
  <c r="C237" i="22"/>
  <c r="D237" i="22"/>
  <c r="E237" i="22"/>
  <c r="C238" i="22"/>
  <c r="C239" i="22"/>
  <c r="D239" i="22"/>
  <c r="E239" i="22"/>
  <c r="C240" i="22"/>
  <c r="D240" i="22"/>
  <c r="E240" i="22"/>
  <c r="F237" i="22"/>
  <c r="F239" i="22"/>
  <c r="F240" i="22"/>
  <c r="C235" i="22"/>
  <c r="D235" i="22"/>
  <c r="E235" i="22"/>
  <c r="F236" i="22"/>
  <c r="F235" i="22"/>
  <c r="E8" i="22"/>
  <c r="E16" i="22" s="1"/>
  <c r="D9" i="22"/>
  <c r="E9" i="22"/>
  <c r="F9" i="22"/>
  <c r="G9" i="22"/>
  <c r="D16" i="22"/>
  <c r="E29" i="22"/>
  <c r="F29" i="22"/>
  <c r="G29" i="22"/>
  <c r="G216" i="22"/>
  <c r="G215" i="22"/>
  <c r="G214" i="22"/>
  <c r="G213" i="22"/>
  <c r="G212" i="22"/>
  <c r="G211" i="22"/>
  <c r="F216" i="22"/>
  <c r="F215" i="22"/>
  <c r="F214" i="22"/>
  <c r="F213" i="22"/>
  <c r="F212" i="22"/>
  <c r="F211" i="22"/>
  <c r="E216" i="22"/>
  <c r="E214" i="22"/>
  <c r="E215" i="22"/>
  <c r="E213" i="22"/>
  <c r="E212" i="22"/>
  <c r="D216" i="22"/>
  <c r="D215" i="22"/>
  <c r="D214" i="22"/>
  <c r="D213" i="22"/>
  <c r="D212" i="22"/>
  <c r="E211" i="22"/>
  <c r="D211" i="22"/>
  <c r="C216" i="22"/>
  <c r="C215" i="22"/>
  <c r="C214" i="22"/>
  <c r="C213" i="22"/>
  <c r="C212" i="22"/>
  <c r="C211" i="22"/>
  <c r="J61" i="17"/>
  <c r="I61" i="17"/>
  <c r="H61" i="17"/>
  <c r="G61" i="17"/>
  <c r="F61" i="17"/>
  <c r="E61" i="17"/>
  <c r="D61" i="17"/>
  <c r="C61" i="17"/>
  <c r="K9" i="17"/>
  <c r="M29" i="17"/>
  <c r="L29" i="17"/>
  <c r="K29" i="17"/>
  <c r="J29" i="17"/>
  <c r="J8" i="17"/>
  <c r="L10" i="22" s="1"/>
  <c r="K8" i="17"/>
  <c r="D29" i="17"/>
  <c r="G29" i="17"/>
  <c r="F29" i="17"/>
  <c r="C29" i="17"/>
  <c r="I29" i="17"/>
  <c r="H29" i="17"/>
  <c r="B29" i="17"/>
  <c r="E8" i="17"/>
  <c r="G10" i="22" s="1"/>
  <c r="D8" i="17"/>
  <c r="F10" i="22" s="1"/>
  <c r="G8" i="17"/>
  <c r="I10" i="22" s="1"/>
  <c r="F8" i="17"/>
  <c r="H10" i="22" s="1"/>
  <c r="I8" i="17"/>
  <c r="K10" i="22" s="1"/>
  <c r="H8" i="17"/>
  <c r="J10" i="22" s="1"/>
  <c r="M8" i="17"/>
  <c r="L8" i="17"/>
  <c r="C8" i="17"/>
  <c r="E10" i="22" s="1"/>
  <c r="F23" i="17"/>
  <c r="B9" i="17"/>
  <c r="H29" i="22"/>
  <c r="H9" i="22"/>
  <c r="B5" i="16"/>
  <c r="C59" i="10" s="1"/>
  <c r="L47" i="22"/>
  <c r="L46" i="22"/>
  <c r="I9" i="22"/>
  <c r="J9" i="22"/>
  <c r="K9" i="22"/>
  <c r="L9" i="22"/>
  <c r="E27" i="4"/>
  <c r="E6" i="4"/>
  <c r="E2" i="1"/>
  <c r="C19" i="1" s="1" a="1"/>
  <c r="C19" i="1" s="1"/>
  <c r="I18" i="1"/>
  <c r="M107" i="1"/>
  <c r="J107" i="1"/>
  <c r="L107" i="1"/>
  <c r="I107" i="1"/>
  <c r="P271" i="22"/>
  <c r="R271" i="22"/>
  <c r="N271" i="22"/>
  <c r="M20" i="1"/>
  <c r="M22" i="1"/>
  <c r="N16" i="22"/>
  <c r="O16" i="22"/>
  <c r="P16" i="22"/>
  <c r="D51" i="3"/>
  <c r="F54" i="4"/>
  <c r="F55" i="4"/>
  <c r="F56" i="4"/>
  <c r="F57" i="4"/>
  <c r="F58" i="4"/>
  <c r="F59" i="4"/>
  <c r="F60" i="4"/>
  <c r="F61" i="4"/>
  <c r="F62" i="4"/>
  <c r="F63" i="4"/>
  <c r="F64" i="4"/>
  <c r="F65" i="4"/>
  <c r="F66" i="4"/>
  <c r="F67" i="4"/>
  <c r="F53" i="4"/>
  <c r="D54" i="4"/>
  <c r="G10" i="4" s="1"/>
  <c r="G38" i="4" s="1"/>
  <c r="E54" i="4"/>
  <c r="D55" i="4"/>
  <c r="E55" i="4"/>
  <c r="D56" i="4"/>
  <c r="E56" i="4"/>
  <c r="D57" i="4"/>
  <c r="E57" i="4"/>
  <c r="D58" i="4"/>
  <c r="E58" i="4"/>
  <c r="D59" i="4"/>
  <c r="E59" i="4"/>
  <c r="D60" i="4"/>
  <c r="E60" i="4"/>
  <c r="D61" i="4"/>
  <c r="E61" i="4"/>
  <c r="D62" i="4"/>
  <c r="E62" i="4"/>
  <c r="D63" i="4"/>
  <c r="E63" i="4"/>
  <c r="D64" i="4"/>
  <c r="E64" i="4"/>
  <c r="D65" i="4"/>
  <c r="D66" i="4"/>
  <c r="E66" i="4"/>
  <c r="D67" i="4"/>
  <c r="E67" i="4"/>
  <c r="E53" i="4"/>
  <c r="D53" i="4"/>
  <c r="G9" i="4" s="1"/>
  <c r="B87" i="17"/>
  <c r="O6" i="3"/>
  <c r="O7" i="3"/>
  <c r="O8" i="3"/>
  <c r="O9" i="3"/>
  <c r="N6" i="3"/>
  <c r="N7" i="3"/>
  <c r="N8" i="3"/>
  <c r="N9" i="3"/>
  <c r="M6" i="3"/>
  <c r="M7" i="3"/>
  <c r="M8" i="3"/>
  <c r="M9" i="3"/>
  <c r="L6" i="3"/>
  <c r="L7" i="3"/>
  <c r="L8" i="3"/>
  <c r="L9" i="3"/>
  <c r="K6" i="3"/>
  <c r="K7" i="3"/>
  <c r="K8" i="3"/>
  <c r="K9" i="3"/>
  <c r="D6" i="4"/>
  <c r="F6" i="4"/>
  <c r="C60" i="17"/>
  <c r="D60" i="17"/>
  <c r="E60" i="17"/>
  <c r="F60" i="17"/>
  <c r="G60" i="17"/>
  <c r="H60" i="17"/>
  <c r="I60" i="17"/>
  <c r="I63" i="17" s="1"/>
  <c r="J60" i="17"/>
  <c r="K60" i="17"/>
  <c r="L60" i="17"/>
  <c r="L63" i="17" s="1"/>
  <c r="M60" i="17"/>
  <c r="M63" i="17" s="1"/>
  <c r="B60" i="17"/>
  <c r="B63" i="17" s="1"/>
  <c r="J67" i="17"/>
  <c r="K67" i="17"/>
  <c r="E47" i="17"/>
  <c r="F47" i="17"/>
  <c r="G47" i="17"/>
  <c r="H47" i="17"/>
  <c r="I47" i="17"/>
  <c r="J47" i="17"/>
  <c r="K47" i="17"/>
  <c r="K50" i="17" s="1"/>
  <c r="K55" i="16" s="1"/>
  <c r="L47" i="17"/>
  <c r="M47" i="17"/>
  <c r="D47" i="17"/>
  <c r="E32" i="17"/>
  <c r="E36" i="17" s="1"/>
  <c r="F32" i="17"/>
  <c r="G32" i="17"/>
  <c r="H32" i="17"/>
  <c r="I32" i="17"/>
  <c r="J32" i="17"/>
  <c r="K32" i="17"/>
  <c r="L32" i="17"/>
  <c r="M32" i="17"/>
  <c r="D32" i="17"/>
  <c r="F21" i="1"/>
  <c r="F22" i="1"/>
  <c r="F23" i="1"/>
  <c r="F24" i="1"/>
  <c r="B77" i="17"/>
  <c r="F53" i="1" s="1"/>
  <c r="B75" i="17"/>
  <c r="F31" i="4" s="1"/>
  <c r="B56" i="17"/>
  <c r="B47" i="17"/>
  <c r="B50" i="17" s="1"/>
  <c r="B55" i="16" s="1"/>
  <c r="B46" i="17"/>
  <c r="B32" i="17"/>
  <c r="B36" i="17" s="1"/>
  <c r="B23" i="17"/>
  <c r="C77" i="17"/>
  <c r="C75" i="16" s="1"/>
  <c r="D77" i="17"/>
  <c r="F51" i="1" s="1"/>
  <c r="E77" i="17"/>
  <c r="F50" i="1" s="1"/>
  <c r="F77" i="17"/>
  <c r="F49" i="1" s="1"/>
  <c r="G77" i="17"/>
  <c r="F48" i="1" s="1"/>
  <c r="H77" i="17"/>
  <c r="F47" i="1" s="1"/>
  <c r="I77" i="17"/>
  <c r="F46" i="1"/>
  <c r="J77" i="17"/>
  <c r="F45" i="1" s="1"/>
  <c r="K77" i="17"/>
  <c r="L77" i="17"/>
  <c r="M77" i="17"/>
  <c r="L6" i="19"/>
  <c r="P9" i="19"/>
  <c r="P8" i="19"/>
  <c r="P7" i="19"/>
  <c r="P6" i="19"/>
  <c r="C23" i="17"/>
  <c r="D23" i="17"/>
  <c r="E23" i="17"/>
  <c r="G23" i="17"/>
  <c r="H23" i="17"/>
  <c r="I23" i="17"/>
  <c r="J23" i="17"/>
  <c r="K23" i="17"/>
  <c r="K22" i="17" s="1"/>
  <c r="K18" i="16" s="1"/>
  <c r="L23" i="17"/>
  <c r="M23" i="17"/>
  <c r="F21" i="4"/>
  <c r="F19" i="4" s="1"/>
  <c r="D27" i="4"/>
  <c r="F27" i="4"/>
  <c r="K75" i="17"/>
  <c r="L75" i="17"/>
  <c r="M75" i="17"/>
  <c r="J75" i="17"/>
  <c r="E67" i="17"/>
  <c r="F26" i="1"/>
  <c r="F20" i="1"/>
  <c r="D28" i="4"/>
  <c r="E28" i="4"/>
  <c r="F28" i="4"/>
  <c r="E75" i="17"/>
  <c r="F75" i="17"/>
  <c r="G75" i="17"/>
  <c r="H75" i="17"/>
  <c r="I75" i="17"/>
  <c r="C32" i="17"/>
  <c r="C36" i="17" s="1"/>
  <c r="D75" i="17"/>
  <c r="D31" i="4" s="1"/>
  <c r="C75" i="17"/>
  <c r="E31" i="4" s="1"/>
  <c r="C8" i="19"/>
  <c r="M6" i="19"/>
  <c r="N6" i="19"/>
  <c r="O6" i="19"/>
  <c r="Q6" i="19"/>
  <c r="M7" i="19"/>
  <c r="N7" i="19"/>
  <c r="Q7" i="19"/>
  <c r="M8" i="19"/>
  <c r="N8" i="19"/>
  <c r="O8" i="19"/>
  <c r="Q8" i="19"/>
  <c r="M9" i="19"/>
  <c r="N9" i="19"/>
  <c r="O9" i="19"/>
  <c r="Q9" i="19"/>
  <c r="L7" i="19"/>
  <c r="L8" i="19"/>
  <c r="L9" i="19"/>
  <c r="M20" i="3"/>
  <c r="N20" i="3"/>
  <c r="K20" i="3"/>
  <c r="O5" i="3"/>
  <c r="N5" i="3"/>
  <c r="M5" i="3"/>
  <c r="L5" i="3"/>
  <c r="K5" i="3"/>
  <c r="E11" i="4"/>
  <c r="F11" i="4"/>
  <c r="D11" i="4"/>
  <c r="C6" i="19"/>
  <c r="H4" i="4"/>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C75" i="10"/>
  <c r="C74" i="10"/>
  <c r="C71" i="10"/>
  <c r="B15" i="3"/>
  <c r="H22" i="3"/>
  <c r="E13" i="3"/>
  <c r="F13" i="3"/>
  <c r="G13" i="3"/>
  <c r="H13" i="3"/>
  <c r="I13" i="3"/>
  <c r="K17" i="3"/>
  <c r="L17" i="3" s="1"/>
  <c r="M17" i="3" s="1"/>
  <c r="N17" i="3" s="1"/>
  <c r="O17" i="3" s="1"/>
  <c r="P17" i="3" s="1"/>
  <c r="K4" i="3"/>
  <c r="L4" i="3" s="1"/>
  <c r="M4" i="3" s="1"/>
  <c r="N4" i="3" s="1"/>
  <c r="O4" i="3" s="1"/>
  <c r="P4" i="3" s="1"/>
  <c r="D17" i="3"/>
  <c r="E17" i="3" s="1"/>
  <c r="F17" i="3" s="1"/>
  <c r="G17" i="3" s="1"/>
  <c r="H17" i="3" s="1"/>
  <c r="I17" i="3" s="1"/>
  <c r="D4" i="3"/>
  <c r="E4" i="3" s="1"/>
  <c r="F4" i="3" s="1"/>
  <c r="G4" i="3" s="1"/>
  <c r="H4" i="3" s="1"/>
  <c r="I4" i="3" s="1"/>
  <c r="M74" i="16"/>
  <c r="L74" i="16"/>
  <c r="K74" i="16"/>
  <c r="J74" i="16"/>
  <c r="I74" i="16"/>
  <c r="H74" i="16"/>
  <c r="G74" i="16"/>
  <c r="F74" i="16"/>
  <c r="E74" i="16"/>
  <c r="D74" i="16"/>
  <c r="C74" i="16"/>
  <c r="B74" i="16"/>
  <c r="M73" i="16"/>
  <c r="L73" i="16"/>
  <c r="K73" i="16"/>
  <c r="J73" i="16"/>
  <c r="I73" i="16"/>
  <c r="H73" i="16"/>
  <c r="G73" i="16"/>
  <c r="F73" i="16"/>
  <c r="E73" i="16"/>
  <c r="D73" i="16"/>
  <c r="C73" i="16"/>
  <c r="B73" i="16"/>
  <c r="M72" i="16"/>
  <c r="L72" i="16"/>
  <c r="K72" i="16"/>
  <c r="J72" i="16"/>
  <c r="I72" i="16"/>
  <c r="H72" i="16"/>
  <c r="G72" i="16"/>
  <c r="F72" i="16"/>
  <c r="E72" i="16"/>
  <c r="D72" i="16"/>
  <c r="C72" i="16"/>
  <c r="B72" i="16"/>
  <c r="M70" i="16"/>
  <c r="L70" i="16"/>
  <c r="K70" i="16"/>
  <c r="J70" i="16"/>
  <c r="I70" i="16"/>
  <c r="H70" i="16"/>
  <c r="G70" i="16"/>
  <c r="F70" i="16"/>
  <c r="E70" i="16"/>
  <c r="D70" i="16"/>
  <c r="C70" i="16"/>
  <c r="M69" i="16"/>
  <c r="K69" i="16"/>
  <c r="J69" i="16"/>
  <c r="H69" i="16"/>
  <c r="G69" i="16"/>
  <c r="E69" i="16"/>
  <c r="C69" i="16"/>
  <c r="B23" i="16"/>
  <c r="M62" i="16"/>
  <c r="L62" i="16"/>
  <c r="K62" i="16"/>
  <c r="J62" i="16"/>
  <c r="I62" i="16"/>
  <c r="H62" i="16"/>
  <c r="G62" i="16"/>
  <c r="F62" i="16"/>
  <c r="E62" i="16"/>
  <c r="D62" i="16"/>
  <c r="C62" i="16"/>
  <c r="B62" i="16"/>
  <c r="M84" i="16"/>
  <c r="L84" i="16"/>
  <c r="K84" i="16"/>
  <c r="J84" i="16"/>
  <c r="I84" i="16"/>
  <c r="H84" i="16"/>
  <c r="G84" i="16"/>
  <c r="F84" i="16"/>
  <c r="E84" i="16"/>
  <c r="D84" i="16"/>
  <c r="C84" i="16"/>
  <c r="B84" i="16"/>
  <c r="M83" i="16"/>
  <c r="L83" i="16"/>
  <c r="K83" i="16"/>
  <c r="J83" i="16"/>
  <c r="I83" i="16"/>
  <c r="H83" i="16"/>
  <c r="G83" i="16"/>
  <c r="F83" i="16"/>
  <c r="E83" i="16"/>
  <c r="D83" i="16"/>
  <c r="C83" i="16"/>
  <c r="B83" i="16"/>
  <c r="M82" i="16"/>
  <c r="L82" i="16"/>
  <c r="K82" i="16"/>
  <c r="J82" i="16"/>
  <c r="I82" i="16"/>
  <c r="H82" i="16"/>
  <c r="G82" i="16"/>
  <c r="F82" i="16"/>
  <c r="E82" i="16"/>
  <c r="D82" i="16"/>
  <c r="C82" i="16"/>
  <c r="M81" i="16"/>
  <c r="L81" i="16"/>
  <c r="K81" i="16"/>
  <c r="J81" i="16"/>
  <c r="I81" i="16"/>
  <c r="H81" i="16"/>
  <c r="G81" i="16"/>
  <c r="F81" i="16"/>
  <c r="E81" i="16"/>
  <c r="D81" i="16"/>
  <c r="C81" i="16"/>
  <c r="M80" i="16"/>
  <c r="L80" i="16"/>
  <c r="K80" i="16"/>
  <c r="J80" i="16"/>
  <c r="I80" i="16"/>
  <c r="H80" i="16"/>
  <c r="G80" i="16"/>
  <c r="F80" i="16"/>
  <c r="E80" i="16"/>
  <c r="D80" i="16"/>
  <c r="C80" i="16"/>
  <c r="M79" i="16"/>
  <c r="L79" i="16"/>
  <c r="K79" i="16"/>
  <c r="J79" i="16"/>
  <c r="I79" i="16"/>
  <c r="H79" i="16"/>
  <c r="G79" i="16"/>
  <c r="F79" i="16"/>
  <c r="E79" i="16"/>
  <c r="D79" i="16"/>
  <c r="C79" i="16"/>
  <c r="B79" i="16"/>
  <c r="M78" i="16"/>
  <c r="L78" i="16"/>
  <c r="K78" i="16"/>
  <c r="J78" i="16"/>
  <c r="I78" i="16"/>
  <c r="H78" i="16"/>
  <c r="G78" i="16"/>
  <c r="F78" i="16"/>
  <c r="E78" i="16"/>
  <c r="D78" i="16"/>
  <c r="C78" i="16"/>
  <c r="B78" i="16"/>
  <c r="M52" i="16"/>
  <c r="L52" i="16"/>
  <c r="J52" i="16"/>
  <c r="I52" i="16"/>
  <c r="H52" i="16"/>
  <c r="G52" i="16"/>
  <c r="F52" i="16"/>
  <c r="E52" i="16"/>
  <c r="D52" i="16"/>
  <c r="B52" i="16"/>
  <c r="C48" i="16"/>
  <c r="D48" i="16"/>
  <c r="E48" i="16"/>
  <c r="F48" i="16"/>
  <c r="G48" i="16"/>
  <c r="H48" i="16"/>
  <c r="I48" i="16"/>
  <c r="J48" i="16"/>
  <c r="K48" i="16"/>
  <c r="L48" i="16"/>
  <c r="M48" i="16"/>
  <c r="B48" i="16"/>
  <c r="M54" i="16"/>
  <c r="L54" i="16"/>
  <c r="K54" i="16"/>
  <c r="J54" i="16"/>
  <c r="I54" i="16"/>
  <c r="H54" i="16"/>
  <c r="G54" i="16"/>
  <c r="F54" i="16"/>
  <c r="E54" i="16"/>
  <c r="D54" i="16"/>
  <c r="C54" i="16"/>
  <c r="B54" i="16"/>
  <c r="M53" i="16"/>
  <c r="L53" i="16"/>
  <c r="K53" i="16"/>
  <c r="J53" i="16"/>
  <c r="I53" i="16"/>
  <c r="H53" i="16"/>
  <c r="G53" i="16"/>
  <c r="F53" i="16"/>
  <c r="E53" i="16"/>
  <c r="D53" i="16"/>
  <c r="C53" i="16"/>
  <c r="B53" i="16"/>
  <c r="M50" i="16"/>
  <c r="L50" i="16"/>
  <c r="K50" i="16"/>
  <c r="J50" i="16"/>
  <c r="I50" i="16"/>
  <c r="H50" i="16"/>
  <c r="G50" i="16"/>
  <c r="E50" i="16"/>
  <c r="D50" i="16"/>
  <c r="C50" i="16"/>
  <c r="B50" i="16"/>
  <c r="M49" i="16"/>
  <c r="L49" i="16"/>
  <c r="K49" i="16"/>
  <c r="J49" i="16"/>
  <c r="I49" i="16"/>
  <c r="H49" i="16"/>
  <c r="G49" i="16"/>
  <c r="F49" i="16"/>
  <c r="E49" i="16"/>
  <c r="D49" i="16"/>
  <c r="C49" i="16"/>
  <c r="B49" i="16"/>
  <c r="B44" i="16"/>
  <c r="B59" i="16" s="1"/>
  <c r="M42" i="16"/>
  <c r="L42" i="16"/>
  <c r="K42" i="16"/>
  <c r="J42" i="16"/>
  <c r="I42" i="16"/>
  <c r="H42" i="16"/>
  <c r="G42" i="16"/>
  <c r="F42" i="16"/>
  <c r="E42" i="16"/>
  <c r="D42" i="16"/>
  <c r="C42" i="16"/>
  <c r="B42" i="16"/>
  <c r="C72" i="10" s="1"/>
  <c r="M41" i="16"/>
  <c r="L41" i="16"/>
  <c r="K41" i="16"/>
  <c r="J41" i="16"/>
  <c r="I41" i="16"/>
  <c r="H41" i="16"/>
  <c r="G41" i="16"/>
  <c r="F41" i="16"/>
  <c r="E41" i="16"/>
  <c r="D41" i="16"/>
  <c r="C41" i="16"/>
  <c r="M40" i="16"/>
  <c r="L40" i="16"/>
  <c r="K40" i="16"/>
  <c r="J40" i="16"/>
  <c r="I40" i="16"/>
  <c r="H40" i="16"/>
  <c r="G40" i="16"/>
  <c r="F40" i="16"/>
  <c r="E40" i="16"/>
  <c r="D40" i="16"/>
  <c r="C40" i="16"/>
  <c r="B40" i="16"/>
  <c r="C69" i="10" s="1"/>
  <c r="M39" i="16"/>
  <c r="M26" i="16" s="1"/>
  <c r="L39" i="16"/>
  <c r="K39" i="16"/>
  <c r="J39" i="16"/>
  <c r="I39" i="16"/>
  <c r="I26" i="16" s="1"/>
  <c r="H39" i="16"/>
  <c r="G39" i="16"/>
  <c r="F39" i="16"/>
  <c r="E39" i="16"/>
  <c r="E60" i="16" s="1"/>
  <c r="D39" i="16"/>
  <c r="D60" i="16" s="1"/>
  <c r="C39" i="16"/>
  <c r="C26" i="16" s="1"/>
  <c r="B39" i="16"/>
  <c r="B60" i="16" s="1"/>
  <c r="M33" i="16"/>
  <c r="L33" i="16"/>
  <c r="K33" i="16"/>
  <c r="J33" i="16"/>
  <c r="I33" i="16"/>
  <c r="H33" i="16"/>
  <c r="G33" i="16"/>
  <c r="F33" i="16"/>
  <c r="E33" i="16"/>
  <c r="D33" i="16"/>
  <c r="C33" i="16"/>
  <c r="E24" i="4" s="1"/>
  <c r="B33" i="16"/>
  <c r="F24" i="4" s="1"/>
  <c r="M32" i="16"/>
  <c r="L32" i="16"/>
  <c r="L34" i="16" s="1"/>
  <c r="K32" i="16"/>
  <c r="K34" i="16" s="1"/>
  <c r="J32" i="16"/>
  <c r="J34" i="16" s="1"/>
  <c r="I32" i="16"/>
  <c r="I34" i="16" s="1"/>
  <c r="H32" i="16"/>
  <c r="G32" i="16"/>
  <c r="G34" i="16" s="1"/>
  <c r="F32" i="16"/>
  <c r="F34" i="16" s="1"/>
  <c r="E32" i="16"/>
  <c r="E34" i="16" s="1"/>
  <c r="D32" i="16"/>
  <c r="D23" i="4" s="1"/>
  <c r="C32" i="16"/>
  <c r="E23" i="4" s="1"/>
  <c r="B32" i="16"/>
  <c r="F23" i="4" s="1"/>
  <c r="M28" i="16"/>
  <c r="L28" i="16"/>
  <c r="K28" i="16"/>
  <c r="J28" i="16"/>
  <c r="I28" i="16"/>
  <c r="H28" i="16"/>
  <c r="G28" i="16"/>
  <c r="F28" i="16"/>
  <c r="E28" i="16"/>
  <c r="D28" i="16"/>
  <c r="D29" i="4" s="1"/>
  <c r="C28" i="16"/>
  <c r="B28" i="16"/>
  <c r="F29" i="4" s="1"/>
  <c r="M27" i="16"/>
  <c r="M35" i="16" s="1"/>
  <c r="L27" i="16"/>
  <c r="L35" i="16" s="1"/>
  <c r="K27" i="16"/>
  <c r="K35" i="16" s="1"/>
  <c r="J27" i="16"/>
  <c r="J35" i="16" s="1"/>
  <c r="I27" i="16"/>
  <c r="I35" i="16" s="1"/>
  <c r="H27" i="16"/>
  <c r="G27" i="16"/>
  <c r="G35" i="16" s="1"/>
  <c r="F27" i="16"/>
  <c r="E27" i="16"/>
  <c r="D27" i="16"/>
  <c r="D35" i="16" s="1"/>
  <c r="C27" i="16"/>
  <c r="E30" i="4" s="1"/>
  <c r="B27" i="16"/>
  <c r="F30" i="4" s="1"/>
  <c r="M23" i="16"/>
  <c r="L23" i="16"/>
  <c r="K23" i="16"/>
  <c r="J23" i="16"/>
  <c r="I23" i="16"/>
  <c r="H23" i="16"/>
  <c r="G23" i="16"/>
  <c r="E23" i="16"/>
  <c r="D23" i="16"/>
  <c r="D17" i="4" s="1"/>
  <c r="C23" i="16"/>
  <c r="E17" i="4"/>
  <c r="M21" i="16"/>
  <c r="L21" i="16"/>
  <c r="K21" i="16"/>
  <c r="J21" i="16"/>
  <c r="L20" i="22" s="1"/>
  <c r="I21" i="16"/>
  <c r="H21" i="16"/>
  <c r="G21" i="16"/>
  <c r="I20" i="22" s="1"/>
  <c r="E21" i="16"/>
  <c r="D21" i="16"/>
  <c r="C21" i="16"/>
  <c r="E16" i="4" s="1"/>
  <c r="B21" i="16"/>
  <c r="M17" i="16"/>
  <c r="L17" i="16"/>
  <c r="K17" i="16"/>
  <c r="J17" i="16"/>
  <c r="I17" i="16"/>
  <c r="H17" i="16"/>
  <c r="G17" i="16"/>
  <c r="F17" i="16"/>
  <c r="E17" i="16"/>
  <c r="D17" i="16"/>
  <c r="C17" i="16"/>
  <c r="B17" i="16"/>
  <c r="M15" i="16"/>
  <c r="L15" i="16"/>
  <c r="K15" i="16"/>
  <c r="J15" i="16"/>
  <c r="I15" i="16"/>
  <c r="H15" i="16"/>
  <c r="G15" i="16"/>
  <c r="F15" i="16"/>
  <c r="E15" i="16"/>
  <c r="D15" i="16"/>
  <c r="D14" i="4"/>
  <c r="C15" i="16"/>
  <c r="E14" i="4" s="1"/>
  <c r="B15" i="16"/>
  <c r="F14" i="4" s="1"/>
  <c r="M14" i="16"/>
  <c r="L14" i="16"/>
  <c r="K14" i="16"/>
  <c r="J14" i="16"/>
  <c r="I14" i="16"/>
  <c r="H14" i="16"/>
  <c r="G14" i="16"/>
  <c r="F14" i="16"/>
  <c r="E14" i="16"/>
  <c r="D14" i="16"/>
  <c r="D13" i="4" s="1"/>
  <c r="C14" i="16"/>
  <c r="E13" i="4" s="1"/>
  <c r="B14" i="16"/>
  <c r="C63" i="10" s="1"/>
  <c r="C11" i="16"/>
  <c r="E8" i="4" s="1"/>
  <c r="D11" i="16"/>
  <c r="D8" i="4" s="1"/>
  <c r="D12" i="4" s="1"/>
  <c r="E11" i="16"/>
  <c r="F11" i="16"/>
  <c r="G11" i="16"/>
  <c r="H11" i="16"/>
  <c r="I11" i="16"/>
  <c r="J11" i="16"/>
  <c r="K11" i="16"/>
  <c r="L11" i="16"/>
  <c r="M11" i="16"/>
  <c r="B11" i="16"/>
  <c r="C7" i="16"/>
  <c r="D7" i="16"/>
  <c r="E7" i="16"/>
  <c r="F7" i="16"/>
  <c r="G7" i="16"/>
  <c r="H7" i="16"/>
  <c r="I7" i="16"/>
  <c r="J7" i="16"/>
  <c r="K7" i="16"/>
  <c r="L7" i="16"/>
  <c r="M7" i="16"/>
  <c r="B7" i="16"/>
  <c r="M5" i="16"/>
  <c r="L5" i="16"/>
  <c r="K5" i="16"/>
  <c r="J5" i="16"/>
  <c r="I5" i="16"/>
  <c r="H5" i="16"/>
  <c r="G5" i="16"/>
  <c r="F5" i="16"/>
  <c r="F22" i="16" s="1"/>
  <c r="E5" i="16"/>
  <c r="C57" i="10" s="1"/>
  <c r="D5" i="16"/>
  <c r="D6" i="16" s="1"/>
  <c r="D5" i="4" s="1"/>
  <c r="C5" i="16"/>
  <c r="M13" i="17"/>
  <c r="L13" i="17"/>
  <c r="L14" i="17" s="1"/>
  <c r="K13" i="17"/>
  <c r="K14" i="17" s="1"/>
  <c r="J13" i="17"/>
  <c r="J14" i="17" s="1"/>
  <c r="I13" i="17"/>
  <c r="I14" i="17" s="1"/>
  <c r="H13" i="17"/>
  <c r="H14" i="17" s="1"/>
  <c r="G13" i="17"/>
  <c r="G14" i="17" s="1"/>
  <c r="F13" i="17"/>
  <c r="F14" i="17" s="1"/>
  <c r="E13" i="17"/>
  <c r="D68" i="16"/>
  <c r="E68" i="16"/>
  <c r="F68" i="16"/>
  <c r="G68" i="16"/>
  <c r="H68" i="16"/>
  <c r="I68" i="16"/>
  <c r="K68" i="16"/>
  <c r="M71" i="16"/>
  <c r="L71" i="16"/>
  <c r="K71" i="16"/>
  <c r="J71" i="16"/>
  <c r="I71" i="16"/>
  <c r="H71" i="16"/>
  <c r="G71" i="16"/>
  <c r="F71" i="16"/>
  <c r="E71" i="16"/>
  <c r="D71" i="16"/>
  <c r="C71" i="16"/>
  <c r="B71" i="16"/>
  <c r="B67" i="16"/>
  <c r="M75" i="16"/>
  <c r="L75" i="16"/>
  <c r="K75" i="16"/>
  <c r="J75" i="16"/>
  <c r="I75" i="16"/>
  <c r="H75" i="16"/>
  <c r="G75" i="16"/>
  <c r="F75" i="16"/>
  <c r="E75" i="16"/>
  <c r="D75" i="16"/>
  <c r="M67" i="16"/>
  <c r="J67" i="16"/>
  <c r="I67" i="16"/>
  <c r="H67" i="16"/>
  <c r="G67" i="16"/>
  <c r="F67" i="16"/>
  <c r="E67" i="16"/>
  <c r="D67" i="16"/>
  <c r="C67" i="16"/>
  <c r="C31" i="17"/>
  <c r="D31" i="17"/>
  <c r="E31" i="17"/>
  <c r="E37" i="17" s="1"/>
  <c r="E43" i="16" s="1"/>
  <c r="F31" i="17"/>
  <c r="G31" i="17"/>
  <c r="H31" i="17"/>
  <c r="I31" i="17"/>
  <c r="J31" i="17"/>
  <c r="K31" i="17"/>
  <c r="L31" i="17"/>
  <c r="M31" i="17"/>
  <c r="C44" i="16"/>
  <c r="C59" i="16" s="1"/>
  <c r="B56" i="16"/>
  <c r="D50" i="17"/>
  <c r="D55" i="16" s="1"/>
  <c r="E50" i="17"/>
  <c r="E55" i="16"/>
  <c r="F50" i="17"/>
  <c r="F55" i="16" s="1"/>
  <c r="G50" i="17"/>
  <c r="G55" i="16" s="1"/>
  <c r="H50" i="17"/>
  <c r="H55" i="16" s="1"/>
  <c r="I50" i="17"/>
  <c r="I55" i="16" s="1"/>
  <c r="J50" i="17"/>
  <c r="J55" i="16" s="1"/>
  <c r="L50" i="17"/>
  <c r="L55" i="16" s="1"/>
  <c r="M50" i="17"/>
  <c r="M55" i="16" s="1"/>
  <c r="C46" i="17"/>
  <c r="C51" i="16" s="1"/>
  <c r="D46" i="17"/>
  <c r="D51" i="16"/>
  <c r="E46" i="17"/>
  <c r="E51" i="16" s="1"/>
  <c r="G46" i="17"/>
  <c r="G51" i="16" s="1"/>
  <c r="H46" i="17"/>
  <c r="H51" i="16" s="1"/>
  <c r="I46" i="17"/>
  <c r="I51" i="16" s="1"/>
  <c r="J46" i="17"/>
  <c r="J51" i="16"/>
  <c r="K46" i="17"/>
  <c r="K51" i="16" s="1"/>
  <c r="L46" i="17"/>
  <c r="L51" i="16" s="1"/>
  <c r="M46" i="17"/>
  <c r="B51" i="16"/>
  <c r="AB38" i="17"/>
  <c r="G46" i="4"/>
  <c r="F45" i="4"/>
  <c r="O47" i="4"/>
  <c r="S47" i="4"/>
  <c r="K45" i="4"/>
  <c r="O45" i="4"/>
  <c r="M45" i="4"/>
  <c r="U45" i="4"/>
  <c r="Z45" i="4"/>
  <c r="H47" i="4"/>
  <c r="AA46" i="4"/>
  <c r="AE46" i="4"/>
  <c r="AC47" i="4"/>
  <c r="L46" i="4"/>
  <c r="Y46" i="4"/>
  <c r="N45" i="4"/>
  <c r="D13" i="17"/>
  <c r="D14" i="17" s="1"/>
  <c r="E5" i="4"/>
  <c r="M51" i="16"/>
  <c r="B2" i="3"/>
  <c r="C5" i="17"/>
  <c r="D5" i="17" s="1"/>
  <c r="B4" i="16"/>
  <c r="B91" i="16" s="1"/>
  <c r="L45" i="1"/>
  <c r="M45" i="1" s="1"/>
  <c r="B53" i="1"/>
  <c r="B52" i="1" s="1"/>
  <c r="B51" i="1" s="1"/>
  <c r="B50" i="1" s="1"/>
  <c r="B49" i="1" s="1"/>
  <c r="B48" i="1" s="1"/>
  <c r="B47" i="1" s="1"/>
  <c r="B46" i="1" s="1"/>
  <c r="B45" i="1" s="1"/>
  <c r="C12" i="19"/>
  <c r="C13" i="19"/>
  <c r="C14" i="19"/>
  <c r="C15" i="19"/>
  <c r="C16" i="19"/>
  <c r="C17" i="19"/>
  <c r="C18" i="19"/>
  <c r="C19" i="19"/>
  <c r="C20" i="19"/>
  <c r="C21" i="19"/>
  <c r="C22" i="19"/>
  <c r="C7" i="19"/>
  <c r="C9" i="19"/>
  <c r="C10" i="19"/>
  <c r="M22" i="17"/>
  <c r="M18" i="16" s="1"/>
  <c r="AD53" i="17"/>
  <c r="AC53" i="17"/>
  <c r="AD52" i="17"/>
  <c r="AC52" i="17"/>
  <c r="AG49" i="17"/>
  <c r="AG52" i="17"/>
  <c r="AF49" i="17"/>
  <c r="AE49" i="17"/>
  <c r="AB49" i="17"/>
  <c r="AB53" i="17" s="1"/>
  <c r="AA49" i="17"/>
  <c r="AA53" i="17" s="1"/>
  <c r="Z49" i="17"/>
  <c r="Z53" i="17" s="1"/>
  <c r="Z52" i="17"/>
  <c r="E56" i="17"/>
  <c r="E64" i="16" s="1"/>
  <c r="AD48" i="17"/>
  <c r="AC48" i="17"/>
  <c r="AB48" i="17"/>
  <c r="AA48" i="17"/>
  <c r="Z48" i="17"/>
  <c r="AG44" i="17"/>
  <c r="AG48" i="17" s="1"/>
  <c r="AF44" i="17"/>
  <c r="AF53" i="17" s="1"/>
  <c r="AF48" i="17"/>
  <c r="AE44" i="17"/>
  <c r="AE48" i="17"/>
  <c r="AG39" i="17"/>
  <c r="AF39" i="17"/>
  <c r="AE39" i="17"/>
  <c r="AD39" i="17"/>
  <c r="AC39" i="17"/>
  <c r="AB31" i="17"/>
  <c r="AA31" i="17"/>
  <c r="AA39" i="17" s="1"/>
  <c r="Z31" i="17"/>
  <c r="Z39" i="17"/>
  <c r="M14" i="17"/>
  <c r="E14" i="17"/>
  <c r="AA25" i="17"/>
  <c r="O74" i="17"/>
  <c r="AE12" i="17"/>
  <c r="AG11" i="17"/>
  <c r="AF11" i="17"/>
  <c r="AE11" i="17"/>
  <c r="AD11" i="17"/>
  <c r="L22" i="17"/>
  <c r="L18" i="16" s="1"/>
  <c r="H22" i="17"/>
  <c r="H18" i="16" s="1"/>
  <c r="D22" i="17"/>
  <c r="D18" i="16" s="1"/>
  <c r="J22" i="17"/>
  <c r="J18" i="16" s="1"/>
  <c r="G22" i="17"/>
  <c r="G18" i="16" s="1"/>
  <c r="F22" i="17"/>
  <c r="F18" i="16" s="1"/>
  <c r="E22" i="17"/>
  <c r="E18" i="16" s="1"/>
  <c r="C22" i="17"/>
  <c r="C18" i="16" s="1"/>
  <c r="AG9" i="17"/>
  <c r="AF9" i="17"/>
  <c r="AD9" i="17"/>
  <c r="AC9" i="17"/>
  <c r="AB9" i="17"/>
  <c r="AA9" i="17"/>
  <c r="Z9" i="17"/>
  <c r="AG10" i="17"/>
  <c r="AF10" i="17"/>
  <c r="AE10" i="17"/>
  <c r="AD10" i="17"/>
  <c r="AC10" i="17"/>
  <c r="AB10" i="17"/>
  <c r="AA10" i="17"/>
  <c r="Z10" i="17"/>
  <c r="AG7" i="17"/>
  <c r="AG8" i="17"/>
  <c r="AF7" i="17"/>
  <c r="AF8" i="17" s="1"/>
  <c r="AE7" i="17"/>
  <c r="AE8" i="17" s="1"/>
  <c r="AD7" i="17"/>
  <c r="AD8" i="17"/>
  <c r="AD13" i="17" s="1"/>
  <c r="AD14" i="17" s="1"/>
  <c r="AC7" i="17"/>
  <c r="AC8" i="17" s="1"/>
  <c r="AC13" i="17" s="1"/>
  <c r="AC14" i="17" s="1"/>
  <c r="AB7" i="17"/>
  <c r="AB8" i="17" s="1"/>
  <c r="AA7" i="17"/>
  <c r="AA8" i="17" s="1"/>
  <c r="Z7" i="17"/>
  <c r="Z8" i="17"/>
  <c r="Z13" i="17" s="1"/>
  <c r="Z14" i="17" s="1"/>
  <c r="O7" i="17"/>
  <c r="A2" i="16"/>
  <c r="A1" i="16"/>
  <c r="D13" i="3"/>
  <c r="B11" i="3" s="1"/>
  <c r="B12" i="3"/>
  <c r="C22" i="1"/>
  <c r="D44" i="4"/>
  <c r="E44" i="4"/>
  <c r="F44" i="4"/>
  <c r="G28" i="4" s="1"/>
  <c r="F5" i="4"/>
  <c r="D56" i="16"/>
  <c r="G56" i="16"/>
  <c r="J56" i="16"/>
  <c r="E56" i="16"/>
  <c r="B80" i="16"/>
  <c r="B64" i="16"/>
  <c r="C77" i="10" s="1"/>
  <c r="H56" i="16"/>
  <c r="B82" i="16"/>
  <c r="B81" i="16"/>
  <c r="L56" i="16"/>
  <c r="M56" i="16"/>
  <c r="F56" i="16"/>
  <c r="I56" i="16"/>
  <c r="AF52" i="17"/>
  <c r="AE52" i="17"/>
  <c r="C76" i="10"/>
  <c r="F36" i="17"/>
  <c r="J56" i="17"/>
  <c r="J64" i="16" s="1"/>
  <c r="J36" i="17"/>
  <c r="M44" i="16"/>
  <c r="M36" i="17"/>
  <c r="I44" i="16"/>
  <c r="I36" i="17"/>
  <c r="E44" i="16"/>
  <c r="E59" i="16" s="1"/>
  <c r="G36" i="17"/>
  <c r="K36" i="17"/>
  <c r="K37" i="17"/>
  <c r="K43" i="16" s="1"/>
  <c r="H56" i="17"/>
  <c r="H64" i="16" s="1"/>
  <c r="H36" i="17"/>
  <c r="L44" i="16"/>
  <c r="L36" i="17"/>
  <c r="G56" i="17"/>
  <c r="G64" i="16" s="1"/>
  <c r="J44" i="16"/>
  <c r="M56" i="17"/>
  <c r="M64" i="16" s="1"/>
  <c r="F56" i="17"/>
  <c r="K44" i="16"/>
  <c r="F44" i="16"/>
  <c r="G44" i="16"/>
  <c r="H44" i="16"/>
  <c r="L56" i="17"/>
  <c r="L64" i="16" s="1"/>
  <c r="I56" i="17"/>
  <c r="I64" i="16" s="1"/>
  <c r="F64" i="16"/>
  <c r="D36" i="17"/>
  <c r="D56" i="17"/>
  <c r="D64" i="16" s="1"/>
  <c r="C56" i="17"/>
  <c r="C64" i="16" s="1"/>
  <c r="C56" i="16"/>
  <c r="C47" i="17"/>
  <c r="C52" i="16" s="1"/>
  <c r="C50" i="17"/>
  <c r="D44" i="16"/>
  <c r="D59" i="16" s="1"/>
  <c r="C55" i="16"/>
  <c r="B68" i="16"/>
  <c r="B75" i="16"/>
  <c r="C68" i="16"/>
  <c r="C67" i="17"/>
  <c r="E25" i="4" s="1"/>
  <c r="K56" i="17"/>
  <c r="K64" i="16" s="1"/>
  <c r="K56" i="16"/>
  <c r="K52" i="16"/>
  <c r="K63" i="17"/>
  <c r="K67" i="16"/>
  <c r="L67" i="16"/>
  <c r="J68" i="16"/>
  <c r="L68" i="16"/>
  <c r="M68" i="16"/>
  <c r="B41" i="16"/>
  <c r="C70" i="10" s="1"/>
  <c r="B31" i="17"/>
  <c r="R7" i="19" l="1"/>
  <c r="N71" i="3"/>
  <c r="J37" i="17"/>
  <c r="J43" i="16" s="1"/>
  <c r="AA52" i="17"/>
  <c r="H37" i="17"/>
  <c r="H43" i="16" s="1"/>
  <c r="K20" i="22"/>
  <c r="N18" i="3"/>
  <c r="J6" i="16"/>
  <c r="O21" i="3"/>
  <c r="G63" i="17"/>
  <c r="L21" i="3"/>
  <c r="N62" i="3"/>
  <c r="L27" i="3"/>
  <c r="K1048545" i="3"/>
  <c r="H84" i="3" s="1"/>
  <c r="M30" i="3"/>
  <c r="I31" i="3"/>
  <c r="N72" i="3"/>
  <c r="M34" i="16"/>
  <c r="H20" i="22"/>
  <c r="AE13" i="17"/>
  <c r="M19" i="16"/>
  <c r="M20" i="16" s="1"/>
  <c r="F20" i="22"/>
  <c r="AB52" i="17"/>
  <c r="D36" i="16"/>
  <c r="K21" i="3"/>
  <c r="C63" i="17"/>
  <c r="O28" i="3"/>
  <c r="L63" i="3"/>
  <c r="AB13" i="17"/>
  <c r="AB14" i="17" s="1"/>
  <c r="R1048545" i="3"/>
  <c r="F75" i="3" s="1"/>
  <c r="AA13" i="17"/>
  <c r="AA14" i="17" s="1"/>
  <c r="AG53" i="17"/>
  <c r="C87" i="17"/>
  <c r="AG13" i="17"/>
  <c r="AG14" i="17" s="1"/>
  <c r="I37" i="17"/>
  <c r="I43" i="16" s="1"/>
  <c r="P80" i="3"/>
  <c r="I29" i="16"/>
  <c r="B10" i="3"/>
  <c r="AB39" i="17"/>
  <c r="F37" i="17"/>
  <c r="F43" i="16" s="1"/>
  <c r="J36" i="16"/>
  <c r="J63" i="17"/>
  <c r="L24" i="16"/>
  <c r="K19" i="16"/>
  <c r="K36" i="16"/>
  <c r="AE14" i="17"/>
  <c r="M12" i="16"/>
  <c r="M13" i="16" s="1"/>
  <c r="F69" i="16"/>
  <c r="M18" i="3"/>
  <c r="L62" i="3"/>
  <c r="K30" i="3"/>
  <c r="E31" i="3"/>
  <c r="X1048545" i="3"/>
  <c r="N30" i="3"/>
  <c r="M80" i="3"/>
  <c r="L80" i="3"/>
  <c r="L36" i="16"/>
  <c r="AE53" i="17"/>
  <c r="I22" i="17"/>
  <c r="I18" i="16" s="1"/>
  <c r="D63" i="17"/>
  <c r="F74" i="3"/>
  <c r="H1048545" i="3"/>
  <c r="O18" i="3"/>
  <c r="S1048545" i="3"/>
  <c r="F84" i="3" s="1"/>
  <c r="E24" i="22"/>
  <c r="N24" i="22" s="1"/>
  <c r="F24" i="22"/>
  <c r="L18" i="3"/>
  <c r="L1048545" i="3"/>
  <c r="N81" i="3"/>
  <c r="T1048545" i="3"/>
  <c r="F52" i="1"/>
  <c r="Q53" i="1" s="1"/>
  <c r="L19" i="3"/>
  <c r="F22" i="3"/>
  <c r="O63" i="3"/>
  <c r="L69" i="16"/>
  <c r="F54" i="1"/>
  <c r="AB1048545" i="3"/>
  <c r="K20" i="16"/>
  <c r="G37" i="17"/>
  <c r="G43" i="16" s="1"/>
  <c r="AF13" i="17"/>
  <c r="AF14" i="17" s="1"/>
  <c r="L16" i="16"/>
  <c r="L37" i="17"/>
  <c r="L43" i="16" s="1"/>
  <c r="K16" i="16"/>
  <c r="D37" i="17"/>
  <c r="D43" i="16" s="1"/>
  <c r="J8" i="16"/>
  <c r="J16" i="16"/>
  <c r="I19" i="16"/>
  <c r="I20" i="16" s="1"/>
  <c r="Q47" i="1"/>
  <c r="I58" i="16"/>
  <c r="I59" i="16" s="1"/>
  <c r="L6" i="16"/>
  <c r="H6" i="16"/>
  <c r="B22" i="17"/>
  <c r="B18" i="16" s="1"/>
  <c r="B67" i="17"/>
  <c r="F25" i="4" s="1"/>
  <c r="F1048545" i="3"/>
  <c r="I75" i="3" s="1"/>
  <c r="B71" i="3" s="1"/>
  <c r="L83" i="3"/>
  <c r="D26" i="22"/>
  <c r="O71" i="3"/>
  <c r="J26" i="22"/>
  <c r="C13" i="17"/>
  <c r="C14" i="17" s="1"/>
  <c r="M21" i="3"/>
  <c r="H63" i="17"/>
  <c r="E63" i="17"/>
  <c r="J1048545" i="3"/>
  <c r="H75" i="3" s="1"/>
  <c r="O75" i="3" s="1"/>
  <c r="F63" i="17"/>
  <c r="G1048545" i="3"/>
  <c r="I84" i="3" s="1"/>
  <c r="N28" i="3"/>
  <c r="O30" i="3"/>
  <c r="E5" i="17"/>
  <c r="F5" i="17" s="1"/>
  <c r="G5" i="17" s="1"/>
  <c r="H5" i="17" s="1"/>
  <c r="I5" i="17" s="1"/>
  <c r="J5" i="17" s="1"/>
  <c r="K5" i="17" s="1"/>
  <c r="L5" i="17" s="1"/>
  <c r="M5" i="17" s="1"/>
  <c r="D87" i="17"/>
  <c r="N83" i="3"/>
  <c r="R6" i="19"/>
  <c r="H31" i="3"/>
  <c r="O31" i="3" s="1"/>
  <c r="W1048545" i="3"/>
  <c r="E84" i="3" s="1"/>
  <c r="M84" i="3" s="1"/>
  <c r="D31" i="3"/>
  <c r="I26" i="22"/>
  <c r="O19" i="3"/>
  <c r="H26" i="22"/>
  <c r="E24" i="16"/>
  <c r="F35" i="16"/>
  <c r="F36" i="16" s="1"/>
  <c r="M37" i="17"/>
  <c r="M43" i="16" s="1"/>
  <c r="I1048545" i="3"/>
  <c r="H66" i="3" s="1"/>
  <c r="O1048545" i="3"/>
  <c r="G84" i="3" s="1"/>
  <c r="N84" i="3" s="1"/>
  <c r="AA1048545" i="3"/>
  <c r="D84" i="3" s="1"/>
  <c r="M29" i="16"/>
  <c r="E22" i="16"/>
  <c r="M9" i="16"/>
  <c r="M10" i="16" s="1"/>
  <c r="K9" i="16"/>
  <c r="K10" i="16" s="1"/>
  <c r="E8" i="16"/>
  <c r="B70" i="16"/>
  <c r="B37" i="17"/>
  <c r="B43" i="16" s="1"/>
  <c r="E24" i="1" s="1"/>
  <c r="D67" i="17"/>
  <c r="D25" i="4" s="1"/>
  <c r="D26" i="4" s="1"/>
  <c r="D34" i="4" s="1"/>
  <c r="N63" i="3"/>
  <c r="G22" i="3"/>
  <c r="N22" i="3" s="1"/>
  <c r="F26" i="22"/>
  <c r="O84" i="3"/>
  <c r="R9" i="19"/>
  <c r="I65" i="3"/>
  <c r="P65" i="3" s="1"/>
  <c r="C254" i="22"/>
  <c r="B13" i="17"/>
  <c r="B14" i="17" s="1"/>
  <c r="G31" i="3"/>
  <c r="O13" i="3"/>
  <c r="F31" i="3"/>
  <c r="L31" i="3" s="1"/>
  <c r="N13" i="3"/>
  <c r="L30" i="3"/>
  <c r="Y1048545" i="3"/>
  <c r="D66" i="3" s="1"/>
  <c r="L66" i="3" s="1"/>
  <c r="O83" i="3"/>
  <c r="I69" i="16"/>
  <c r="D12" i="16"/>
  <c r="D19" i="16"/>
  <c r="F31" i="22" s="1"/>
  <c r="D8" i="16"/>
  <c r="D16" i="16"/>
  <c r="D43" i="4"/>
  <c r="D24" i="16"/>
  <c r="D22" i="16"/>
  <c r="G58" i="16"/>
  <c r="G59" i="16" s="1"/>
  <c r="I36" i="16"/>
  <c r="F6" i="16"/>
  <c r="F12" i="16"/>
  <c r="L8" i="16"/>
  <c r="D9" i="16"/>
  <c r="D10" i="16" s="1"/>
  <c r="J9" i="16"/>
  <c r="J10" i="16" s="1"/>
  <c r="L26" i="16"/>
  <c r="L29" i="16" s="1"/>
  <c r="G20" i="22"/>
  <c r="B73" i="3"/>
  <c r="O81" i="3"/>
  <c r="P74" i="3"/>
  <c r="M22" i="3"/>
  <c r="P62" i="3"/>
  <c r="O62" i="3"/>
  <c r="M66" i="3"/>
  <c r="N75" i="3"/>
  <c r="B81" i="3"/>
  <c r="P81" i="3"/>
  <c r="N31" i="3"/>
  <c r="M83" i="3"/>
  <c r="B84" i="3"/>
  <c r="P84" i="3"/>
  <c r="B80" i="3"/>
  <c r="B82" i="3"/>
  <c r="P83" i="3"/>
  <c r="B83" i="3"/>
  <c r="I66" i="3"/>
  <c r="C1048543" i="3"/>
  <c r="C1048542" i="3"/>
  <c r="C1048544" i="3"/>
  <c r="C1048541" i="3"/>
  <c r="N65" i="3"/>
  <c r="O65" i="3"/>
  <c r="N19" i="3"/>
  <c r="E22" i="3"/>
  <c r="L22" i="3" s="1"/>
  <c r="M1048545" i="3"/>
  <c r="G66" i="3" s="1"/>
  <c r="N66" i="3" s="1"/>
  <c r="I72" i="3"/>
  <c r="H72" i="3"/>
  <c r="O72" i="3" s="1"/>
  <c r="G74" i="3"/>
  <c r="N74" i="3" s="1"/>
  <c r="E65" i="3"/>
  <c r="L65" i="3" s="1"/>
  <c r="P63" i="3"/>
  <c r="B28" i="3"/>
  <c r="P71" i="3"/>
  <c r="D22" i="3"/>
  <c r="B18" i="3" s="1"/>
  <c r="K18" i="3"/>
  <c r="K19" i="3"/>
  <c r="I22" i="3"/>
  <c r="O22" i="3" s="1"/>
  <c r="M19" i="3"/>
  <c r="N21" i="3"/>
  <c r="M62" i="3"/>
  <c r="Q48" i="1"/>
  <c r="C68" i="10"/>
  <c r="C73" i="10"/>
  <c r="C31" i="10" s="1"/>
  <c r="E36" i="10"/>
  <c r="E35" i="10"/>
  <c r="E34" i="10"/>
  <c r="C24" i="10"/>
  <c r="G8" i="16"/>
  <c r="G22" i="16"/>
  <c r="E35" i="16"/>
  <c r="E36" i="16" s="1"/>
  <c r="L58" i="16"/>
  <c r="L60" i="16" s="1"/>
  <c r="G36" i="16"/>
  <c r="L22" i="16"/>
  <c r="D7" i="4"/>
  <c r="C37" i="17"/>
  <c r="C43" i="16" s="1"/>
  <c r="C6" i="16"/>
  <c r="M16" i="16"/>
  <c r="G9" i="16"/>
  <c r="G10" i="16" s="1"/>
  <c r="D30" i="4"/>
  <c r="D35" i="4" s="1"/>
  <c r="E16" i="16"/>
  <c r="E9" i="16"/>
  <c r="E10" i="16" s="1"/>
  <c r="I8" i="16"/>
  <c r="K58" i="16"/>
  <c r="K59" i="16" s="1"/>
  <c r="I12" i="16"/>
  <c r="M58" i="16"/>
  <c r="M59" i="16" s="1"/>
  <c r="G24" i="16"/>
  <c r="F16" i="16"/>
  <c r="I16" i="16"/>
  <c r="L12" i="16"/>
  <c r="K22" i="16"/>
  <c r="J12" i="16"/>
  <c r="L19" i="16"/>
  <c r="L20" i="16" s="1"/>
  <c r="D26" i="16"/>
  <c r="D29" i="16" s="1"/>
  <c r="J19" i="16"/>
  <c r="J20" i="16" s="1"/>
  <c r="M22" i="16"/>
  <c r="M24" i="16"/>
  <c r="M25" i="16" s="1"/>
  <c r="M36" i="16"/>
  <c r="J26" i="16"/>
  <c r="J29" i="16" s="1"/>
  <c r="J58" i="16"/>
  <c r="J59" i="16" s="1"/>
  <c r="K60" i="16"/>
  <c r="L59" i="16"/>
  <c r="E12" i="16"/>
  <c r="D13" i="16" s="1"/>
  <c r="G12" i="16"/>
  <c r="F13" i="16" s="1"/>
  <c r="K26" i="16"/>
  <c r="K29" i="16" s="1"/>
  <c r="D16" i="4"/>
  <c r="E19" i="16"/>
  <c r="D34" i="16"/>
  <c r="F19" i="16"/>
  <c r="F20" i="16" s="1"/>
  <c r="M6" i="16"/>
  <c r="J22" i="16"/>
  <c r="D15" i="4"/>
  <c r="L9" i="16"/>
  <c r="L10" i="16" s="1"/>
  <c r="G19" i="16"/>
  <c r="G20" i="16" s="1"/>
  <c r="I9" i="16"/>
  <c r="I10" i="16" s="1"/>
  <c r="G16" i="16"/>
  <c r="J24" i="16"/>
  <c r="H26" i="16"/>
  <c r="H29" i="16" s="1"/>
  <c r="C35" i="16"/>
  <c r="C36" i="16" s="1"/>
  <c r="C34" i="16"/>
  <c r="I24" i="16"/>
  <c r="K24" i="16"/>
  <c r="K25" i="16" s="1"/>
  <c r="I6" i="16"/>
  <c r="M8" i="16"/>
  <c r="E26" i="16"/>
  <c r="E29" i="16" s="1"/>
  <c r="D30" i="16" s="1"/>
  <c r="D31" i="16" s="1"/>
  <c r="K6" i="16"/>
  <c r="K12" i="16"/>
  <c r="K8" i="16"/>
  <c r="I22" i="16"/>
  <c r="Q50" i="1"/>
  <c r="C4" i="16"/>
  <c r="C91" i="16" s="1"/>
  <c r="Q49" i="1"/>
  <c r="J39" i="10"/>
  <c r="I46" i="4"/>
  <c r="S46" i="4"/>
  <c r="X46" i="4"/>
  <c r="AD46" i="4"/>
  <c r="J45" i="4"/>
  <c r="V47" i="4"/>
  <c r="I47" i="4"/>
  <c r="O46" i="4"/>
  <c r="AC46" i="4"/>
  <c r="P46" i="4"/>
  <c r="Z46" i="4"/>
  <c r="J39" i="1"/>
  <c r="N47" i="4"/>
  <c r="AF45" i="4"/>
  <c r="K46" i="4"/>
  <c r="U46" i="4"/>
  <c r="H46" i="4"/>
  <c r="V46" i="4"/>
  <c r="G45" i="4"/>
  <c r="AB45" i="4"/>
  <c r="AF47" i="4"/>
  <c r="M46" i="4"/>
  <c r="Y47" i="4"/>
  <c r="R46" i="4"/>
  <c r="Q46" i="4"/>
  <c r="U47" i="4"/>
  <c r="W46" i="4"/>
  <c r="R45" i="4"/>
  <c r="AF46" i="4"/>
  <c r="G47" i="4"/>
  <c r="K47" i="4"/>
  <c r="Q47" i="4"/>
  <c r="Y45" i="4"/>
  <c r="X45" i="4"/>
  <c r="AB47" i="4"/>
  <c r="AD47" i="4"/>
  <c r="M47" i="4"/>
  <c r="N46" i="4"/>
  <c r="Q45" i="4"/>
  <c r="T45" i="4"/>
  <c r="X47" i="4"/>
  <c r="Z47" i="4"/>
  <c r="AE45" i="4"/>
  <c r="J46" i="4"/>
  <c r="P45" i="4"/>
  <c r="AA45" i="4"/>
  <c r="AD45" i="4"/>
  <c r="AB46" i="4"/>
  <c r="L45" i="4"/>
  <c r="P47" i="4"/>
  <c r="J47" i="4"/>
  <c r="AA47" i="4"/>
  <c r="F47" i="4"/>
  <c r="I45" i="4"/>
  <c r="T47" i="4"/>
  <c r="R47" i="4"/>
  <c r="AE47" i="4"/>
  <c r="W45" i="4"/>
  <c r="V45" i="4"/>
  <c r="T46" i="4"/>
  <c r="H45" i="4"/>
  <c r="L47" i="4"/>
  <c r="AC45" i="4"/>
  <c r="S45" i="4"/>
  <c r="W47" i="4"/>
  <c r="D136" i="22"/>
  <c r="E111" i="22" s="1"/>
  <c r="E136" i="22"/>
  <c r="F111" i="22" s="1"/>
  <c r="N44" i="4"/>
  <c r="K287" i="22"/>
  <c r="M13" i="3"/>
  <c r="K13" i="3"/>
  <c r="B5" i="3"/>
  <c r="H20" i="1" s="1"/>
  <c r="B9" i="3"/>
  <c r="H24" i="1" s="1"/>
  <c r="B8" i="3"/>
  <c r="H23" i="1" s="1"/>
  <c r="B6" i="3"/>
  <c r="H21" i="1" s="1"/>
  <c r="B7" i="3"/>
  <c r="H22" i="1" s="1"/>
  <c r="L13" i="3"/>
  <c r="C8" i="10"/>
  <c r="D73" i="4"/>
  <c r="I44" i="4"/>
  <c r="E7" i="4"/>
  <c r="E12" i="4"/>
  <c r="C60" i="10"/>
  <c r="C27" i="10" s="1"/>
  <c r="E29" i="4"/>
  <c r="E35" i="4" s="1"/>
  <c r="C16" i="16"/>
  <c r="E20" i="22"/>
  <c r="C29" i="16"/>
  <c r="C30" i="16" s="1"/>
  <c r="C31" i="16" s="1"/>
  <c r="C19" i="16"/>
  <c r="E31" i="22" s="1"/>
  <c r="E15" i="4"/>
  <c r="B8" i="16"/>
  <c r="B24" i="16"/>
  <c r="E26" i="4"/>
  <c r="E34" i="4" s="1"/>
  <c r="B22" i="16"/>
  <c r="C12" i="16"/>
  <c r="C13" i="16" s="1"/>
  <c r="C60" i="16"/>
  <c r="E30" i="1" s="1"/>
  <c r="B9" i="16"/>
  <c r="B10" i="16" s="1"/>
  <c r="C9" i="16"/>
  <c r="C10" i="16" s="1"/>
  <c r="B6" i="16"/>
  <c r="C22" i="16"/>
  <c r="C58" i="10"/>
  <c r="C13" i="10" s="1"/>
  <c r="C8" i="16"/>
  <c r="C24" i="16"/>
  <c r="C25" i="16" s="1"/>
  <c r="F17" i="4"/>
  <c r="B35" i="16"/>
  <c r="B36" i="16" s="1"/>
  <c r="B16" i="16"/>
  <c r="K23" i="1" s="1"/>
  <c r="C65" i="10"/>
  <c r="B19" i="16"/>
  <c r="C61" i="10" s="1"/>
  <c r="B12" i="16"/>
  <c r="F13" i="4"/>
  <c r="F26" i="4"/>
  <c r="F35" i="4"/>
  <c r="F32" i="4"/>
  <c r="F16" i="4"/>
  <c r="B34" i="16"/>
  <c r="L49" i="1"/>
  <c r="C64" i="10"/>
  <c r="D20" i="22"/>
  <c r="F8" i="4"/>
  <c r="B26" i="16"/>
  <c r="B29" i="16" s="1"/>
  <c r="C23" i="1"/>
  <c r="C62" i="10"/>
  <c r="C15" i="10" s="1"/>
  <c r="F22" i="4"/>
  <c r="F24" i="16"/>
  <c r="F25" i="16" s="1"/>
  <c r="F9" i="16"/>
  <c r="F10" i="16" s="1"/>
  <c r="E6" i="16"/>
  <c r="F8" i="16"/>
  <c r="F26" i="16"/>
  <c r="F29" i="16" s="1"/>
  <c r="I24" i="10"/>
  <c r="J24" i="10" s="1"/>
  <c r="D36" i="10"/>
  <c r="D35" i="10"/>
  <c r="D34" i="10"/>
  <c r="C30" i="10"/>
  <c r="C11" i="10"/>
  <c r="C14" i="10"/>
  <c r="C28" i="10"/>
  <c r="C52" i="10"/>
  <c r="G36" i="10"/>
  <c r="G34" i="10"/>
  <c r="G35" i="10"/>
  <c r="G37" i="10"/>
  <c r="C25" i="10"/>
  <c r="F36" i="10"/>
  <c r="F35" i="10"/>
  <c r="F34" i="10"/>
  <c r="F37" i="10"/>
  <c r="D112" i="22"/>
  <c r="H129" i="22"/>
  <c r="F135" i="22"/>
  <c r="G112" i="22" s="1"/>
  <c r="C180" i="22"/>
  <c r="D155" i="22" s="1"/>
  <c r="D156" i="22"/>
  <c r="I179" i="22"/>
  <c r="J173" i="22"/>
  <c r="D179" i="22"/>
  <c r="E173" i="22"/>
  <c r="E85" i="22"/>
  <c r="D91" i="22"/>
  <c r="E68" i="22" s="1"/>
  <c r="C55" i="10"/>
  <c r="Q51" i="1"/>
  <c r="K254" i="22"/>
  <c r="G254" i="22"/>
  <c r="J254" i="22"/>
  <c r="O28" i="22"/>
  <c r="N254" i="22"/>
  <c r="F254" i="22"/>
  <c r="P28" i="22"/>
  <c r="I254" i="22"/>
  <c r="M254" i="22"/>
  <c r="E254" i="22"/>
  <c r="H254" i="22"/>
  <c r="L254" i="22"/>
  <c r="D254" i="22"/>
  <c r="P30" i="22"/>
  <c r="P10" i="22"/>
  <c r="G237" i="22"/>
  <c r="R211" i="22"/>
  <c r="S211" i="22" s="1"/>
  <c r="T211" i="22" s="1"/>
  <c r="U211" i="22" s="1"/>
  <c r="V211" i="22" s="1"/>
  <c r="W211" i="22" s="1"/>
  <c r="X211" i="22" s="1"/>
  <c r="Y211" i="22" s="1"/>
  <c r="S214" i="22"/>
  <c r="T214" i="22" s="1"/>
  <c r="U214" i="22" s="1"/>
  <c r="V214" i="22" s="1"/>
  <c r="W214" i="22" s="1"/>
  <c r="X214" i="22" s="1"/>
  <c r="Y214" i="22" s="1"/>
  <c r="Q216" i="22"/>
  <c r="G235" i="22"/>
  <c r="G240" i="22"/>
  <c r="O17" i="22"/>
  <c r="P23" i="22"/>
  <c r="P9" i="22"/>
  <c r="G238" i="22"/>
  <c r="N9" i="22"/>
  <c r="N29" i="22"/>
  <c r="O9" i="22"/>
  <c r="G236" i="22"/>
  <c r="P19" i="22"/>
  <c r="P17" i="22"/>
  <c r="N18" i="22"/>
  <c r="P29" i="22"/>
  <c r="G41" i="4"/>
  <c r="N17" i="22"/>
  <c r="O26" i="22"/>
  <c r="G239" i="22"/>
  <c r="O19" i="22"/>
  <c r="N10" i="22"/>
  <c r="O30" i="22"/>
  <c r="O10" i="22"/>
  <c r="N30" i="22"/>
  <c r="O23" i="22"/>
  <c r="N26" i="22"/>
  <c r="P27" i="22"/>
  <c r="N28" i="22"/>
  <c r="R8" i="19"/>
  <c r="E86" i="22"/>
  <c r="F86" i="22" s="1"/>
  <c r="H86" i="22" s="1"/>
  <c r="I86" i="22" s="1"/>
  <c r="J86" i="22" s="1"/>
  <c r="K86" i="22" s="1"/>
  <c r="L86" i="22" s="1"/>
  <c r="M86" i="22" s="1"/>
  <c r="N86" i="22" s="1"/>
  <c r="O86" i="22" s="1"/>
  <c r="P86" i="22" s="1"/>
  <c r="Q86" i="22" s="1"/>
  <c r="R86" i="22" s="1"/>
  <c r="S86" i="22" s="1"/>
  <c r="T86" i="22" s="1"/>
  <c r="O27" i="22"/>
  <c r="O29" i="22"/>
  <c r="N19" i="22"/>
  <c r="N23" i="22"/>
  <c r="C91" i="22"/>
  <c r="D68" i="22" s="1"/>
  <c r="F8" i="22"/>
  <c r="N27" i="22"/>
  <c r="H10" i="4"/>
  <c r="G39" i="4"/>
  <c r="H34" i="16"/>
  <c r="L54" i="1"/>
  <c r="M50" i="1"/>
  <c r="H12" i="16"/>
  <c r="M21" i="1" a="1"/>
  <c r="M21" i="1" s="1"/>
  <c r="C40" i="10" s="1"/>
  <c r="G6" i="16"/>
  <c r="H24" i="16"/>
  <c r="M53" i="1"/>
  <c r="M52" i="1"/>
  <c r="H35" i="16"/>
  <c r="H36" i="16" s="1"/>
  <c r="H58" i="16"/>
  <c r="H60" i="16" s="1"/>
  <c r="G26" i="16"/>
  <c r="G29" i="16" s="1"/>
  <c r="H22" i="16"/>
  <c r="M51" i="1"/>
  <c r="L53" i="1"/>
  <c r="H8" i="16"/>
  <c r="C20" i="1" a="1"/>
  <c r="C20" i="1" s="1"/>
  <c r="C21" i="1" s="1"/>
  <c r="C45" i="1" a="1"/>
  <c r="N52" i="1" s="1"/>
  <c r="M47" i="1"/>
  <c r="L2" i="1" a="1"/>
  <c r="L2" i="1" s="1"/>
  <c r="K29" i="1"/>
  <c r="M54" i="1"/>
  <c r="E20" i="1"/>
  <c r="M48" i="1"/>
  <c r="L47" i="1"/>
  <c r="M46" i="1"/>
  <c r="J20" i="22"/>
  <c r="E19" i="1"/>
  <c r="H9" i="16"/>
  <c r="H10" i="16" s="1"/>
  <c r="L51" i="1"/>
  <c r="L48" i="1"/>
  <c r="H45" i="1" a="1"/>
  <c r="L52" i="1"/>
  <c r="E25" i="1"/>
  <c r="K30" i="1"/>
  <c r="L46" i="1"/>
  <c r="B16" i="1" a="1"/>
  <c r="B16" i="1" s="1"/>
  <c r="G107" i="1"/>
  <c r="H19" i="16"/>
  <c r="H20" i="16" s="1"/>
  <c r="H16" i="16"/>
  <c r="M49" i="1"/>
  <c r="K22" i="1"/>
  <c r="L50" i="1"/>
  <c r="K24" i="1"/>
  <c r="F57" i="1" l="1"/>
  <c r="D25" i="16"/>
  <c r="G60" i="16"/>
  <c r="L13" i="16"/>
  <c r="P75" i="3"/>
  <c r="F56" i="1"/>
  <c r="Q52" i="1"/>
  <c r="K30" i="16"/>
  <c r="K31" i="16" s="1"/>
  <c r="B75" i="3"/>
  <c r="M60" i="16"/>
  <c r="B74" i="3"/>
  <c r="M30" i="16"/>
  <c r="M31" i="16" s="1"/>
  <c r="M31" i="3"/>
  <c r="P24" i="22"/>
  <c r="F136" i="22"/>
  <c r="G111" i="22" s="1"/>
  <c r="I30" i="16"/>
  <c r="I31" i="16" s="1"/>
  <c r="O66" i="3"/>
  <c r="P26" i="22"/>
  <c r="O24" i="22"/>
  <c r="D20" i="16"/>
  <c r="O74" i="3"/>
  <c r="K31" i="22"/>
  <c r="I60" i="16"/>
  <c r="D280" i="22"/>
  <c r="D288" i="22" s="1"/>
  <c r="H6" i="4"/>
  <c r="H11" i="4" s="1"/>
  <c r="H20" i="4" s="1"/>
  <c r="M65" i="3"/>
  <c r="C1048545" i="3"/>
  <c r="G6" i="4"/>
  <c r="G30" i="4" s="1"/>
  <c r="K31" i="3"/>
  <c r="B29" i="3"/>
  <c r="B27" i="3"/>
  <c r="L84" i="3"/>
  <c r="F55" i="1"/>
  <c r="C20" i="16"/>
  <c r="B30" i="3"/>
  <c r="C20" i="10"/>
  <c r="I20" i="10" s="1"/>
  <c r="J20" i="10" s="1"/>
  <c r="E30" i="16"/>
  <c r="E31" i="16" s="1"/>
  <c r="J30" i="16"/>
  <c r="J31" i="16" s="1"/>
  <c r="D32" i="4"/>
  <c r="I13" i="16"/>
  <c r="E23" i="1"/>
  <c r="K21" i="1"/>
  <c r="B62" i="3"/>
  <c r="B66" i="3"/>
  <c r="B65" i="3"/>
  <c r="B64" i="3"/>
  <c r="P66" i="3"/>
  <c r="H26" i="1"/>
  <c r="P72" i="3"/>
  <c r="B72" i="3"/>
  <c r="B13" i="3"/>
  <c r="B63" i="3"/>
  <c r="K22" i="3"/>
  <c r="B21" i="3"/>
  <c r="H31" i="1" s="1"/>
  <c r="B19" i="3"/>
  <c r="H28" i="1" s="1"/>
  <c r="B20" i="3"/>
  <c r="H30" i="1" s="1"/>
  <c r="D4" i="16"/>
  <c r="C45" i="10" a="1"/>
  <c r="C45" i="10" s="1"/>
  <c r="I45" i="10" s="1"/>
  <c r="J45" i="10" s="1"/>
  <c r="C83" i="10"/>
  <c r="C29" i="10"/>
  <c r="I29" i="10" s="1"/>
  <c r="J29" i="10" s="1"/>
  <c r="K13" i="16"/>
  <c r="L31" i="22"/>
  <c r="J60" i="16"/>
  <c r="D36" i="4"/>
  <c r="E25" i="16"/>
  <c r="L25" i="16"/>
  <c r="E36" i="4"/>
  <c r="E43" i="4" s="1"/>
  <c r="E28" i="1"/>
  <c r="I25" i="16"/>
  <c r="J13" i="16"/>
  <c r="L30" i="16"/>
  <c r="L31" i="16" s="1"/>
  <c r="G13" i="16"/>
  <c r="I31" i="22"/>
  <c r="J25" i="16"/>
  <c r="E20" i="16"/>
  <c r="G31" i="22"/>
  <c r="E13" i="16"/>
  <c r="H25" i="16"/>
  <c r="H30" i="4"/>
  <c r="G23" i="4"/>
  <c r="H23" i="4"/>
  <c r="H21" i="4"/>
  <c r="H29" i="4"/>
  <c r="H24" i="4"/>
  <c r="G11" i="4"/>
  <c r="G20" i="4" s="1"/>
  <c r="L287" i="22"/>
  <c r="O44" i="4"/>
  <c r="G8" i="4"/>
  <c r="G12" i="4" s="1"/>
  <c r="G21" i="4"/>
  <c r="G29" i="4"/>
  <c r="G24" i="4"/>
  <c r="H27" i="4"/>
  <c r="H8" i="4"/>
  <c r="G27" i="4"/>
  <c r="I28" i="4"/>
  <c r="J28" i="4"/>
  <c r="C10" i="10" a="1"/>
  <c r="C10" i="10" s="1"/>
  <c r="C36" i="10" s="1"/>
  <c r="I36" i="10" s="1"/>
  <c r="J36" i="10" s="1"/>
  <c r="L4" i="19"/>
  <c r="P20" i="22"/>
  <c r="E32" i="4"/>
  <c r="B30" i="16"/>
  <c r="B31" i="16" s="1"/>
  <c r="B13" i="16"/>
  <c r="D31" i="22"/>
  <c r="P31" i="22" s="1"/>
  <c r="E22" i="1"/>
  <c r="K28" i="1"/>
  <c r="B25" i="16"/>
  <c r="N20" i="22"/>
  <c r="B20" i="16"/>
  <c r="C16" i="10"/>
  <c r="I16" i="10" s="1"/>
  <c r="J16" i="10" s="1"/>
  <c r="C17" i="10"/>
  <c r="I17" i="10" s="1"/>
  <c r="J17" i="10" s="1"/>
  <c r="C22" i="10"/>
  <c r="I22" i="10" s="1"/>
  <c r="C21" i="10"/>
  <c r="I21" i="10" s="1"/>
  <c r="J21" i="10" s="1"/>
  <c r="F34" i="4"/>
  <c r="F36" i="4" s="1"/>
  <c r="F43" i="4" s="1"/>
  <c r="C18" i="10"/>
  <c r="K27" i="1" s="1"/>
  <c r="I45" i="1" a="1"/>
  <c r="S51" i="1" s="1"/>
  <c r="E27" i="1"/>
  <c r="O20" i="22"/>
  <c r="F7" i="4"/>
  <c r="F12" i="4"/>
  <c r="F15" i="4"/>
  <c r="I40" i="10"/>
  <c r="J40" i="10" s="1"/>
  <c r="I27" i="10"/>
  <c r="J27" i="10" s="1"/>
  <c r="I52" i="10"/>
  <c r="J52" i="10" s="1"/>
  <c r="I25" i="10"/>
  <c r="J25" i="10" s="1"/>
  <c r="I13" i="10"/>
  <c r="J13" i="10" s="1"/>
  <c r="I28" i="10"/>
  <c r="J28" i="10" s="1"/>
  <c r="I31" i="10"/>
  <c r="J31" i="10" s="1"/>
  <c r="I15" i="10"/>
  <c r="J15" i="10" s="1"/>
  <c r="I14" i="10"/>
  <c r="J14" i="10" s="1"/>
  <c r="C50" i="10"/>
  <c r="I11" i="10"/>
  <c r="J11" i="10" s="1"/>
  <c r="I30" i="10"/>
  <c r="J30" i="10" s="1"/>
  <c r="H135" i="22"/>
  <c r="H136" i="22" s="1"/>
  <c r="I129" i="22"/>
  <c r="J129" i="22" s="1"/>
  <c r="K129" i="22" s="1"/>
  <c r="L129" i="22" s="1"/>
  <c r="M129" i="22" s="1"/>
  <c r="N129" i="22" s="1"/>
  <c r="O129" i="22" s="1"/>
  <c r="P129" i="22" s="1"/>
  <c r="Q129" i="22" s="1"/>
  <c r="R129" i="22" s="1"/>
  <c r="S129" i="22" s="1"/>
  <c r="T129" i="22" s="1"/>
  <c r="U129" i="22" s="1"/>
  <c r="V129" i="22" s="1"/>
  <c r="W129" i="22" s="1"/>
  <c r="X129" i="22" s="1"/>
  <c r="Y129" i="22" s="1"/>
  <c r="Z129" i="22" s="1"/>
  <c r="AA129" i="22" s="1"/>
  <c r="AB129" i="22" s="1"/>
  <c r="AC129" i="22" s="1"/>
  <c r="D180" i="22"/>
  <c r="E155" i="22" s="1"/>
  <c r="E156" i="22"/>
  <c r="I180" i="22"/>
  <c r="I155" i="22" s="1"/>
  <c r="I156" i="22"/>
  <c r="E179" i="22"/>
  <c r="F173" i="22"/>
  <c r="F179" i="22" s="1"/>
  <c r="G156" i="22" s="1"/>
  <c r="J179" i="22"/>
  <c r="K173" i="22"/>
  <c r="F85" i="22"/>
  <c r="E91" i="22"/>
  <c r="U86" i="22"/>
  <c r="C92" i="22"/>
  <c r="D67" i="22" s="1"/>
  <c r="O18" i="22"/>
  <c r="E4" i="16"/>
  <c r="D91" i="16"/>
  <c r="S252" i="22"/>
  <c r="P18" i="22"/>
  <c r="S253" i="22"/>
  <c r="Q217" i="22"/>
  <c r="R216" i="22"/>
  <c r="D92" i="22"/>
  <c r="G8" i="22"/>
  <c r="F16" i="22"/>
  <c r="H39" i="4"/>
  <c r="H38" i="4"/>
  <c r="I10" i="4" s="1"/>
  <c r="G25" i="16"/>
  <c r="H13" i="16"/>
  <c r="D45" i="1" a="1"/>
  <c r="O48" i="1" s="1"/>
  <c r="E45" i="1" a="1"/>
  <c r="E45" i="1" s="1"/>
  <c r="H59" i="16"/>
  <c r="H30" i="16"/>
  <c r="H31" i="16" s="1"/>
  <c r="C57" i="1"/>
  <c r="N48" i="1"/>
  <c r="N53" i="1"/>
  <c r="N47" i="1"/>
  <c r="N49" i="1"/>
  <c r="N50" i="1"/>
  <c r="M31" i="1"/>
  <c r="C41" i="10" s="1"/>
  <c r="N51" i="1"/>
  <c r="M24" i="1"/>
  <c r="G30" i="16"/>
  <c r="G31" i="16" s="1"/>
  <c r="E21" i="1"/>
  <c r="M23" i="1"/>
  <c r="M55" i="1"/>
  <c r="C56" i="1"/>
  <c r="C45" i="1"/>
  <c r="N46" i="1" s="1"/>
  <c r="L55" i="1"/>
  <c r="R52" i="1"/>
  <c r="R51" i="1"/>
  <c r="H57" i="1"/>
  <c r="R53" i="1"/>
  <c r="R47" i="1"/>
  <c r="R50" i="1"/>
  <c r="R49" i="1"/>
  <c r="H45" i="1"/>
  <c r="H56" i="1" s="1"/>
  <c r="R48" i="1"/>
  <c r="K26" i="1"/>
  <c r="K25" i="1"/>
  <c r="J31" i="22"/>
  <c r="E26" i="1" l="1"/>
  <c r="B31" i="3"/>
  <c r="C280" i="22"/>
  <c r="C288" i="22" s="1"/>
  <c r="B22" i="3"/>
  <c r="P44" i="4"/>
  <c r="M287" i="22"/>
  <c r="I10" i="10"/>
  <c r="J10" i="10" s="1"/>
  <c r="I37" i="10"/>
  <c r="J37" i="10" s="1"/>
  <c r="C34" i="10"/>
  <c r="I34" i="10" s="1"/>
  <c r="J34" i="10" s="1"/>
  <c r="C33" i="10"/>
  <c r="I33" i="10" s="1"/>
  <c r="J33" i="10" s="1"/>
  <c r="C35" i="10"/>
  <c r="I35" i="10" s="1"/>
  <c r="J35" i="10" s="1"/>
  <c r="C47" i="10"/>
  <c r="I47" i="10" s="1"/>
  <c r="J47" i="10" s="1"/>
  <c r="G13" i="4"/>
  <c r="M56" i="1"/>
  <c r="L56" i="1"/>
  <c r="S47" i="1"/>
  <c r="I45" i="1"/>
  <c r="I18" i="10"/>
  <c r="J18" i="10" s="1"/>
  <c r="S52" i="1"/>
  <c r="J22" i="10"/>
  <c r="S48" i="1"/>
  <c r="S53" i="1"/>
  <c r="S49" i="1"/>
  <c r="S50" i="1"/>
  <c r="I41" i="10"/>
  <c r="J41" i="10" s="1"/>
  <c r="I50" i="10"/>
  <c r="J50" i="10" s="1"/>
  <c r="I135" i="22"/>
  <c r="I112" i="22" s="1"/>
  <c r="E180" i="22"/>
  <c r="F155" i="22" s="1"/>
  <c r="F156" i="22"/>
  <c r="J180" i="22"/>
  <c r="J155" i="22" s="1"/>
  <c r="J156" i="22"/>
  <c r="K179" i="22"/>
  <c r="L173" i="22"/>
  <c r="F180" i="22"/>
  <c r="G155" i="22" s="1"/>
  <c r="H180" i="22"/>
  <c r="H155" i="22" s="1"/>
  <c r="F91" i="22"/>
  <c r="G68" i="22" s="1"/>
  <c r="J6" i="4" s="1"/>
  <c r="H85" i="22"/>
  <c r="H111" i="22"/>
  <c r="H112" i="22"/>
  <c r="J135" i="22"/>
  <c r="V86" i="22"/>
  <c r="E67" i="22"/>
  <c r="H5" i="4" s="1"/>
  <c r="E92" i="22"/>
  <c r="F68" i="22"/>
  <c r="I6" i="4" s="1"/>
  <c r="G5" i="4"/>
  <c r="F4" i="16"/>
  <c r="G4" i="16" s="1"/>
  <c r="H4" i="16" s="1"/>
  <c r="I4" i="16" s="1"/>
  <c r="J4" i="16" s="1"/>
  <c r="K4" i="16" s="1"/>
  <c r="L4" i="16" s="1"/>
  <c r="M4" i="16" s="1"/>
  <c r="E91" i="16"/>
  <c r="D257" i="22"/>
  <c r="R217" i="22"/>
  <c r="S216" i="22"/>
  <c r="H8" i="22"/>
  <c r="G16" i="22"/>
  <c r="I39" i="4"/>
  <c r="O51" i="1"/>
  <c r="O50" i="1"/>
  <c r="O47" i="1"/>
  <c r="D57" i="1"/>
  <c r="O49" i="1"/>
  <c r="O53" i="1"/>
  <c r="D45" i="1"/>
  <c r="D56" i="1" s="1"/>
  <c r="O52" i="1"/>
  <c r="M28" i="1"/>
  <c r="M30" i="1"/>
  <c r="C24" i="1"/>
  <c r="M27" i="1" s="1"/>
  <c r="M25" i="1"/>
  <c r="M39" i="1"/>
  <c r="M41" i="1"/>
  <c r="C55" i="1"/>
  <c r="H54" i="1"/>
  <c r="C54" i="1"/>
  <c r="N54" i="1" s="1"/>
  <c r="L57" i="1" l="1"/>
  <c r="M57" i="1"/>
  <c r="E280" i="22"/>
  <c r="E288" i="22" s="1"/>
  <c r="I30" i="4"/>
  <c r="I11" i="4"/>
  <c r="I20" i="4" s="1"/>
  <c r="I8" i="4"/>
  <c r="I27" i="4"/>
  <c r="I24" i="4"/>
  <c r="I21" i="4"/>
  <c r="I23" i="4"/>
  <c r="I29" i="4"/>
  <c r="I136" i="22"/>
  <c r="I111" i="22" s="1"/>
  <c r="Q44" i="4"/>
  <c r="N287" i="22"/>
  <c r="F280" i="22"/>
  <c r="F288" i="22" s="1"/>
  <c r="J30" i="4"/>
  <c r="J8" i="4"/>
  <c r="J29" i="4"/>
  <c r="J21" i="4"/>
  <c r="J27" i="4"/>
  <c r="J24" i="4"/>
  <c r="J23" i="4"/>
  <c r="J11" i="4"/>
  <c r="J20" i="4" s="1"/>
  <c r="G31" i="4"/>
  <c r="H31" i="4" s="1"/>
  <c r="I31" i="4" s="1"/>
  <c r="G25" i="4"/>
  <c r="G26" i="4" s="1"/>
  <c r="G14" i="4"/>
  <c r="H14" i="4" s="1"/>
  <c r="H55" i="1"/>
  <c r="F92" i="22"/>
  <c r="G67" i="22" s="1"/>
  <c r="J5" i="4" s="1"/>
  <c r="K180" i="22"/>
  <c r="K155" i="22" s="1"/>
  <c r="K156" i="22"/>
  <c r="L179" i="22"/>
  <c r="M173" i="22"/>
  <c r="I85" i="22"/>
  <c r="H91" i="22"/>
  <c r="J136" i="22"/>
  <c r="J111" i="22" s="1"/>
  <c r="J112" i="22"/>
  <c r="K135" i="22"/>
  <c r="W86" i="22"/>
  <c r="F67" i="22"/>
  <c r="I5" i="4" s="1"/>
  <c r="S217" i="22"/>
  <c r="T216" i="22"/>
  <c r="O46" i="1"/>
  <c r="D55" i="1" s="1"/>
  <c r="D54" i="1"/>
  <c r="O54" i="1" s="1"/>
  <c r="I8" i="22"/>
  <c r="H16" i="22"/>
  <c r="I38" i="4"/>
  <c r="J10" i="4" s="1"/>
  <c r="M26" i="1"/>
  <c r="G15" i="4" l="1"/>
  <c r="G16" i="4" s="1"/>
  <c r="G17" i="4" s="1"/>
  <c r="G19" i="4" s="1"/>
  <c r="G22" i="4" s="1"/>
  <c r="G34" i="4" s="1"/>
  <c r="H25" i="4"/>
  <c r="H26" i="4" s="1"/>
  <c r="J31" i="4"/>
  <c r="I14" i="4"/>
  <c r="J14" i="4" s="1"/>
  <c r="R44" i="4"/>
  <c r="O287" i="22"/>
  <c r="L180" i="22"/>
  <c r="L155" i="22" s="1"/>
  <c r="L156" i="22"/>
  <c r="M179" i="22"/>
  <c r="N173" i="22"/>
  <c r="H92" i="22"/>
  <c r="H67" i="22" s="1"/>
  <c r="K5" i="4" s="1"/>
  <c r="H68" i="22"/>
  <c r="K6" i="4" s="1"/>
  <c r="J85" i="22"/>
  <c r="I91" i="22"/>
  <c r="K136" i="22"/>
  <c r="K111" i="22" s="1"/>
  <c r="K112" i="22"/>
  <c r="L135" i="22"/>
  <c r="X86" i="22"/>
  <c r="E257" i="22"/>
  <c r="F257" i="22"/>
  <c r="T217" i="22"/>
  <c r="U216" i="22"/>
  <c r="I16" i="22"/>
  <c r="J8" i="22"/>
  <c r="J38" i="4"/>
  <c r="K10" i="4" s="1"/>
  <c r="I25" i="4" l="1"/>
  <c r="J25" i="4" s="1"/>
  <c r="J26" i="4" s="1"/>
  <c r="K31" i="4"/>
  <c r="K14" i="4"/>
  <c r="S44" i="4"/>
  <c r="P287" i="22"/>
  <c r="K29" i="4"/>
  <c r="G280" i="22"/>
  <c r="G288" i="22" s="1"/>
  <c r="K24" i="4"/>
  <c r="K11" i="4"/>
  <c r="K20" i="4" s="1"/>
  <c r="K21" i="4"/>
  <c r="K8" i="4"/>
  <c r="K30" i="4"/>
  <c r="K23" i="4"/>
  <c r="K27" i="4"/>
  <c r="M180" i="22"/>
  <c r="M155" i="22" s="1"/>
  <c r="M156" i="22"/>
  <c r="N179" i="22"/>
  <c r="O173" i="22"/>
  <c r="I92" i="22"/>
  <c r="I67" i="22" s="1"/>
  <c r="L5" i="4" s="1"/>
  <c r="I68" i="22"/>
  <c r="L6" i="4" s="1"/>
  <c r="K85" i="22"/>
  <c r="J91" i="22"/>
  <c r="L136" i="22"/>
  <c r="L111" i="22" s="1"/>
  <c r="L112" i="22"/>
  <c r="M135" i="22"/>
  <c r="Y86" i="22"/>
  <c r="U217" i="22"/>
  <c r="V216" i="22"/>
  <c r="K8" i="22"/>
  <c r="J16" i="22"/>
  <c r="K38" i="4"/>
  <c r="L10" i="4" s="1"/>
  <c r="J39" i="4"/>
  <c r="K25" i="4" l="1"/>
  <c r="I26" i="4"/>
  <c r="L31" i="4"/>
  <c r="L14" i="4"/>
  <c r="Q287" i="22"/>
  <c r="T44" i="4"/>
  <c r="D39" i="22"/>
  <c r="L25" i="4"/>
  <c r="L29" i="4"/>
  <c r="H280" i="22"/>
  <c r="H288" i="22" s="1"/>
  <c r="L8" i="4"/>
  <c r="L24" i="4"/>
  <c r="L11" i="4"/>
  <c r="L20" i="4" s="1"/>
  <c r="L23" i="4"/>
  <c r="L27" i="4"/>
  <c r="L30" i="4"/>
  <c r="L21" i="4"/>
  <c r="K26" i="4"/>
  <c r="N180" i="22"/>
  <c r="N155" i="22" s="1"/>
  <c r="N156" i="22"/>
  <c r="P173" i="22"/>
  <c r="O179" i="22"/>
  <c r="J92" i="22"/>
  <c r="J67" i="22" s="1"/>
  <c r="M5" i="4" s="1"/>
  <c r="J68" i="22"/>
  <c r="M6" i="4" s="1"/>
  <c r="L85" i="22"/>
  <c r="K91" i="22"/>
  <c r="M136" i="22"/>
  <c r="M111" i="22" s="1"/>
  <c r="M112" i="22"/>
  <c r="N135" i="22"/>
  <c r="Z86" i="22"/>
  <c r="H257" i="22"/>
  <c r="G257" i="22"/>
  <c r="V217" i="22"/>
  <c r="W216" i="22"/>
  <c r="K16" i="22"/>
  <c r="L8" i="22"/>
  <c r="L16" i="22" s="1"/>
  <c r="K39" i="4"/>
  <c r="L26" i="4" l="1"/>
  <c r="R287" i="22"/>
  <c r="U44" i="4"/>
  <c r="M14" i="4"/>
  <c r="M29" i="4"/>
  <c r="I280" i="22"/>
  <c r="I288" i="22" s="1"/>
  <c r="M30" i="4"/>
  <c r="M24" i="4"/>
  <c r="M8" i="4"/>
  <c r="M27" i="4"/>
  <c r="M11" i="4"/>
  <c r="M20" i="4" s="1"/>
  <c r="M23" i="4"/>
  <c r="M21" i="4"/>
  <c r="M31" i="4"/>
  <c r="M25" i="4"/>
  <c r="O180" i="22"/>
  <c r="O155" i="22" s="1"/>
  <c r="O156" i="22"/>
  <c r="Q173" i="22"/>
  <c r="P179" i="22"/>
  <c r="K68" i="22"/>
  <c r="N6" i="4" s="1"/>
  <c r="K92" i="22"/>
  <c r="K67" i="22" s="1"/>
  <c r="N5" i="4" s="1"/>
  <c r="M85" i="22"/>
  <c r="L91" i="22"/>
  <c r="N136" i="22"/>
  <c r="N111" i="22" s="1"/>
  <c r="N112" i="22"/>
  <c r="O135" i="22"/>
  <c r="AA86" i="22"/>
  <c r="I257" i="22"/>
  <c r="W217" i="22"/>
  <c r="Y216" i="22"/>
  <c r="X216" i="22"/>
  <c r="L38" i="4"/>
  <c r="M10" i="4" s="1"/>
  <c r="L39" i="4"/>
  <c r="M26" i="4" l="1"/>
  <c r="N29" i="4"/>
  <c r="J280" i="22"/>
  <c r="J288" i="22" s="1"/>
  <c r="N30" i="4"/>
  <c r="N21" i="4"/>
  <c r="N23" i="4"/>
  <c r="N8" i="4"/>
  <c r="N24" i="4"/>
  <c r="N11" i="4"/>
  <c r="N20" i="4" s="1"/>
  <c r="N27" i="4"/>
  <c r="N31" i="4"/>
  <c r="N14" i="4"/>
  <c r="N25" i="4"/>
  <c r="S287" i="22"/>
  <c r="V44" i="4"/>
  <c r="P180" i="22"/>
  <c r="P155" i="22" s="1"/>
  <c r="P156" i="22"/>
  <c r="Q179" i="22"/>
  <c r="R173" i="22"/>
  <c r="L68" i="22"/>
  <c r="O6" i="4" s="1"/>
  <c r="L92" i="22"/>
  <c r="L67" i="22" s="1"/>
  <c r="O5" i="4" s="1"/>
  <c r="N85" i="22"/>
  <c r="M91" i="22"/>
  <c r="O136" i="22"/>
  <c r="O111" i="22" s="1"/>
  <c r="O112" i="22"/>
  <c r="P135" i="22"/>
  <c r="AB86" i="22"/>
  <c r="J257" i="22"/>
  <c r="X217" i="22"/>
  <c r="Y217" i="22"/>
  <c r="O14" i="4" l="1"/>
  <c r="O25" i="4"/>
  <c r="N26" i="4"/>
  <c r="O31" i="4"/>
  <c r="O29" i="4"/>
  <c r="K280" i="22"/>
  <c r="K288" i="22" s="1"/>
  <c r="O30" i="4"/>
  <c r="O27" i="4"/>
  <c r="O23" i="4"/>
  <c r="O11" i="4"/>
  <c r="O20" i="4" s="1"/>
  <c r="O21" i="4"/>
  <c r="O24" i="4"/>
  <c r="O8" i="4"/>
  <c r="T287" i="22"/>
  <c r="W44" i="4"/>
  <c r="Q180" i="22"/>
  <c r="Q155" i="22" s="1"/>
  <c r="Q156" i="22"/>
  <c r="R179" i="22"/>
  <c r="S173" i="22"/>
  <c r="M92" i="22"/>
  <c r="M67" i="22" s="1"/>
  <c r="P5" i="4" s="1"/>
  <c r="M68" i="22"/>
  <c r="P6" i="4" s="1"/>
  <c r="P27" i="4" s="1"/>
  <c r="O85" i="22"/>
  <c r="N91" i="22"/>
  <c r="P136" i="22"/>
  <c r="P111" i="22" s="1"/>
  <c r="P112" i="22"/>
  <c r="Q135" i="22"/>
  <c r="AC86" i="22"/>
  <c r="K257" i="22"/>
  <c r="M39" i="4"/>
  <c r="M38" i="4"/>
  <c r="N10" i="4" s="1"/>
  <c r="U287" i="22" l="1"/>
  <c r="X44" i="4"/>
  <c r="P31" i="4"/>
  <c r="P14" i="4"/>
  <c r="P25" i="4"/>
  <c r="P29" i="4"/>
  <c r="L280" i="22"/>
  <c r="L288" i="22" s="1"/>
  <c r="P11" i="4"/>
  <c r="P20" i="4" s="1"/>
  <c r="P8" i="4"/>
  <c r="P30" i="4"/>
  <c r="P23" i="4"/>
  <c r="P26" i="4" s="1"/>
  <c r="P21" i="4"/>
  <c r="P24" i="4"/>
  <c r="O26" i="4"/>
  <c r="R180" i="22"/>
  <c r="R155" i="22" s="1"/>
  <c r="R156" i="22"/>
  <c r="S179" i="22"/>
  <c r="T173" i="22"/>
  <c r="N68" i="22"/>
  <c r="Q6" i="4" s="1"/>
  <c r="N92" i="22"/>
  <c r="N67" i="22" s="1"/>
  <c r="Q5" i="4" s="1"/>
  <c r="Q31" i="4" s="1"/>
  <c r="P85" i="22"/>
  <c r="O91" i="22"/>
  <c r="Q136" i="22"/>
  <c r="Q111" i="22" s="1"/>
  <c r="Q112" i="22"/>
  <c r="R135" i="22"/>
  <c r="L257" i="22"/>
  <c r="Q25" i="4" l="1"/>
  <c r="Q14" i="4"/>
  <c r="Q29" i="4"/>
  <c r="M280" i="22"/>
  <c r="M288" i="22" s="1"/>
  <c r="Q24" i="4"/>
  <c r="Q30" i="4"/>
  <c r="Q23" i="4"/>
  <c r="Q27" i="4"/>
  <c r="Q8" i="4"/>
  <c r="Q21" i="4"/>
  <c r="Q11" i="4"/>
  <c r="Q20" i="4" s="1"/>
  <c r="V287" i="22"/>
  <c r="Y44" i="4"/>
  <c r="S180" i="22"/>
  <c r="S155" i="22" s="1"/>
  <c r="S156" i="22"/>
  <c r="T179" i="22"/>
  <c r="U173" i="22"/>
  <c r="O68" i="22"/>
  <c r="R6" i="4" s="1"/>
  <c r="O92" i="22"/>
  <c r="O67" i="22" s="1"/>
  <c r="R5" i="4" s="1"/>
  <c r="Q85" i="22"/>
  <c r="P91" i="22"/>
  <c r="R136" i="22"/>
  <c r="R111" i="22" s="1"/>
  <c r="R112" i="22"/>
  <c r="S135" i="22"/>
  <c r="M257" i="22"/>
  <c r="N38" i="4"/>
  <c r="O10" i="4" s="1"/>
  <c r="N39" i="4"/>
  <c r="Q26" i="4" l="1"/>
  <c r="R31" i="4"/>
  <c r="R14" i="4"/>
  <c r="R25" i="4"/>
  <c r="W287" i="22"/>
  <c r="Z44" i="4"/>
  <c r="R29" i="4"/>
  <c r="N280" i="22"/>
  <c r="N288" i="22" s="1"/>
  <c r="R21" i="4"/>
  <c r="R24" i="4"/>
  <c r="R27" i="4"/>
  <c r="R8" i="4"/>
  <c r="R11" i="4"/>
  <c r="R20" i="4" s="1"/>
  <c r="R23" i="4"/>
  <c r="R30" i="4"/>
  <c r="T180" i="22"/>
  <c r="T155" i="22" s="1"/>
  <c r="T156" i="22"/>
  <c r="U179" i="22"/>
  <c r="V173" i="22"/>
  <c r="P68" i="22"/>
  <c r="S6" i="4" s="1"/>
  <c r="P92" i="22"/>
  <c r="P67" i="22" s="1"/>
  <c r="S5" i="4" s="1"/>
  <c r="S31" i="4" s="1"/>
  <c r="R85" i="22"/>
  <c r="Q91" i="22"/>
  <c r="S136" i="22"/>
  <c r="S111" i="22" s="1"/>
  <c r="S112" i="22"/>
  <c r="T135" i="22"/>
  <c r="N257" i="22"/>
  <c r="O38" i="4"/>
  <c r="P10" i="4" s="1"/>
  <c r="O39" i="4"/>
  <c r="S14" i="4" l="1"/>
  <c r="AA44" i="4"/>
  <c r="X287" i="22"/>
  <c r="S25" i="4"/>
  <c r="S29" i="4"/>
  <c r="O280" i="22"/>
  <c r="O288" i="22" s="1"/>
  <c r="S30" i="4"/>
  <c r="S11" i="4"/>
  <c r="S20" i="4" s="1"/>
  <c r="S8" i="4"/>
  <c r="S21" i="4"/>
  <c r="S24" i="4"/>
  <c r="S27" i="4"/>
  <c r="S23" i="4"/>
  <c r="R26" i="4"/>
  <c r="U180" i="22"/>
  <c r="U155" i="22" s="1"/>
  <c r="U156" i="22"/>
  <c r="V179" i="22"/>
  <c r="W173" i="22"/>
  <c r="Q68" i="22"/>
  <c r="T6" i="4" s="1"/>
  <c r="Q92" i="22"/>
  <c r="Q67" i="22" s="1"/>
  <c r="T5" i="4" s="1"/>
  <c r="S85" i="22"/>
  <c r="R91" i="22"/>
  <c r="T136" i="22"/>
  <c r="T111" i="22" s="1"/>
  <c r="T112" i="22"/>
  <c r="U135" i="22"/>
  <c r="O257" i="22"/>
  <c r="P38" i="4"/>
  <c r="Q10" i="4" s="1"/>
  <c r="P39" i="4"/>
  <c r="T29" i="4" l="1"/>
  <c r="P280" i="22"/>
  <c r="P288" i="22" s="1"/>
  <c r="T23" i="4"/>
  <c r="T27" i="4"/>
  <c r="T30" i="4"/>
  <c r="T11" i="4"/>
  <c r="T20" i="4" s="1"/>
  <c r="T21" i="4"/>
  <c r="T24" i="4"/>
  <c r="T8" i="4"/>
  <c r="AB44" i="4"/>
  <c r="Y287" i="22"/>
  <c r="T31" i="4"/>
  <c r="T14" i="4"/>
  <c r="T25" i="4"/>
  <c r="S26" i="4"/>
  <c r="V180" i="22"/>
  <c r="V155" i="22" s="1"/>
  <c r="V156" i="22"/>
  <c r="W179" i="22"/>
  <c r="X173" i="22"/>
  <c r="R92" i="22"/>
  <c r="R67" i="22" s="1"/>
  <c r="U5" i="4" s="1"/>
  <c r="R68" i="22"/>
  <c r="U6" i="4" s="1"/>
  <c r="T85" i="22"/>
  <c r="S91" i="22"/>
  <c r="U136" i="22"/>
  <c r="U111" i="22" s="1"/>
  <c r="U112" i="22"/>
  <c r="V135" i="22"/>
  <c r="P257" i="22"/>
  <c r="U31" i="4" l="1"/>
  <c r="U14" i="4"/>
  <c r="U25" i="4"/>
  <c r="T26" i="4"/>
  <c r="AC44" i="4"/>
  <c r="Z287" i="22"/>
  <c r="U29" i="4"/>
  <c r="Q280" i="22"/>
  <c r="Q288" i="22" s="1"/>
  <c r="U21" i="4"/>
  <c r="U27" i="4"/>
  <c r="U8" i="4"/>
  <c r="U23" i="4"/>
  <c r="U26" i="4" s="1"/>
  <c r="U24" i="4"/>
  <c r="U30" i="4"/>
  <c r="U11" i="4"/>
  <c r="U20" i="4" s="1"/>
  <c r="W180" i="22"/>
  <c r="W155" i="22" s="1"/>
  <c r="W156" i="22"/>
  <c r="X179" i="22"/>
  <c r="Y173" i="22"/>
  <c r="S92" i="22"/>
  <c r="S67" i="22" s="1"/>
  <c r="V5" i="4" s="1"/>
  <c r="S68" i="22"/>
  <c r="V6" i="4" s="1"/>
  <c r="U85" i="22"/>
  <c r="T91" i="22"/>
  <c r="V136" i="22"/>
  <c r="V111" i="22" s="1"/>
  <c r="V112" i="22"/>
  <c r="W135" i="22"/>
  <c r="Q257" i="22"/>
  <c r="Q39" i="4"/>
  <c r="Q38" i="4"/>
  <c r="R10" i="4" s="1"/>
  <c r="V29" i="4" l="1"/>
  <c r="R280" i="22"/>
  <c r="R288" i="22" s="1"/>
  <c r="V8" i="4"/>
  <c r="V27" i="4"/>
  <c r="V24" i="4"/>
  <c r="V21" i="4"/>
  <c r="V23" i="4"/>
  <c r="V11" i="4"/>
  <c r="V20" i="4" s="1"/>
  <c r="V30" i="4"/>
  <c r="AA287" i="22"/>
  <c r="AD44" i="4"/>
  <c r="V25" i="4"/>
  <c r="V31" i="4"/>
  <c r="V14" i="4"/>
  <c r="X180" i="22"/>
  <c r="X155" i="22" s="1"/>
  <c r="X156" i="22"/>
  <c r="Y179" i="22"/>
  <c r="Z173" i="22"/>
  <c r="T92" i="22"/>
  <c r="T67" i="22" s="1"/>
  <c r="W5" i="4" s="1"/>
  <c r="T68" i="22"/>
  <c r="W6" i="4" s="1"/>
  <c r="V85" i="22"/>
  <c r="U91" i="22"/>
  <c r="W136" i="22"/>
  <c r="W111" i="22" s="1"/>
  <c r="W112" i="22"/>
  <c r="X135" i="22"/>
  <c r="R257" i="22"/>
  <c r="AE44" i="4" l="1"/>
  <c r="AB287" i="22"/>
  <c r="AF44" i="4" s="1"/>
  <c r="W31" i="4"/>
  <c r="W25" i="4"/>
  <c r="W29" i="4"/>
  <c r="S280" i="22"/>
  <c r="S288" i="22" s="1"/>
  <c r="W30" i="4"/>
  <c r="W11" i="4"/>
  <c r="W20" i="4" s="1"/>
  <c r="W8" i="4"/>
  <c r="W27" i="4"/>
  <c r="W21" i="4"/>
  <c r="W24" i="4"/>
  <c r="W23" i="4"/>
  <c r="V26" i="4"/>
  <c r="W14" i="4"/>
  <c r="Y180" i="22"/>
  <c r="Y155" i="22" s="1"/>
  <c r="Y156" i="22"/>
  <c r="Z179" i="22"/>
  <c r="AA173" i="22"/>
  <c r="U92" i="22"/>
  <c r="U67" i="22" s="1"/>
  <c r="X5" i="4" s="1"/>
  <c r="U68" i="22"/>
  <c r="X6" i="4" s="1"/>
  <c r="W85" i="22"/>
  <c r="V91" i="22"/>
  <c r="X136" i="22"/>
  <c r="X111" i="22" s="1"/>
  <c r="X112" i="22"/>
  <c r="Y135" i="22"/>
  <c r="S257" i="22"/>
  <c r="R38" i="4"/>
  <c r="S10" i="4" s="1"/>
  <c r="R39" i="4"/>
  <c r="X29" i="4" l="1"/>
  <c r="T280" i="22"/>
  <c r="X30" i="4"/>
  <c r="X11" i="4"/>
  <c r="X20" i="4" s="1"/>
  <c r="X23" i="4"/>
  <c r="X27" i="4"/>
  <c r="X24" i="4"/>
  <c r="X8" i="4"/>
  <c r="X21" i="4"/>
  <c r="X31" i="4"/>
  <c r="X14" i="4"/>
  <c r="Y14" i="4" s="1"/>
  <c r="X25" i="4"/>
  <c r="W26" i="4"/>
  <c r="Z180" i="22"/>
  <c r="Z155" i="22" s="1"/>
  <c r="Z156" i="22"/>
  <c r="AA179" i="22"/>
  <c r="AB173" i="22"/>
  <c r="V92" i="22"/>
  <c r="V67" i="22" s="1"/>
  <c r="Y5" i="4" s="1"/>
  <c r="V68" i="22"/>
  <c r="Y6" i="4" s="1"/>
  <c r="X85" i="22"/>
  <c r="W91" i="22"/>
  <c r="Y136" i="22"/>
  <c r="Y111" i="22" s="1"/>
  <c r="Y112" i="22"/>
  <c r="Z135" i="22"/>
  <c r="T257" i="22"/>
  <c r="S38" i="4"/>
  <c r="T10" i="4" s="1"/>
  <c r="S39" i="4"/>
  <c r="Y29" i="4" l="1"/>
  <c r="U280" i="22"/>
  <c r="Y21" i="4"/>
  <c r="Y11" i="4"/>
  <c r="Y20" i="4" s="1"/>
  <c r="Y24" i="4"/>
  <c r="Y27" i="4"/>
  <c r="Y23" i="4"/>
  <c r="Y8" i="4"/>
  <c r="Y30" i="4"/>
  <c r="X26" i="4"/>
  <c r="Y31" i="4"/>
  <c r="Y25" i="4"/>
  <c r="AA180" i="22"/>
  <c r="AA155" i="22" s="1"/>
  <c r="AA156" i="22"/>
  <c r="AB179" i="22"/>
  <c r="AC173" i="22"/>
  <c r="AC179" i="22" s="1"/>
  <c r="W92" i="22"/>
  <c r="W67" i="22" s="1"/>
  <c r="Z5" i="4" s="1"/>
  <c r="W68" i="22"/>
  <c r="Z6" i="4" s="1"/>
  <c r="Y85" i="22"/>
  <c r="X91" i="22"/>
  <c r="Z136" i="22"/>
  <c r="Z111" i="22" s="1"/>
  <c r="Z112" i="22"/>
  <c r="AA135" i="22"/>
  <c r="U257" i="22"/>
  <c r="T38" i="4"/>
  <c r="U10" i="4" s="1"/>
  <c r="T39" i="4"/>
  <c r="Y26" i="4" l="1"/>
  <c r="Z31" i="4"/>
  <c r="Z14" i="4"/>
  <c r="Z25" i="4"/>
  <c r="Z29" i="4"/>
  <c r="V280" i="22"/>
  <c r="Z11" i="4"/>
  <c r="Z20" i="4" s="1"/>
  <c r="Z27" i="4"/>
  <c r="Z30" i="4"/>
  <c r="Z24" i="4"/>
  <c r="Z23" i="4"/>
  <c r="Z8" i="4"/>
  <c r="Z21" i="4"/>
  <c r="AC180" i="22"/>
  <c r="AC155" i="22" s="1"/>
  <c r="AC156" i="22"/>
  <c r="AB180" i="22"/>
  <c r="AB155" i="22" s="1"/>
  <c r="AB156" i="22"/>
  <c r="X92" i="22"/>
  <c r="X67" i="22" s="1"/>
  <c r="AA5" i="4" s="1"/>
  <c r="X68" i="22"/>
  <c r="AA6" i="4" s="1"/>
  <c r="Z85" i="22"/>
  <c r="Y91" i="22"/>
  <c r="AA136" i="22"/>
  <c r="AA111" i="22" s="1"/>
  <c r="AA112" i="22"/>
  <c r="AC135" i="22"/>
  <c r="AC112" i="22" s="1"/>
  <c r="AB135" i="22"/>
  <c r="V257" i="22"/>
  <c r="U38" i="4"/>
  <c r="V10" i="4" s="1"/>
  <c r="U39" i="4"/>
  <c r="Z26" i="4" l="1"/>
  <c r="AA14" i="4"/>
  <c r="AA31" i="4"/>
  <c r="AA25" i="4"/>
  <c r="AA29" i="4"/>
  <c r="W280" i="22"/>
  <c r="AA23" i="4"/>
  <c r="AA30" i="4"/>
  <c r="AA11" i="4"/>
  <c r="AA20" i="4" s="1"/>
  <c r="AA8" i="4"/>
  <c r="AA21" i="4"/>
  <c r="AA24" i="4"/>
  <c r="AA27" i="4"/>
  <c r="Y92" i="22"/>
  <c r="Y67" i="22" s="1"/>
  <c r="AB5" i="4" s="1"/>
  <c r="Y68" i="22"/>
  <c r="AB6" i="4" s="1"/>
  <c r="AA85" i="22"/>
  <c r="Z91" i="22"/>
  <c r="AB136" i="22"/>
  <c r="AB111" i="22" s="1"/>
  <c r="AB112" i="22"/>
  <c r="AC136" i="22"/>
  <c r="AC111" i="22" s="1"/>
  <c r="W257" i="22"/>
  <c r="AB31" i="4" l="1"/>
  <c r="AB14" i="4"/>
  <c r="AB25" i="4"/>
  <c r="AA26" i="4"/>
  <c r="AB29" i="4"/>
  <c r="X280" i="22"/>
  <c r="AB8" i="4"/>
  <c r="AB21" i="4"/>
  <c r="AB27" i="4"/>
  <c r="AB23" i="4"/>
  <c r="AB26" i="4" s="1"/>
  <c r="AB30" i="4"/>
  <c r="AB11" i="4"/>
  <c r="AB20" i="4" s="1"/>
  <c r="AB24" i="4"/>
  <c r="Z92" i="22"/>
  <c r="Z67" i="22" s="1"/>
  <c r="AC5" i="4" s="1"/>
  <c r="Z68" i="22"/>
  <c r="AC6" i="4" s="1"/>
  <c r="AB85" i="22"/>
  <c r="AA91" i="22"/>
  <c r="X257" i="22"/>
  <c r="V39" i="4"/>
  <c r="V38" i="4"/>
  <c r="W10" i="4" s="1"/>
  <c r="AC29" i="4" l="1"/>
  <c r="Y280" i="22"/>
  <c r="AC21" i="4"/>
  <c r="AC23" i="4"/>
  <c r="AC11" i="4"/>
  <c r="AC20" i="4" s="1"/>
  <c r="AC27" i="4"/>
  <c r="AC30" i="4"/>
  <c r="AC24" i="4"/>
  <c r="AC8" i="4"/>
  <c r="AC31" i="4"/>
  <c r="AC14" i="4"/>
  <c r="AD14" i="4" s="1"/>
  <c r="AC25" i="4"/>
  <c r="AA92" i="22"/>
  <c r="AA67" i="22" s="1"/>
  <c r="AD5" i="4" s="1"/>
  <c r="AA68" i="22"/>
  <c r="AD6" i="4" s="1"/>
  <c r="AC85" i="22"/>
  <c r="AC91" i="22" s="1"/>
  <c r="AB91" i="22"/>
  <c r="Y257" i="22"/>
  <c r="AC26" i="4" l="1"/>
  <c r="AD29" i="4"/>
  <c r="Z280" i="22"/>
  <c r="AD24" i="4"/>
  <c r="AD21" i="4"/>
  <c r="AD23" i="4"/>
  <c r="AD8" i="4"/>
  <c r="AD27" i="4"/>
  <c r="AD30" i="4"/>
  <c r="AD11" i="4"/>
  <c r="AD20" i="4" s="1"/>
  <c r="AD31" i="4"/>
  <c r="AD25" i="4"/>
  <c r="AD26" i="4" s="1"/>
  <c r="AB92" i="22"/>
  <c r="AB67" i="22" s="1"/>
  <c r="AE5" i="4" s="1"/>
  <c r="AB68" i="22"/>
  <c r="AE6" i="4" s="1"/>
  <c r="AA257" i="22" s="1"/>
  <c r="AC68" i="22"/>
  <c r="AF6" i="4" s="1"/>
  <c r="AC92" i="22"/>
  <c r="AC67" i="22" s="1"/>
  <c r="AF5" i="4" s="1"/>
  <c r="Z257" i="22"/>
  <c r="W39" i="4"/>
  <c r="W38" i="4"/>
  <c r="X10" i="4" s="1"/>
  <c r="AE29" i="4" l="1"/>
  <c r="AA280" i="22"/>
  <c r="AE23" i="4"/>
  <c r="AE24" i="4"/>
  <c r="AE27" i="4"/>
  <c r="AE8" i="4"/>
  <c r="AE11" i="4"/>
  <c r="AE20" i="4" s="1"/>
  <c r="AE21" i="4"/>
  <c r="AE30" i="4"/>
  <c r="AF29" i="4"/>
  <c r="AB280" i="22"/>
  <c r="AF23" i="4"/>
  <c r="AF30" i="4"/>
  <c r="AF24" i="4"/>
  <c r="AF27" i="4"/>
  <c r="AF8" i="4"/>
  <c r="AF11" i="4"/>
  <c r="AF20" i="4" s="1"/>
  <c r="AF21" i="4"/>
  <c r="AE31" i="4"/>
  <c r="AF31" i="4" s="1"/>
  <c r="AE14" i="4"/>
  <c r="AF14" i="4" s="1"/>
  <c r="AE25" i="4"/>
  <c r="AE26" i="4" s="1"/>
  <c r="AB257" i="22"/>
  <c r="X38" i="4"/>
  <c r="Y10" i="4" s="1"/>
  <c r="X39" i="4"/>
  <c r="AF25" i="4" l="1"/>
  <c r="AF26" i="4" s="1"/>
  <c r="Y38" i="4"/>
  <c r="Z10" i="4" s="1"/>
  <c r="Y39" i="4"/>
  <c r="Z38" i="4" l="1"/>
  <c r="AA10" i="4" s="1"/>
  <c r="Z39" i="4"/>
  <c r="AA39" i="4" l="1"/>
  <c r="AA38" i="4"/>
  <c r="AB10" i="4" s="1"/>
  <c r="AB38" i="4" l="1"/>
  <c r="AC10" i="4" s="1"/>
  <c r="AB39" i="4"/>
  <c r="AC38" i="4" l="1"/>
  <c r="AD10" i="4" s="1"/>
  <c r="AC39" i="4"/>
  <c r="AD39" i="4" l="1"/>
  <c r="AD38" i="4"/>
  <c r="AE10" i="4" s="1"/>
  <c r="AE38" i="4" l="1"/>
  <c r="AF10" i="4" s="1"/>
  <c r="AE39" i="4" l="1"/>
  <c r="AF39" i="4" l="1"/>
  <c r="AG39" i="4" s="1"/>
  <c r="AF38" i="4"/>
  <c r="AG38" i="4" s="1"/>
  <c r="G35" i="4" l="1"/>
  <c r="G36" i="4" s="1"/>
  <c r="G43" i="4" s="1"/>
  <c r="C257" i="22"/>
  <c r="G32" i="4"/>
  <c r="AG23" i="4"/>
  <c r="C258" i="22" l="1"/>
  <c r="G40" i="4"/>
  <c r="H9" i="4" s="1"/>
  <c r="H12" i="4" s="1"/>
  <c r="S251" i="22"/>
  <c r="H40" i="4" l="1"/>
  <c r="I9" i="4" s="1"/>
  <c r="I12" i="4" s="1"/>
  <c r="H41" i="4"/>
  <c r="H13" i="4"/>
  <c r="H15" i="4" s="1"/>
  <c r="I40" i="4" l="1"/>
  <c r="H16" i="4"/>
  <c r="H17" i="4" s="1"/>
  <c r="H19" i="4" s="1"/>
  <c r="H22" i="4" s="1"/>
  <c r="H28" i="4"/>
  <c r="C283" i="22"/>
  <c r="H34" i="4" l="1"/>
  <c r="J9" i="4"/>
  <c r="J12" i="4" s="1"/>
  <c r="J40" i="4"/>
  <c r="K40" i="4" s="1"/>
  <c r="K28" i="4"/>
  <c r="I41" i="4"/>
  <c r="J41" i="4" l="1"/>
  <c r="K9" i="4"/>
  <c r="K12" i="4" s="1"/>
  <c r="H32" i="4"/>
  <c r="H35" i="4"/>
  <c r="H36" i="4" s="1"/>
  <c r="H43" i="4" s="1"/>
  <c r="L28" i="4"/>
  <c r="L9" i="4" l="1"/>
  <c r="L12" i="4" s="1"/>
  <c r="L40" i="4"/>
  <c r="K41" i="4"/>
  <c r="I13" i="4"/>
  <c r="I15" i="4" s="1"/>
  <c r="I16" i="4" s="1"/>
  <c r="I17" i="4" s="1"/>
  <c r="D258" i="22"/>
  <c r="D283" i="22"/>
  <c r="M28" i="4"/>
  <c r="N28" i="4"/>
  <c r="L41" i="4" l="1"/>
  <c r="M9" i="4"/>
  <c r="M12" i="4" s="1"/>
  <c r="M40" i="4"/>
  <c r="I19" i="4"/>
  <c r="I22" i="4" s="1"/>
  <c r="I34" i="4" s="1"/>
  <c r="O28" i="4"/>
  <c r="N9" i="4" l="1"/>
  <c r="N12" i="4" s="1"/>
  <c r="N40" i="4"/>
  <c r="M41" i="4"/>
  <c r="I35" i="4"/>
  <c r="I36" i="4" s="1"/>
  <c r="I43" i="4" s="1"/>
  <c r="I32" i="4"/>
  <c r="P28" i="4"/>
  <c r="N41" i="4" l="1"/>
  <c r="O9" i="4"/>
  <c r="O40" i="4"/>
  <c r="J15" i="4"/>
  <c r="J16" i="4" s="1"/>
  <c r="J17" i="4" s="1"/>
  <c r="E283" i="22"/>
  <c r="E258" i="22"/>
  <c r="Q28" i="4"/>
  <c r="P9" i="4" l="1"/>
  <c r="P12" i="4" s="1"/>
  <c r="P40" i="4"/>
  <c r="O12" i="4"/>
  <c r="O41" i="4"/>
  <c r="J19" i="4"/>
  <c r="J22" i="4" s="1"/>
  <c r="J34" i="4" s="1"/>
  <c r="R28" i="4"/>
  <c r="P41" i="4" l="1"/>
  <c r="Q9" i="4"/>
  <c r="Q12" i="4" s="1"/>
  <c r="Q40" i="4"/>
  <c r="J35" i="4"/>
  <c r="J36" i="4" s="1"/>
  <c r="J43" i="4" s="1"/>
  <c r="J32" i="4"/>
  <c r="S28" i="4"/>
  <c r="R9" i="4" l="1"/>
  <c r="R12" i="4" s="1"/>
  <c r="R40" i="4"/>
  <c r="Q41" i="4"/>
  <c r="F258" i="22"/>
  <c r="K13" i="4"/>
  <c r="K15" i="4" s="1"/>
  <c r="K16" i="4" s="1"/>
  <c r="K17" i="4" s="1"/>
  <c r="F283" i="22"/>
  <c r="T28" i="4"/>
  <c r="R41" i="4" l="1"/>
  <c r="S9" i="4"/>
  <c r="S12" i="4" s="1"/>
  <c r="S40" i="4"/>
  <c r="K19" i="4"/>
  <c r="K22" i="4" s="1"/>
  <c r="K34" i="4" s="1"/>
  <c r="U28" i="4"/>
  <c r="S41" i="4" l="1"/>
  <c r="T9" i="4"/>
  <c r="T40" i="4"/>
  <c r="K35" i="4"/>
  <c r="K36" i="4" s="1"/>
  <c r="K43" i="4" s="1"/>
  <c r="G258" i="22" s="1"/>
  <c r="K32" i="4"/>
  <c r="V28" i="4"/>
  <c r="U9" i="4" l="1"/>
  <c r="U12" i="4" s="1"/>
  <c r="U40" i="4"/>
  <c r="T12" i="4"/>
  <c r="T41" i="4"/>
  <c r="G283" i="22"/>
  <c r="L13" i="4"/>
  <c r="L15" i="4" s="1"/>
  <c r="L16" i="4" s="1"/>
  <c r="L17" i="4" s="1"/>
  <c r="W28" i="4"/>
  <c r="U41" i="4" l="1"/>
  <c r="V9" i="4"/>
  <c r="V40" i="4"/>
  <c r="L19" i="4"/>
  <c r="L22" i="4" s="1"/>
  <c r="L34" i="4" s="1"/>
  <c r="X28" i="4"/>
  <c r="W9" i="4" l="1"/>
  <c r="W12" i="4" s="1"/>
  <c r="W40" i="4"/>
  <c r="V12" i="4"/>
  <c r="V41" i="4"/>
  <c r="W41" i="4" s="1"/>
  <c r="L35" i="4"/>
  <c r="L36" i="4" s="1"/>
  <c r="L43" i="4" s="1"/>
  <c r="L32" i="4"/>
  <c r="Y28" i="4"/>
  <c r="X9" i="4" l="1"/>
  <c r="X12" i="4" s="1"/>
  <c r="X40" i="4"/>
  <c r="M13" i="4"/>
  <c r="M15" i="4" s="1"/>
  <c r="M16" i="4" s="1"/>
  <c r="M17" i="4" s="1"/>
  <c r="H283" i="22"/>
  <c r="H258" i="22"/>
  <c r="Z28" i="4"/>
  <c r="Y9" i="4" l="1"/>
  <c r="Y12" i="4" s="1"/>
  <c r="Y40" i="4"/>
  <c r="X41" i="4"/>
  <c r="M19" i="4"/>
  <c r="M22" i="4" s="1"/>
  <c r="M34" i="4" s="1"/>
  <c r="AA28" i="4"/>
  <c r="Y41" i="4" l="1"/>
  <c r="Z9" i="4"/>
  <c r="Z12" i="4" s="1"/>
  <c r="Z40" i="4"/>
  <c r="M32" i="4"/>
  <c r="M35" i="4"/>
  <c r="M36" i="4" s="1"/>
  <c r="M43" i="4" s="1"/>
  <c r="AB28" i="4"/>
  <c r="AA9" i="4" l="1"/>
  <c r="AA12" i="4" s="1"/>
  <c r="AA40" i="4"/>
  <c r="Z41" i="4"/>
  <c r="AA41" i="4" s="1"/>
  <c r="I258" i="22"/>
  <c r="N13" i="4"/>
  <c r="N15" i="4" s="1"/>
  <c r="N16" i="4" s="1"/>
  <c r="N17" i="4" s="1"/>
  <c r="I283" i="22"/>
  <c r="AC28" i="4"/>
  <c r="AB9" i="4" l="1"/>
  <c r="AB12" i="4" s="1"/>
  <c r="AB40" i="4"/>
  <c r="N19" i="4"/>
  <c r="N22" i="4" s="1"/>
  <c r="N34" i="4" s="1"/>
  <c r="AD28" i="4"/>
  <c r="AC9" i="4" l="1"/>
  <c r="AC12" i="4" s="1"/>
  <c r="AC40" i="4"/>
  <c r="AB41" i="4"/>
  <c r="N32" i="4"/>
  <c r="N35" i="4"/>
  <c r="N36" i="4" s="1"/>
  <c r="N43" i="4" s="1"/>
  <c r="AE28" i="4"/>
  <c r="AC41" i="4" l="1"/>
  <c r="AD9" i="4"/>
  <c r="AD40" i="4"/>
  <c r="O13" i="4"/>
  <c r="O15" i="4" s="1"/>
  <c r="O16" i="4" s="1"/>
  <c r="O17" i="4" s="1"/>
  <c r="J258" i="22"/>
  <c r="J283" i="22"/>
  <c r="AE9" i="4" l="1"/>
  <c r="AE12" i="4" s="1"/>
  <c r="AE40" i="4"/>
  <c r="AD12" i="4"/>
  <c r="AD41" i="4"/>
  <c r="O19" i="4"/>
  <c r="O22" i="4" s="1"/>
  <c r="O34" i="4" s="1"/>
  <c r="AF28" i="4"/>
  <c r="AE41" i="4" l="1"/>
  <c r="AF9" i="4"/>
  <c r="AF40" i="4"/>
  <c r="AG40" i="4" s="1"/>
  <c r="O35" i="4"/>
  <c r="O36" i="4" s="1"/>
  <c r="O43" i="4" s="1"/>
  <c r="O32" i="4"/>
  <c r="AF41" i="4" l="1"/>
  <c r="AG41" i="4" s="1"/>
  <c r="AF12" i="4"/>
  <c r="AG9" i="4"/>
  <c r="AH24" i="4" s="1"/>
  <c r="P13" i="4"/>
  <c r="P15" i="4" s="1"/>
  <c r="P16" i="4" s="1"/>
  <c r="P17" i="4" s="1"/>
  <c r="K258" i="22"/>
  <c r="K283" i="22"/>
  <c r="P19" i="4" l="1"/>
  <c r="P22" i="4" s="1"/>
  <c r="P34" i="4" s="1"/>
  <c r="P32" i="4" l="1"/>
  <c r="P35" i="4"/>
  <c r="P36" i="4" s="1"/>
  <c r="P43" i="4" s="1"/>
  <c r="L283" i="22" l="1"/>
  <c r="Q13" i="4"/>
  <c r="Q15" i="4" s="1"/>
  <c r="Q16" i="4" s="1"/>
  <c r="Q17" i="4" s="1"/>
  <c r="L258" i="22"/>
  <c r="Q19" i="4" l="1"/>
  <c r="Q22" i="4" s="1"/>
  <c r="Q34" i="4" s="1"/>
  <c r="Q35" i="4" l="1"/>
  <c r="Q36" i="4" s="1"/>
  <c r="Q43" i="4" s="1"/>
  <c r="Q32" i="4"/>
  <c r="M258" i="22" l="1"/>
  <c r="R13" i="4"/>
  <c r="R15" i="4" s="1"/>
  <c r="R16" i="4" s="1"/>
  <c r="R17" i="4" s="1"/>
  <c r="M283" i="22"/>
  <c r="R19" i="4" l="1"/>
  <c r="R22" i="4" s="1"/>
  <c r="R34" i="4" s="1"/>
  <c r="R32" i="4" l="1"/>
  <c r="R35" i="4"/>
  <c r="R36" i="4" s="1"/>
  <c r="R43" i="4" s="1"/>
  <c r="S13" i="4" l="1"/>
  <c r="S15" i="4" s="1"/>
  <c r="S16" i="4" s="1"/>
  <c r="S17" i="4" s="1"/>
  <c r="N283" i="22"/>
  <c r="N258" i="22"/>
  <c r="S19" i="4" l="1"/>
  <c r="S22" i="4" s="1"/>
  <c r="S34" i="4" s="1"/>
  <c r="S35" i="4" l="1"/>
  <c r="S36" i="4" s="1"/>
  <c r="S43" i="4" s="1"/>
  <c r="S32" i="4"/>
  <c r="T13" i="4" l="1"/>
  <c r="T15" i="4" s="1"/>
  <c r="T16" i="4" s="1"/>
  <c r="T17" i="4" s="1"/>
  <c r="O258" i="22"/>
  <c r="O283" i="22"/>
  <c r="T19" i="4" l="1"/>
  <c r="T22" i="4" s="1"/>
  <c r="T34" i="4" s="1"/>
  <c r="T35" i="4" l="1"/>
  <c r="T36" i="4" s="1"/>
  <c r="T43" i="4" s="1"/>
  <c r="T32" i="4"/>
  <c r="P258" i="22" l="1"/>
  <c r="U13" i="4"/>
  <c r="U15" i="4" s="1"/>
  <c r="U16" i="4" s="1"/>
  <c r="U17" i="4" s="1"/>
  <c r="P283" i="22"/>
  <c r="U19" i="4" l="1"/>
  <c r="U22" i="4" s="1"/>
  <c r="U34" i="4" s="1"/>
  <c r="U35" i="4" l="1"/>
  <c r="U36" i="4" s="1"/>
  <c r="U43" i="4" s="1"/>
  <c r="U32" i="4"/>
  <c r="Q283" i="22" l="1"/>
  <c r="V13" i="4"/>
  <c r="V15" i="4" s="1"/>
  <c r="V16" i="4" s="1"/>
  <c r="V17" i="4" s="1"/>
  <c r="Q258" i="22"/>
  <c r="V19" i="4" l="1"/>
  <c r="V22" i="4" s="1"/>
  <c r="V34" i="4" s="1"/>
  <c r="V32" i="4" l="1"/>
  <c r="V35" i="4"/>
  <c r="V36" i="4" s="1"/>
  <c r="V43" i="4" s="1"/>
  <c r="R283" i="22" l="1"/>
  <c r="R258" i="22"/>
  <c r="W13" i="4"/>
  <c r="W15" i="4" s="1"/>
  <c r="W16" i="4" s="1"/>
  <c r="W17" i="4" s="1"/>
  <c r="W19" i="4" l="1"/>
  <c r="W22" i="4" s="1"/>
  <c r="W34" i="4" s="1"/>
  <c r="W35" i="4" l="1"/>
  <c r="W36" i="4" s="1"/>
  <c r="W43" i="4" s="1"/>
  <c r="W32" i="4"/>
  <c r="S258" i="22" l="1"/>
  <c r="S283" i="22"/>
  <c r="X13" i="4"/>
  <c r="X15" i="4" s="1"/>
  <c r="X16" i="4" s="1"/>
  <c r="X17" i="4" s="1"/>
  <c r="X19" i="4" l="1"/>
  <c r="X22" i="4" s="1"/>
  <c r="X34" i="4" s="1"/>
  <c r="X32" i="4" l="1"/>
  <c r="X35" i="4"/>
  <c r="X36" i="4" s="1"/>
  <c r="X43" i="4" s="1"/>
  <c r="T283" i="22" l="1"/>
  <c r="Y13" i="4"/>
  <c r="Y15" i="4" s="1"/>
  <c r="Y16" i="4" s="1"/>
  <c r="Y17" i="4" s="1"/>
  <c r="T258" i="22"/>
  <c r="Y19" i="4" l="1"/>
  <c r="Y22" i="4" s="1"/>
  <c r="Y34" i="4" s="1"/>
  <c r="Y35" i="4" l="1"/>
  <c r="Y36" i="4" s="1"/>
  <c r="Y43" i="4" s="1"/>
  <c r="Y32" i="4"/>
  <c r="U258" i="22" l="1"/>
  <c r="Z13" i="4"/>
  <c r="Z15" i="4" s="1"/>
  <c r="Z16" i="4" s="1"/>
  <c r="Z17" i="4" s="1"/>
  <c r="U283" i="22"/>
  <c r="Z19" i="4" l="1"/>
  <c r="Z22" i="4" s="1"/>
  <c r="Z34" i="4" s="1"/>
  <c r="Z32" i="4" l="1"/>
  <c r="Z35" i="4"/>
  <c r="Z36" i="4" s="1"/>
  <c r="Z43" i="4" s="1"/>
  <c r="V283" i="22" l="1"/>
  <c r="V258" i="22"/>
  <c r="AA13" i="4"/>
  <c r="AA15" i="4" s="1"/>
  <c r="AA16" i="4" s="1"/>
  <c r="AA17" i="4" s="1"/>
  <c r="AA19" i="4" l="1"/>
  <c r="AA22" i="4" s="1"/>
  <c r="AA34" i="4" s="1"/>
  <c r="AA35" i="4" l="1"/>
  <c r="AA36" i="4" s="1"/>
  <c r="AA43" i="4" s="1"/>
  <c r="AA32" i="4"/>
  <c r="W258" i="22" l="1"/>
  <c r="W283" i="22"/>
  <c r="AB13" i="4"/>
  <c r="AB15" i="4" s="1"/>
  <c r="AB16" i="4" s="1"/>
  <c r="AB17" i="4" s="1"/>
  <c r="AB19" i="4" l="1"/>
  <c r="AB22" i="4" s="1"/>
  <c r="AB34" i="4" s="1"/>
  <c r="AB35" i="4" l="1"/>
  <c r="AB36" i="4" s="1"/>
  <c r="AB43" i="4" s="1"/>
  <c r="AB32" i="4"/>
  <c r="X283" i="22" l="1"/>
  <c r="AC13" i="4"/>
  <c r="AC15" i="4" s="1"/>
  <c r="AC16" i="4" s="1"/>
  <c r="AC17" i="4" s="1"/>
  <c r="X258" i="22"/>
  <c r="AC19" i="4" l="1"/>
  <c r="AC22" i="4" s="1"/>
  <c r="AC34" i="4" s="1"/>
  <c r="AC35" i="4" l="1"/>
  <c r="AC36" i="4" s="1"/>
  <c r="AC43" i="4" s="1"/>
  <c r="AC32" i="4"/>
  <c r="Y258" i="22" l="1"/>
  <c r="AD13" i="4"/>
  <c r="AD15" i="4" s="1"/>
  <c r="AD16" i="4" s="1"/>
  <c r="AD17" i="4" s="1"/>
  <c r="Y283" i="22"/>
  <c r="AD19" i="4" l="1"/>
  <c r="AD22" i="4" s="1"/>
  <c r="AD34" i="4" s="1"/>
  <c r="AD35" i="4" l="1"/>
  <c r="AD36" i="4" s="1"/>
  <c r="AD43" i="4" s="1"/>
  <c r="AD32" i="4"/>
  <c r="Z258" i="22" l="1"/>
  <c r="Z283" i="22"/>
  <c r="AE13" i="4"/>
  <c r="AE15" i="4" s="1"/>
  <c r="AE16" i="4" s="1"/>
  <c r="AE17" i="4" s="1"/>
  <c r="AE19" i="4" l="1"/>
  <c r="AE22" i="4" s="1"/>
  <c r="AE34" i="4" s="1"/>
  <c r="AE35" i="4" l="1"/>
  <c r="AE36" i="4" s="1"/>
  <c r="AE43" i="4" s="1"/>
  <c r="AE32" i="4"/>
  <c r="AA258" i="22" l="1"/>
  <c r="AF13" i="4"/>
  <c r="AF15" i="4" s="1"/>
  <c r="AF16" i="4" s="1"/>
  <c r="AF17" i="4" s="1"/>
  <c r="AA283" i="22"/>
  <c r="AF19" i="4" l="1"/>
  <c r="AF22" i="4" s="1"/>
  <c r="AF34" i="4" s="1"/>
  <c r="D71" i="4" s="1"/>
  <c r="AF35" i="4" l="1"/>
  <c r="AF36" i="4" s="1"/>
  <c r="AF43" i="4" s="1"/>
  <c r="D70" i="4" s="1"/>
  <c r="D72" i="4" s="1"/>
  <c r="D75" i="4" s="1"/>
  <c r="D74" i="4" s="1"/>
  <c r="AF32" i="4"/>
  <c r="AB258" i="22" l="1"/>
  <c r="AB283" i="22"/>
  <c r="D78" i="4"/>
  <c r="D77" i="4"/>
  <c r="E70" i="4" l="1"/>
  <c r="E71" i="4"/>
  <c r="J41" i="1" l="1"/>
  <c r="H39" i="1"/>
  <c r="D80" i="4"/>
  <c r="E77" i="4"/>
  <c r="E78" i="4"/>
  <c r="F51" i="16"/>
  <c r="F50" i="16"/>
  <c r="F58" i="16" s="1"/>
  <c r="H31" i="22" l="1"/>
  <c r="F30" i="16"/>
  <c r="F31" i="16" s="1"/>
  <c r="F59" i="16"/>
  <c r="G45" i="1" s="1" a="1"/>
  <c r="G45" i="1" s="1"/>
  <c r="F60" i="16"/>
  <c r="N31" i="22" l="1"/>
  <c r="O31"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tc={B8360AB7-5DB1-45D3-ABF9-3AFEF51621D6}</author>
    <author>tc={D17B5162-9C54-4F03-8882-3A424C1A2E60}</author>
    <author>tc={74106D0B-4568-4C95-B1A7-D780E3BD20D3}</author>
    <author>Eduardo Ferreira</author>
    <author>Jorge</author>
  </authors>
  <commentList>
    <comment ref="B2" authorId="0" shapeId="0" xr:uid="{B8360AB7-5DB1-45D3-ABF9-3AFEF51621D6}">
      <text>
        <t>[Threaded comment]
Your version of Excel allows you to read this threaded comment; however, any edits to it will get removed if the file is opened in a newer version of Excel. Learn more: https://go.microsoft.com/fwlink/?linkid=870924
Comment:
    Date of last update of the report</t>
      </text>
    </comment>
    <comment ref="D2" authorId="1" shapeId="0" xr:uid="{D17B5162-9C54-4F03-8882-3A424C1A2E60}">
      <text>
        <t>[Threaded comment]
Your version of Excel allows you to read this threaded comment; however, any edits to it will get removed if the file is opened in a newer version of Excel. Learn more: https://go.microsoft.com/fwlink/?linkid=870924
Comment:
    Insert the date when the company will issue their next quarter/annual report</t>
      </text>
    </comment>
    <comment ref="L2" authorId="2" shapeId="0" xr:uid="{74106D0B-4568-4C95-B1A7-D780E3BD20D3}">
      <text>
        <t>[Threaded comment]
Your version of Excel allows you to read this threaded comment; however, any edits to it will get removed if the file is opened in a newer version of Excel. Learn more: https://go.microsoft.com/fwlink/?linkid=870924
Comment:
    In what exchange the company is listed in (Input the main exchange)</t>
      </text>
    </comment>
    <comment ref="D44" authorId="3" shapeId="0" xr:uid="{3E3FFF3C-33A9-994C-B6DA-EFA3EDE9D6C0}">
      <text>
        <r>
          <rPr>
            <sz val="12"/>
            <color rgb="FFFFFFFF"/>
            <rFont val="Calibri"/>
            <family val="2"/>
          </rPr>
          <t>Eduardo Ferreira:</t>
        </r>
        <r>
          <rPr>
            <sz val="10"/>
            <color rgb="FF000000"/>
            <rFont val="Arial"/>
            <family val="2"/>
          </rPr>
          <t xml:space="preserve">
</t>
        </r>
        <r>
          <rPr>
            <sz val="10"/>
            <color rgb="FF000000"/>
            <rFont val="Arial"/>
            <family val="2"/>
          </rPr>
          <t xml:space="preserve">Op. Earnings is Earnings after Cost of good solds, regular selling, general, and adminin costs of running a business, excluding interest and taxes. (EBIT)
</t>
        </r>
      </text>
    </comment>
    <comment ref="B83" authorId="4" shapeId="0" xr:uid="{55FE35B3-49A7-42DA-A0AA-ABF0105593A4}">
      <text>
        <r>
          <rPr>
            <b/>
            <sz val="9"/>
            <color indexed="81"/>
            <rFont val="Tahoma"/>
            <family val="2"/>
          </rPr>
          <t>Jorge:</t>
        </r>
        <r>
          <rPr>
            <sz val="9"/>
            <color indexed="81"/>
            <rFont val="Tahoma"/>
            <family val="2"/>
          </rPr>
          <t xml:space="preserve">
It shows Company's pre-tax EPS since 1997, assuming the
reinvestment of dividends since then. The blue bars show the effect of underlying profit growth and
share buybacks; the green bars show the enhancement from the cumulative effect of reinvesting
dividends. The final bar of the chart reflects the guidance from First half year of 2024 for the current year (2024) of 12.0%, which
includes 2.3% from the reinvestment of dividends.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Jorge</author>
  </authors>
  <commentList>
    <comment ref="F19" authorId="0" shapeId="0" xr:uid="{4A345E31-049C-4250-934F-DF64886C2C8E}">
      <text>
        <r>
          <rPr>
            <b/>
            <sz val="9"/>
            <color indexed="81"/>
            <rFont val="Tahoma"/>
            <family val="2"/>
          </rPr>
          <t>Jorge:</t>
        </r>
        <r>
          <rPr>
            <sz val="9"/>
            <color indexed="81"/>
            <rFont val="Tahoma"/>
            <family val="2"/>
          </rPr>
          <t xml:space="preserve">
Tilll 2021, we consider the "Next Retail" segment and the "NEXT international retail" segment the 2022 "NEXT retail" segment</t>
        </r>
      </text>
    </comment>
    <comment ref="B24" authorId="0" shapeId="0" xr:uid="{335EE96B-1C34-4B5C-8294-8B45AE814289}">
      <text>
        <r>
          <rPr>
            <b/>
            <sz val="9"/>
            <color indexed="81"/>
            <rFont val="Tahoma"/>
            <family val="2"/>
          </rPr>
          <t>Jorge:</t>
        </r>
        <r>
          <rPr>
            <sz val="9"/>
            <color indexed="81"/>
            <rFont val="Tahoma"/>
            <family val="2"/>
          </rPr>
          <t xml:space="preserve">
(Excluding Central costs, Recharge of interest, Share option charge, unrealised forex gains, net financial costs and share of results with minority interests)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Jorge</author>
  </authors>
  <commentList>
    <comment ref="E86" authorId="0" shapeId="0" xr:uid="{D1AF12F1-AD8E-40BD-84C2-CCE5AC7CD88C}">
      <text>
        <r>
          <rPr>
            <b/>
            <sz val="9"/>
            <color indexed="81"/>
            <rFont val="Tahoma"/>
            <family val="2"/>
          </rPr>
          <t>18/04/2024</t>
        </r>
      </text>
    </comment>
    <comment ref="E87" authorId="0" shapeId="0" xr:uid="{DBADB3C3-6878-49FB-9539-FB1F8056E0AD}">
      <text>
        <r>
          <rPr>
            <b/>
            <sz val="9"/>
            <color indexed="81"/>
            <rFont val="Tahoma"/>
            <family val="2"/>
          </rPr>
          <t>20/04/2023</t>
        </r>
      </text>
    </comment>
    <comment ref="E88" authorId="0" shapeId="0" xr:uid="{20EF3CC8-CD9F-4F89-B731-02835DD27C9F}">
      <text>
        <r>
          <rPr>
            <b/>
            <sz val="9"/>
            <color indexed="81"/>
            <rFont val="Tahoma"/>
            <family val="2"/>
          </rPr>
          <t>16/04/2021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Jorge</author>
    <author>Damião Ribeiro</author>
    <author>Damião Carvalho Perdigão Gonçalves Ribeiro</author>
    <author>Cristina Lin</author>
  </authors>
  <commentList>
    <comment ref="Z17" authorId="0" shapeId="0" xr:uid="{7CD9508A-54C3-42E4-AB14-A8D4B71BCE13}">
      <text>
        <r>
          <rPr>
            <sz val="9"/>
            <color indexed="81"/>
            <rFont val="Tahoma"/>
            <family val="2"/>
          </rPr>
          <t xml:space="preserve">Incluiding impairments
</t>
        </r>
      </text>
    </comment>
    <comment ref="AA18" authorId="0" shapeId="0" xr:uid="{3D00538B-69A6-4FC8-915A-0C90BE65FBD7}">
      <text>
        <r>
          <rPr>
            <sz val="9"/>
            <color indexed="81"/>
            <rFont val="Tahoma"/>
            <family val="2"/>
          </rPr>
          <t>Intangible assets arising from acquisitions in the year relate to the acquisition of the Reiss and FatFace brand names and customer relationships for 
£444.0m (2023: Joules brand name of £10.5m), goodwill arising from acquisitions of £169.9m (2023: £11.6m) and software intangibles of £3.0m
(2023: £7.4m). See Note 34 for further details on acquisitions.</t>
        </r>
      </text>
    </comment>
    <comment ref="AB18" authorId="0" shapeId="0" xr:uid="{BB98CF4A-7A8A-417A-911C-6057FD964DE1}">
      <text>
        <r>
          <rPr>
            <sz val="9"/>
            <color indexed="81"/>
            <rFont val="Tahoma"/>
            <family val="2"/>
          </rPr>
          <t xml:space="preserve">Annual report 2023, note 10 "intangible Assets"
</t>
        </r>
      </text>
    </comment>
    <comment ref="N23" authorId="1" shapeId="0" xr:uid="{4933DAFF-721E-4DD7-9652-E02D2A561EE8}">
      <text>
        <r>
          <rPr>
            <b/>
            <sz val="9"/>
            <color indexed="81"/>
            <rFont val="Tahoma"/>
            <family val="2"/>
          </rPr>
          <t>Damião Ribeiro:</t>
        </r>
        <r>
          <rPr>
            <sz val="9"/>
            <color indexed="81"/>
            <rFont val="Tahoma"/>
            <family val="2"/>
          </rPr>
          <t xml:space="preserve">
Average YoY Growth (Gross PPE)</t>
        </r>
      </text>
    </comment>
    <comment ref="O23" authorId="2" shapeId="0" xr:uid="{6E478CFC-98B1-491D-B9A2-4B23F33AC43B}">
      <text>
        <r>
          <rPr>
            <sz val="10"/>
            <rFont val="Arial"/>
            <family val="2"/>
          </rPr>
          <t>Damião Carvalho Perdigão Gonçalves Ribeiro:
Average YoY Growth (Gross PPE)</t>
        </r>
      </text>
    </comment>
    <comment ref="P23" authorId="2" shapeId="0" xr:uid="{1EA63F23-E7A6-4972-8A14-A15EA6172957}">
      <text>
        <r>
          <rPr>
            <sz val="10"/>
            <rFont val="Arial"/>
            <family val="2"/>
          </rPr>
          <t>Damião Carvalho Perdigão Gonçalves Ribeiro:
Average YoY Growth (Gross PPE)</t>
        </r>
      </text>
    </comment>
    <comment ref="N25" authorId="1" shapeId="0" xr:uid="{07A694DB-1205-411E-9BB0-027D86C87314}">
      <text>
        <r>
          <rPr>
            <b/>
            <sz val="9"/>
            <color indexed="81"/>
            <rFont val="Tahoma"/>
            <family val="2"/>
          </rPr>
          <t>Damião Ribeiro:</t>
        </r>
        <r>
          <rPr>
            <sz val="9"/>
            <color indexed="81"/>
            <rFont val="Tahoma"/>
            <family val="2"/>
          </rPr>
          <t xml:space="preserve">
Average YoY Growth (Gross IA)</t>
        </r>
      </text>
    </comment>
    <comment ref="O25" authorId="2" shapeId="0" xr:uid="{73CD9603-F085-467F-BBA9-49CE7A829CFD}">
      <text>
        <r>
          <rPr>
            <sz val="10"/>
            <rFont val="Arial"/>
            <family val="2"/>
          </rPr>
          <t>Damião Carvalho Perdigão Gonçalves Ribeiro:
Average YoY Growth (Gross IA)</t>
        </r>
      </text>
    </comment>
    <comment ref="P25" authorId="2" shapeId="0" xr:uid="{87DB85B0-C8E7-4E44-A787-C670A9DA7EB6}">
      <text>
        <r>
          <rPr>
            <sz val="10"/>
            <rFont val="Arial"/>
            <family val="2"/>
          </rPr>
          <t>Damião Carvalho Perdigão Gonçalves Ribeiro:
Average YoY Growth (Gross IA)</t>
        </r>
      </text>
    </comment>
    <comment ref="D289" authorId="2" shapeId="0" xr:uid="{11F8B34E-8832-468A-8B8D-61E5352EE958}">
      <text>
        <r>
          <rPr>
            <sz val="10"/>
            <rFont val="Arial"/>
            <family val="2"/>
          </rPr>
          <t>Damião Carvalho Perdigão Gonçalves Ribeiro:
2 Bonds at 3% - 2030 maturity</t>
        </r>
      </text>
    </comment>
    <comment ref="E289" authorId="3" shapeId="0" xr:uid="{DC9A6039-B523-487A-A670-978805884B38}">
      <text>
        <r>
          <rPr>
            <sz val="10"/>
            <rFont val="Arial"/>
            <family val="2"/>
          </rPr>
          <t xml:space="preserve">Cristina Lin:
2 bonds of 300 at 3.625%- maturity date 2031
</t>
        </r>
      </text>
    </comment>
    <comment ref="F289" authorId="3" shapeId="0" xr:uid="{0D584885-3F69-4551-8985-24EC9F0BEDB5}">
      <text>
        <r>
          <rPr>
            <sz val="10"/>
            <rFont val="Arial"/>
            <family val="2"/>
          </rPr>
          <t>Cristina Lin:
2 bonds of 300 at 3.625%- maturity date 2032</t>
        </r>
      </text>
    </comment>
    <comment ref="G289" authorId="3" shapeId="0" xr:uid="{ED18C70B-DFB6-4462-8D9A-D924488806EF}">
      <text>
        <r>
          <rPr>
            <sz val="10"/>
            <rFont val="Arial"/>
            <family val="2"/>
          </rPr>
          <t>Cristina Lin:
6 bonds of 300 at 3.625%- maturity date 2033</t>
        </r>
      </text>
    </comment>
    <comment ref="H289" authorId="3" shapeId="0" xr:uid="{4143ABD4-5616-4AAE-A9F3-18DDB99F02F9}">
      <text>
        <r>
          <rPr>
            <sz val="10"/>
            <rFont val="Arial"/>
            <family val="2"/>
          </rPr>
          <t>Cristina Lin:
6 bonds of 250, at 3%- maturity date 2034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Jorge</author>
    <author>Leonor Simões</author>
  </authors>
  <commentList>
    <comment ref="A9" authorId="0" shapeId="0" xr:uid="{0DFF4918-A609-495F-BBC1-98EEDAFF83A1}">
      <text>
        <r>
          <rPr>
            <sz val="9"/>
            <color indexed="81"/>
            <rFont val="Tahoma"/>
            <family val="2"/>
          </rPr>
          <t>AR 2023
Note 6 "Exceptional items" + Note 3 "Other gains" ((Gain)/loss on financial instruments)
"</t>
        </r>
        <r>
          <rPr>
            <b/>
            <sz val="9"/>
            <color indexed="81"/>
            <rFont val="Tahoma"/>
            <family val="2"/>
          </rPr>
          <t>Exceptional net gain on acquisition of subsidiary (</t>
        </r>
        <r>
          <rPr>
            <b/>
            <u/>
            <sz val="9"/>
            <color indexed="81"/>
            <rFont val="Tahoma"/>
            <family val="2"/>
          </rPr>
          <t>Reiss</t>
        </r>
        <r>
          <rPr>
            <b/>
            <sz val="9"/>
            <color indexed="81"/>
            <rFont val="Tahoma"/>
            <family val="2"/>
          </rPr>
          <t>) previously presented as a joint venture</t>
        </r>
        <r>
          <rPr>
            <sz val="9"/>
            <color indexed="81"/>
            <rFont val="Tahoma"/>
            <family val="2"/>
          </rPr>
          <t>" - equates to the fair value of our joint venture shareholding less the carrying value as at the date of
the step-acquisition.
Reiss is an english fashion brand and retail store chain owned and run by the founder, David Reiss.The brand produces men's and women's clothing. It has 160 stores in 15 countries.</t>
        </r>
      </text>
    </comment>
    <comment ref="K9" authorId="1" shapeId="0" xr:uid="{87109C94-C875-4AA1-904F-838620765F36}">
      <text>
        <r>
          <rPr>
            <b/>
            <sz val="9"/>
            <color indexed="81"/>
            <rFont val="Tahoma"/>
            <family val="2"/>
          </rPr>
          <t>Leonor Simões:</t>
        </r>
        <r>
          <rPr>
            <sz val="9"/>
            <color indexed="81"/>
            <rFont val="Tahoma"/>
            <family val="2"/>
          </rPr>
          <t xml:space="preserve">
other losses + exceptional item</t>
        </r>
      </text>
    </comment>
    <comment ref="A29" authorId="1" shapeId="0" xr:uid="{CA8F8A0A-81DC-4542-8741-76AA79D4D604}">
      <text>
        <r>
          <rPr>
            <b/>
            <sz val="9"/>
            <color indexed="81"/>
            <rFont val="Tahoma"/>
            <family val="2"/>
          </rPr>
          <t xml:space="preserve">Customer and other receivables-Other trade receivables-Prepayments
"No interest is charged on Directory customer receivables if the statement balance is paid in full; otherwise balances bear interest at a variable annual percentage rate of 25.99%."
</t>
        </r>
      </text>
    </comment>
    <comment ref="A35" authorId="1" shapeId="0" xr:uid="{064E7F7A-683A-40FB-851B-15A96F17722A}">
      <text>
        <r>
          <rPr>
            <sz val="9"/>
            <color indexed="81"/>
            <rFont val="Tahoma"/>
            <family val="2"/>
          </rPr>
          <t xml:space="preserve">Interests in associates and other investments </t>
        </r>
      </text>
    </comment>
    <comment ref="A62" authorId="1" shapeId="0" xr:uid="{8310EE92-8098-4123-B430-565FCA14A18E}">
      <text>
        <r>
          <rPr>
            <b/>
            <sz val="9"/>
            <color indexed="81"/>
            <rFont val="Tahoma"/>
            <family val="2"/>
          </rPr>
          <t xml:space="preserve">Exchange movement +
(Increase)/decrease in inventories +
Increase in customer and other receivables +
Decrease in trade and other payables +
Net pension contributions less income statement charge </t>
        </r>
      </text>
    </comment>
    <comment ref="A65" authorId="1" shapeId="0" xr:uid="{57C7730F-7DCC-4C9A-BB42-32A3789A26EE}">
      <text>
        <r>
          <rPr>
            <b/>
            <sz val="9"/>
            <color indexed="81"/>
            <rFont val="Tahoma"/>
            <family val="2"/>
          </rPr>
          <t>Payments to acquire property, plant and equipment +
Proceeds from sale of property, plant and equipment+Proceeds from sale and leaseback transactions</t>
        </r>
      </text>
    </comment>
    <comment ref="A66" authorId="1" shapeId="0" xr:uid="{969A3CB6-5B23-43AB-A3ED-BF05C6F82813}">
      <text>
        <r>
          <rPr>
            <b/>
            <sz val="9"/>
            <color indexed="81"/>
            <rFont val="Tahoma"/>
            <family val="2"/>
          </rPr>
          <t>Leonor Simões:</t>
        </r>
        <r>
          <rPr>
            <sz val="9"/>
            <color indexed="81"/>
            <rFont val="Tahoma"/>
            <family val="2"/>
          </rPr>
          <t xml:space="preserve">
Investment in subsidiaries+Investment in associates and joint ventures+Acquisition of other investments
</t>
        </r>
      </text>
    </comment>
    <comment ref="J66" authorId="1" shapeId="0" xr:uid="{A3432B06-9FCB-4661-9025-98B213B2CF94}">
      <text>
        <r>
          <rPr>
            <b/>
            <sz val="9"/>
            <color indexed="81"/>
            <rFont val="Tahoma"/>
            <family val="2"/>
          </rPr>
          <t>Leonor Simões:</t>
        </r>
        <r>
          <rPr>
            <sz val="9"/>
            <color indexed="81"/>
            <rFont val="Tahoma"/>
            <family val="2"/>
          </rPr>
          <t xml:space="preserve">
entender o que são os proceeds from sale of investment in associate e se entram
</t>
        </r>
      </text>
    </comment>
    <comment ref="A69" authorId="1" shapeId="0" xr:uid="{B0E564E4-DA67-4F2D-BBB5-4DD5D4D0B506}">
      <text>
        <r>
          <rPr>
            <sz val="9"/>
            <color indexed="81"/>
            <rFont val="Tahoma"/>
            <family val="2"/>
          </rPr>
          <t xml:space="preserve">Issue of corporate bonds
</t>
        </r>
      </text>
    </comment>
    <comment ref="A70" authorId="1" shapeId="0" xr:uid="{53B436FF-8E60-42CE-84B5-C0108058787C}">
      <text>
        <r>
          <rPr>
            <b/>
            <sz val="9"/>
            <color indexed="81"/>
            <rFont val="Tahoma"/>
            <family val="2"/>
          </rPr>
          <t>Leonor Simões:</t>
        </r>
        <r>
          <rPr>
            <sz val="9"/>
            <color indexed="81"/>
            <rFont val="Tahoma"/>
            <family val="2"/>
          </rPr>
          <t xml:space="preserve">
Repayment of loan + Repayment of bond</t>
        </r>
      </text>
    </comment>
    <comment ref="A72" authorId="1" shapeId="0" xr:uid="{8E2EAC26-CB9D-494C-8D29-AC74D2742A6E}">
      <text>
        <r>
          <rPr>
            <b/>
            <sz val="9"/>
            <color indexed="81"/>
            <rFont val="Tahoma"/>
            <family val="2"/>
          </rPr>
          <t>Leonor Simões:</t>
        </r>
        <r>
          <rPr>
            <sz val="9"/>
            <color indexed="81"/>
            <rFont val="Tahoma"/>
            <family val="2"/>
          </rPr>
          <t xml:space="preserve">
Lease repayment in 2019 and 2018
</t>
        </r>
      </text>
    </comment>
    <comment ref="E73" authorId="1" shapeId="0" xr:uid="{EA98C8A6-3072-40F4-935F-4B37F3F6A66E}">
      <text>
        <r>
          <rPr>
            <sz val="9"/>
            <color indexed="81"/>
            <rFont val="Tahoma"/>
            <family val="2"/>
          </rPr>
          <t>"No interim or final dividends were paid in the year to January 2021. The Trustee of the ESOT waived dividends paid in the year on shares held by the ESOT."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6">
    <bk>
      <extLst>
        <ext uri="{3e2802c4-a4d2-4d8b-9148-e3be6c30e623}">
          <xlrd:rvb i="2"/>
        </ext>
      </extLst>
    </bk>
    <bk>
      <extLst>
        <ext uri="{3e2802c4-a4d2-4d8b-9148-e3be6c30e623}">
          <xlrd:rvb i="3"/>
        </ext>
      </extLst>
    </bk>
    <bk>
      <extLst>
        <ext uri="{3e2802c4-a4d2-4d8b-9148-e3be6c30e623}">
          <xlrd:rvb i="6"/>
        </ext>
      </extLst>
    </bk>
    <bk>
      <extLst>
        <ext uri="{3e2802c4-a4d2-4d8b-9148-e3be6c30e623}">
          <xlrd:rvb i="9"/>
        </ext>
      </extLst>
    </bk>
    <bk>
      <extLst>
        <ext uri="{3e2802c4-a4d2-4d8b-9148-e3be6c30e623}">
          <xlrd:rvb i="12"/>
        </ext>
      </extLst>
    </bk>
    <bk>
      <extLst>
        <ext uri="{3e2802c4-a4d2-4d8b-9148-e3be6c30e623}">
          <xlrd:rvb i="15"/>
        </ext>
      </extLst>
    </bk>
  </futureMetadata>
  <futureMetadata name="XLDAPR" count="1">
    <bk>
      <extLst>
        <ext uri="{bdbb8cdc-fa1e-496e-a857-3c3f30c029c3}">
          <xda:dynamicArrayProperties fDynamic="1" fCollapsed="0"/>
        </ext>
      </extLst>
    </bk>
  </futureMetadata>
  <cellMetadata count="1">
    <bk>
      <rc t="2" v="0"/>
    </bk>
  </cellMetadata>
  <valueMetadata count="6">
    <bk>
      <rc t="1" v="0"/>
    </bk>
    <bk>
      <rc t="1" v="1"/>
    </bk>
    <bk>
      <rc t="1" v="2"/>
    </bk>
    <bk>
      <rc t="1" v="3"/>
    </bk>
    <bk>
      <rc t="1" v="4"/>
    </bk>
    <bk>
      <rc t="1" v="5"/>
    </bk>
  </valueMetadata>
</metadata>
</file>

<file path=xl/sharedStrings.xml><?xml version="1.0" encoding="utf-8"?>
<sst xmlns="http://schemas.openxmlformats.org/spreadsheetml/2006/main" count="2002" uniqueCount="952">
  <si>
    <t>(Date of last update)</t>
  </si>
  <si>
    <t>Team 1</t>
  </si>
  <si>
    <t>(Date of next Quarter/Annual Report)</t>
  </si>
  <si>
    <t xml:space="preserve">SIC: </t>
  </si>
  <si>
    <t>COMPANY DESCRIPTION</t>
  </si>
  <si>
    <t>CEO &amp; BOARD OF DIRECTORS</t>
  </si>
  <si>
    <t>Name, Age and Tenure</t>
  </si>
  <si>
    <t>Gender</t>
  </si>
  <si>
    <t>Executive?</t>
  </si>
  <si>
    <t>Other roles</t>
  </si>
  <si>
    <t>Lord Simon A. Wolfson, 56, 2001</t>
  </si>
  <si>
    <t>M</t>
  </si>
  <si>
    <t>Y</t>
  </si>
  <si>
    <t>CEO &amp; Executive Director</t>
  </si>
  <si>
    <t>Richard S V. Papp,57, 2018</t>
  </si>
  <si>
    <t>Group Merchandise &amp; Operations Director and Executive Director</t>
  </si>
  <si>
    <t>Jeremy Stakol, 54, 2023</t>
  </si>
  <si>
    <t>Group Investments, Acquisitions &amp; Third Party Brands Director and Executive Director</t>
  </si>
  <si>
    <t>Jane Shields, 60, 2013</t>
  </si>
  <si>
    <t>F</t>
  </si>
  <si>
    <t xml:space="preserve">Group Sales, Marketing and HR Director </t>
  </si>
  <si>
    <t>Venetia Butterfield, 54, 2024</t>
  </si>
  <si>
    <t>N</t>
  </si>
  <si>
    <t xml:space="preserve">Independent Non-executive Director </t>
  </si>
  <si>
    <t>Jonathan Blanchard FCCA, 59, 2024</t>
  </si>
  <si>
    <t>CFO &amp; Director</t>
  </si>
  <si>
    <t>Soumen Das, 48, 2021</t>
  </si>
  <si>
    <t xml:space="preserve">Independent Non-Executive Director </t>
  </si>
  <si>
    <t>Michael Roney, 70, 2017</t>
  </si>
  <si>
    <t xml:space="preserve">Chairman </t>
  </si>
  <si>
    <t>Amy Stirling, 55 , 2024</t>
  </si>
  <si>
    <t>Dame Tristia Harrison, 51, 2018</t>
  </si>
  <si>
    <t>Independent Non-Executive Director</t>
  </si>
  <si>
    <t>Tom Hall, 57, 2020</t>
  </si>
  <si>
    <t>Jonathan Bewes, 59, 2016</t>
  </si>
  <si>
    <t>Senior Independent Director</t>
  </si>
  <si>
    <t>COMPANY OVERVIEW</t>
  </si>
  <si>
    <t>Stock</t>
  </si>
  <si>
    <t>Liquidity and Solvency</t>
  </si>
  <si>
    <t>Segments</t>
  </si>
  <si>
    <t>Multiples</t>
  </si>
  <si>
    <t>Last Price</t>
  </si>
  <si>
    <t>Total Assets</t>
  </si>
  <si>
    <t>Regions</t>
  </si>
  <si>
    <t>% Sales</t>
  </si>
  <si>
    <t>Reporting Year</t>
  </si>
  <si>
    <t>Float</t>
  </si>
  <si>
    <t>Outstanding Shares</t>
  </si>
  <si>
    <t>Total Liabilities</t>
  </si>
  <si>
    <t>End of Year</t>
  </si>
  <si>
    <t>Insiders Own</t>
  </si>
  <si>
    <t>Market Cap.</t>
  </si>
  <si>
    <t>Cash/Share</t>
  </si>
  <si>
    <t>EBITDA</t>
  </si>
  <si>
    <t>b (Yahoo)</t>
  </si>
  <si>
    <t>+Total Debt</t>
  </si>
  <si>
    <t>EBITDA/Net Financial Cost (NFC)</t>
  </si>
  <si>
    <t>Depreciation &amp; Amortization</t>
  </si>
  <si>
    <t>Score (S&amp;P)</t>
  </si>
  <si>
    <t>-Cash</t>
  </si>
  <si>
    <t>Debt/EBITDA</t>
  </si>
  <si>
    <t>EBIT</t>
  </si>
  <si>
    <t>Price/Book Value</t>
  </si>
  <si>
    <t>=Enterprise Value</t>
  </si>
  <si>
    <t>"Others Assets"/Asset</t>
  </si>
  <si>
    <t>Net Income</t>
  </si>
  <si>
    <t>NCF(3y avg)/Asset</t>
  </si>
  <si>
    <t>Holdings (nac/int'l)</t>
  </si>
  <si>
    <t>-</t>
  </si>
  <si>
    <t>Debt/Assets</t>
  </si>
  <si>
    <t>Categories</t>
  </si>
  <si>
    <t>EPS</t>
  </si>
  <si>
    <t>Price/Net Inc. (3y avg)</t>
  </si>
  <si>
    <t>t liq. (Holdings/Vol.)</t>
  </si>
  <si>
    <t>EBITDA Margin (average)</t>
  </si>
  <si>
    <t>ROA</t>
  </si>
  <si>
    <t>EV/Asset</t>
  </si>
  <si>
    <t>% Short</t>
  </si>
  <si>
    <t>Operating Margin (average)</t>
  </si>
  <si>
    <t>ROIC</t>
  </si>
  <si>
    <t>EV/Ebitda (3y average)</t>
  </si>
  <si>
    <t>Traffic ESG</t>
  </si>
  <si>
    <t>Net Income Margin (average)</t>
  </si>
  <si>
    <t>EBITDA (3y average)</t>
  </si>
  <si>
    <t>Price/NCF (3y average)</t>
  </si>
  <si>
    <t>E</t>
  </si>
  <si>
    <t>Net Income (3y average)</t>
  </si>
  <si>
    <t>Bonds 1,3,5a (USD)</t>
  </si>
  <si>
    <t>S</t>
  </si>
  <si>
    <t>Net Financial Cost/Avg Net Debt</t>
  </si>
  <si>
    <t>NCF (3y average)</t>
  </si>
  <si>
    <t>Div+Rep.(3y avg)/Price</t>
  </si>
  <si>
    <t>G</t>
  </si>
  <si>
    <t>Div. Yield</t>
  </si>
  <si>
    <t>INVESTMENT THESIS</t>
  </si>
  <si>
    <t>Pillars of Recommendation</t>
  </si>
  <si>
    <t>Recommendation</t>
  </si>
  <si>
    <t>Valuation Assumptions</t>
  </si>
  <si>
    <t>Pillar</t>
  </si>
  <si>
    <t>Explanation</t>
  </si>
  <si>
    <t>Hold</t>
  </si>
  <si>
    <t>Check DCF</t>
  </si>
  <si>
    <t>Board resilience</t>
  </si>
  <si>
    <t>The leadership team shifted their focus away from retail growth after recognizing that online sales were the primary driver of the company's future growth. As another example, they also adapted their distribution strategy, leading to significant changes in how the warehouses operated. These decisions illustrate the CEO’s ability to identify key growth drivers and respond with strategic adjustments.</t>
  </si>
  <si>
    <t xml:space="preserve">E-commerce and digital </t>
  </si>
  <si>
    <t>E-commerce and digital will drive growth, meet changing consumer demands and expand its market reach in an increasingly digital retail environment.</t>
  </si>
  <si>
    <t>Strategic partnerships and product expansion</t>
  </si>
  <si>
    <t>Strategic partnerships and product expansion will diversify NEXT's revenue streams and enhance market reach, allowing the company to tap into new customer segments and boost overall sales growth.</t>
  </si>
  <si>
    <t>Risks of Investment</t>
  </si>
  <si>
    <t>Price Target</t>
  </si>
  <si>
    <t>Valuation</t>
  </si>
  <si>
    <t>Risk</t>
  </si>
  <si>
    <t>Discount Rate</t>
  </si>
  <si>
    <t>Price M. Upside</t>
  </si>
  <si>
    <t>Heavy dependence on the UK market</t>
  </si>
  <si>
    <t>Heavy dependence on the UK market exposes NEXT to local economic downturns.</t>
  </si>
  <si>
    <t>Intense competition either in Retail or ecommerce</t>
  </si>
  <si>
    <t>Intense competition from established retail and e-commerce players puts pressure on NEXT’s which could lead to margin erosion
and impact its ability to maintain strong financial performance.</t>
  </si>
  <si>
    <t>Upside</t>
  </si>
  <si>
    <t>EV M. Upside</t>
  </si>
  <si>
    <t>Changes in consumer preferences</t>
  </si>
  <si>
    <t>Rapid changes in consumer preferences would make it challenging for the company to keep its product offerings relevant. Failing to adapt quickly could result in inventory issues and reduced customer loyalty.</t>
  </si>
  <si>
    <t>FINANCIAL PERFORMANCE</t>
  </si>
  <si>
    <t>Year</t>
  </si>
  <si>
    <t>Net Sales</t>
  </si>
  <si>
    <t>Operating Margin</t>
  </si>
  <si>
    <t>Dividends + Share Buyback</t>
  </si>
  <si>
    <t>Net Cash Flow</t>
  </si>
  <si>
    <t>Capex + Investments</t>
  </si>
  <si>
    <t>Cash Flow</t>
  </si>
  <si>
    <t>Operating CF</t>
  </si>
  <si>
    <t>Investing CF</t>
  </si>
  <si>
    <t>Net Capex</t>
  </si>
  <si>
    <t>Investments &amp; Acquisitions</t>
  </si>
  <si>
    <t>Financing CF</t>
  </si>
  <si>
    <t>Dividends</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</si>
  <si>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</si>
  <si>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</si>
  <si>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</si>
  <si>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</si>
  <si>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</si>
  <si>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</si>
  <si>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</si>
  <si>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</si>
  <si>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</si>
  <si>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</si>
  <si>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</si>
  <si>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t>
  </si>
  <si>
    <t>Pros</t>
  </si>
  <si>
    <t>Cons</t>
  </si>
  <si>
    <t>Name</t>
  </si>
  <si>
    <t>% Stake</t>
  </si>
  <si>
    <t xml:space="preserve">Diversified product range; Exclusive Collaborations &amp; Third-Party Brands;Strong Brand Reputation; Experienced management; Tech Investment in Online Shopping Experience; </t>
  </si>
  <si>
    <t>Over-reliance on the UK market; High allowance for doubtfull debts and impairment losses; Controversial Supplier Payments; Equal Pay Controversy;</t>
  </si>
  <si>
    <t>BlackRock Investment Management (UK) Ltd.</t>
  </si>
  <si>
    <t>Capital Research Global Investors</t>
  </si>
  <si>
    <t>INVESCO Asset Management Limited</t>
  </si>
  <si>
    <t>Next ESOP Trust</t>
  </si>
  <si>
    <t>Fidelity Management &amp; Research Company LLC</t>
  </si>
  <si>
    <t>Artemis Investment Management LLP</t>
  </si>
  <si>
    <t>Norges Bank Investment Management (NBIM)</t>
  </si>
  <si>
    <t>The Vanguard Group, Inc.</t>
  </si>
  <si>
    <t>BlackRock Institutional Trust Company, N.A.</t>
  </si>
  <si>
    <t>Orbis Investment Management Ltd.</t>
  </si>
  <si>
    <t>Opportunities</t>
  </si>
  <si>
    <t>Risks</t>
  </si>
  <si>
    <t>T. Rowe Price Associates, Inc.</t>
  </si>
  <si>
    <t>Internacional Expansion; Acquisitions;</t>
  </si>
  <si>
    <t>Intense competition in the fashion retail industry,Capital Allocation Risks, Economic downturn</t>
  </si>
  <si>
    <t>BlackRock Advisors (UK) Limited</t>
  </si>
  <si>
    <t>Invesco Advisers, Inc.</t>
  </si>
  <si>
    <t>Trinity Street Asset Management LLP</t>
  </si>
  <si>
    <t>Lord Simon Adam Wolfson of Aspley Guise</t>
  </si>
  <si>
    <t>Schroder Investment Management Ltd. (SIM)</t>
  </si>
  <si>
    <t>Legal &amp; General Investment Management Ltd.</t>
  </si>
  <si>
    <t>State Street Global Advisors (UK) Ltd.</t>
  </si>
  <si>
    <t>M&amp;G Investment Management Ltd. [Activist]</t>
  </si>
  <si>
    <t>MFS Investment Management</t>
  </si>
  <si>
    <t>0.67%</t>
  </si>
  <si>
    <t>TOTAL</t>
  </si>
  <si>
    <t>NOTES</t>
  </si>
  <si>
    <t>STOCK PERFORMANCE (5 years)</t>
  </si>
  <si>
    <t>Products</t>
  </si>
  <si>
    <t>Nominal value</t>
  </si>
  <si>
    <t>YoY Growth</t>
  </si>
  <si>
    <t>Weight</t>
  </si>
  <si>
    <t>Region</t>
  </si>
  <si>
    <t>United Kingdom</t>
  </si>
  <si>
    <t>Rest of Europe</t>
  </si>
  <si>
    <t>Middle East</t>
  </si>
  <si>
    <t>Asia</t>
  </si>
  <si>
    <t>Rest of world</t>
  </si>
  <si>
    <t>Category</t>
  </si>
  <si>
    <t>NEXT Online</t>
  </si>
  <si>
    <t>NEXT Retail</t>
  </si>
  <si>
    <t>NEXT Finance</t>
  </si>
  <si>
    <t>Other</t>
  </si>
  <si>
    <t xml:space="preserve">Adjusted Profit of each category </t>
  </si>
  <si>
    <t>Description</t>
  </si>
  <si>
    <t xml:space="preserve">                                                         Graphs</t>
  </si>
  <si>
    <r>
      <t xml:space="preserve">The NEXT online segment offers a wide range of products via its </t>
    </r>
    <r>
      <rPr>
        <b/>
        <sz val="10"/>
        <rFont val="Arial"/>
        <family val="2"/>
      </rPr>
      <t>digital platforms</t>
    </r>
    <r>
      <rPr>
        <sz val="10"/>
        <rFont val="Arial"/>
        <family val="2"/>
      </rPr>
      <t>. It supports over 7.6 million UK customers and 1.7 million international customers, allowing them to shop from an extensive selection of NEXT-branded products and third-party brands. The segment integrates digital marketing systems, advanced warehousing, and distribution networks, ensuring efficient customer service and delivery. Additionally, NEXT stores play a complementary role by facilitating customer collections and returns .</t>
    </r>
  </si>
  <si>
    <r>
      <t xml:space="preserve">The NEXT Retail segment encompasses the company's </t>
    </r>
    <r>
      <rPr>
        <b/>
        <sz val="10"/>
        <rFont val="Arial"/>
        <family val="2"/>
      </rPr>
      <t>physical stores</t>
    </r>
    <r>
      <rPr>
        <sz val="10"/>
        <rFont val="Arial"/>
        <family val="2"/>
      </rPr>
      <t xml:space="preserve"> across the UK. It plays a vital role in supporting the brand’s omnichannel strategy, allowing customers to browse and purchase items in person, as well as facilitating collections and returns for online orders. The segment also includes a variety of store formats such as standalone retail outlets, shopping center locations, and retail park stores .</t>
    </r>
  </si>
  <si>
    <r>
      <t xml:space="preserve">The NEXT Finance segment provides customers with </t>
    </r>
    <r>
      <rPr>
        <b/>
        <sz val="10"/>
        <color rgb="FF000000"/>
        <rFont val="Arial"/>
        <family val="2"/>
      </rPr>
      <t>flexible credit services</t>
    </r>
    <r>
      <rPr>
        <sz val="10"/>
        <color rgb="FF000000"/>
        <rFont val="Arial"/>
        <family val="2"/>
      </rPr>
      <t>. These credit accounts enable customers to purchase items from NEXT and spread payments over time, with interest applied. The segment plays a critical role in driving online and in-store sales by offering financing options and generating revenue through interest income. It also supports customer retention by providing a convenient purchasing method.</t>
    </r>
  </si>
  <si>
    <r>
      <t xml:space="preserve">The "Other" segment brings together several distinct operations under NEXT. It includes </t>
    </r>
    <r>
      <rPr>
        <b/>
        <sz val="10"/>
        <color rgb="FF000000"/>
        <rFont val="Arial"/>
        <family val="2"/>
      </rPr>
      <t>Total Platform</t>
    </r>
    <r>
      <rPr>
        <sz val="10"/>
        <color rgb="FF000000"/>
        <rFont val="Arial"/>
        <family val="2"/>
      </rPr>
      <t>, which offers comprehensive services such as e-commerce, warehousing, and logistics</t>
    </r>
    <r>
      <rPr>
        <u/>
        <sz val="10"/>
        <color rgb="FF000000"/>
        <rFont val="Arial"/>
        <family val="2"/>
      </rPr>
      <t xml:space="preserve"> for partner brands like Reiss and FatFace</t>
    </r>
    <r>
      <rPr>
        <sz val="10"/>
        <color rgb="FF000000"/>
        <rFont val="Arial"/>
        <family val="2"/>
      </rPr>
      <t xml:space="preserve">, as well as third-party clients. </t>
    </r>
    <r>
      <rPr>
        <b/>
        <sz val="10"/>
        <color rgb="FF000000"/>
        <rFont val="Arial"/>
        <family val="2"/>
      </rPr>
      <t>Property management</t>
    </r>
    <r>
      <rPr>
        <sz val="10"/>
        <color rgb="FF000000"/>
        <rFont val="Arial"/>
        <family val="2"/>
      </rPr>
      <t xml:space="preserve"> is another key component, </t>
    </r>
    <r>
      <rPr>
        <u/>
        <sz val="10"/>
        <color rgb="FF000000"/>
        <rFont val="Arial"/>
        <family val="2"/>
      </rPr>
      <t>managing and leasing properties</t>
    </r>
    <r>
      <rPr>
        <sz val="10"/>
        <color rgb="FF000000"/>
        <rFont val="Arial"/>
        <family val="2"/>
      </rPr>
      <t xml:space="preserve"> that support both NEXT’s retail operations and external tenants. Additionally, the segment covers</t>
    </r>
    <r>
      <rPr>
        <b/>
        <sz val="10"/>
        <color rgb="FF000000"/>
        <rFont val="Arial"/>
        <family val="2"/>
      </rPr>
      <t xml:space="preserve"> Franchise, Sourcing, and Other activities</t>
    </r>
    <r>
      <rPr>
        <sz val="10"/>
        <color rgb="FF000000"/>
        <rFont val="Arial"/>
        <family val="2"/>
      </rPr>
      <t xml:space="preserve">, focusing on </t>
    </r>
    <r>
      <rPr>
        <u/>
        <sz val="10"/>
        <color rgb="FF000000"/>
        <rFont val="Arial"/>
        <family val="2"/>
      </rPr>
      <t>global sourcing operations</t>
    </r>
    <r>
      <rPr>
        <sz val="10"/>
        <color rgb="FF000000"/>
        <rFont val="Arial"/>
        <family val="2"/>
      </rPr>
      <t xml:space="preserve"> and franchise agreements to distribute NEXT products through international partnerships.</t>
    </r>
  </si>
  <si>
    <t>Industry</t>
  </si>
  <si>
    <t>Graphs (Industry Forecasts)</t>
  </si>
  <si>
    <t>Drivers</t>
  </si>
  <si>
    <t>Digital Expansion and Ecommerce</t>
  </si>
  <si>
    <t>NEXT plc has significantly invested in its online platform, which has become a crucial pillar for growth. The company has developed a robust ecommerce infrastructure, including fast delivery services and options for in-store pickup. Additionally, NEXT has expanded its digital presence through a marketplace model, allowing other brands to sell through its platform. This strategy diversifies its product offerings and attracts a broader customer base, driving online sales, which now represent an increasingly large portion of the company’s total revenue.</t>
  </si>
  <si>
    <t>Product Expansion and Strategic Partnerships</t>
  </si>
  <si>
    <t>NEXT has formed partnerships with other brands and explored licensing opportunities, which helps it attract new market segments and expand its product offerings. These partnerships enable NEXT to reach a wider audience and enhance its market presence.</t>
  </si>
  <si>
    <t>Diversification of Revenue Streams
+
Leveraging Digital Infrastructure for Global Reach</t>
  </si>
  <si>
    <t>Expanding internationally would enable NEXT plc to diversify its revenue streams beyond the UK market, leverage its robust digital infrastructure for global reach, form strategic partnerships to adapt to local markets, and tap into the long-term potential of emerging regions as purchasing power increases.</t>
  </si>
  <si>
    <t>Sales forecast</t>
  </si>
  <si>
    <t>Source</t>
  </si>
  <si>
    <t>Market Growth CAGR</t>
  </si>
  <si>
    <t>Period</t>
  </si>
  <si>
    <t>Mordor intelligence</t>
  </si>
  <si>
    <t>2024-2029</t>
  </si>
  <si>
    <t>Research and markets</t>
  </si>
  <si>
    <t>2024-2028</t>
  </si>
  <si>
    <t>Verified Market Research</t>
  </si>
  <si>
    <t>2023-2030</t>
  </si>
  <si>
    <t>Average</t>
  </si>
  <si>
    <t>Company's Strategy / Extra Notes</t>
  </si>
  <si>
    <t>The company is focusing on increasing sales in Europe and the Middle East, where brand recognition is higher, and logistics are more manageable. To boost its presence in these regions, NEXT has invested in local infrastructure, such as a new warehouse in the UAE, which significantly reduces delivery times and enhances customer satisfaction. In more distant markets like the Americas and Asia, NEXT is exploring franchise and wholesale partnerships to mitigate risks and utilize local retailers' established infrastructure.</t>
  </si>
  <si>
    <t>The company is prioritizing digital and Total Platform expansion, leveraging its robust e-commerce infrastructure to support partner brands like Joules and MADE. This initiative allows NEXT to generate additional revenue through service fees while maximizing the use of its advanced online capabilities and distribution networks. By offering a comprehensive digital retail solution, NEXT aims to solidify its role as a leading player in the e-commerce space.</t>
  </si>
  <si>
    <t>NEXT is heavily investing in infrastructure and technology improvements, aiming to boost operational efficiency and customer service. The company is enhancing its warehouse capabilities with automation technologies and modernizing its online systems to offer better personalization in marketing. These initiatives are expected to increase capacity, reduce costs, and improve the overall shopping experience for customers.</t>
  </si>
  <si>
    <t>Sustainability is a key focus, as the company strives to reduce its environmental impact across its operations. Efforts include improving sustainable sourcing, minimizing waste, and implementing eco-friendly practices in its supply chain. By aligning its operations with long-term environmental goals, NEXT aims to meet growing consumer expectations for corporate responsibility and drive sustainable growth.</t>
  </si>
  <si>
    <t>The company is enhancing its product offerings by focusing on quality and expanding its price range to cater to a broader customer base. Additionally, NEXT is diversifying through acquisitions and the creation of new brands, increasing its stake in companies like Reiss and acquiring Cath Kidston. These moves help the company expand its market reach and offer a wider array of products to meet different customer preferences.</t>
  </si>
  <si>
    <t>Total PPE &amp; Software for each category</t>
  </si>
  <si>
    <t>Right-of-use assets for each category</t>
  </si>
  <si>
    <t>CAPEX including software for each category</t>
  </si>
  <si>
    <t xml:space="preserve"> Evolution of the weight of revenue by segment category over total revenue (2018-2023)</t>
  </si>
  <si>
    <t xml:space="preserve">                                                                                       Segment assets, right-of-use assets, capital expenditure and depreciation</t>
  </si>
  <si>
    <t xml:space="preserve">                                           Nominal value</t>
  </si>
  <si>
    <t>Weight
(PPE &amp; Soft.)</t>
  </si>
  <si>
    <t>PPE &amp; Software</t>
  </si>
  <si>
    <t>Right-of-use assets</t>
  </si>
  <si>
    <t>CAPEX including software</t>
  </si>
  <si>
    <t>Dep. &amp; Amort.</t>
  </si>
  <si>
    <t>N/A</t>
  </si>
  <si>
    <t>Peer Logo</t>
  </si>
  <si>
    <t>Peer Name</t>
  </si>
  <si>
    <r>
      <t xml:space="preserve">Leading British retailer with over 900 stores, </t>
    </r>
    <r>
      <rPr>
        <b/>
        <sz val="12"/>
        <color rgb="FF000000"/>
        <rFont val="-Apple-System"/>
      </rPr>
      <t>mostly</t>
    </r>
    <r>
      <rPr>
        <sz val="12"/>
        <color rgb="FF000000"/>
        <rFont val="-Apple-System"/>
      </rPr>
      <t xml:space="preserve"> </t>
    </r>
    <r>
      <rPr>
        <b/>
        <sz val="12"/>
        <color rgb="FF000000"/>
        <rFont val="-Apple-System"/>
      </rPr>
      <t>UK and Ireland</t>
    </r>
    <r>
      <rPr>
        <sz val="12"/>
        <color rgb="FF000000"/>
        <rFont val="-Apple-System"/>
      </rPr>
      <t xml:space="preserve">. </t>
    </r>
    <r>
      <rPr>
        <u/>
        <sz val="12"/>
        <color rgb="FF000000"/>
        <rFont val="-Apple-System"/>
      </rPr>
      <t>Founded in 1884</t>
    </r>
    <r>
      <rPr>
        <sz val="12"/>
        <color rgb="FF000000"/>
        <rFont val="-Apple-System"/>
      </rPr>
      <t xml:space="preserve">, M&amp;S sells clothing, beauty products, home goods, and food. In 2023 company employed over 72,000 people and reported an annual revenue of £11.931 billion. Company is known for it´s high-quality own-brand products, focus on sustainability through iniciatives. Is listed on the stock market exchange. </t>
    </r>
  </si>
  <si>
    <r>
      <rPr>
        <b/>
        <sz val="12"/>
        <color rgb="FF000000"/>
        <rFont val="-Apple-System"/>
      </rPr>
      <t>Global retailer</t>
    </r>
    <r>
      <rPr>
        <sz val="12"/>
        <color rgb="FF000000"/>
        <rFont val="-Apple-System"/>
      </rPr>
      <t xml:space="preserve"> of </t>
    </r>
    <r>
      <rPr>
        <b/>
        <sz val="12"/>
        <color rgb="FF000000"/>
        <rFont val="-Apple-System"/>
      </rPr>
      <t>sports fashion</t>
    </r>
    <r>
      <rPr>
        <sz val="12"/>
        <color rgb="FF000000"/>
        <rFont val="-Apple-System"/>
      </rPr>
      <t xml:space="preserve"> and outdoor brands, offers a wide range of products including apparel, footwear and accesories from diverse brands. Company was </t>
    </r>
    <r>
      <rPr>
        <u/>
        <sz val="12"/>
        <color rgb="FF000000"/>
        <rFont val="-Apple-System"/>
      </rPr>
      <t>founded in 1981</t>
    </r>
    <r>
      <rPr>
        <sz val="12"/>
        <color rgb="FF000000"/>
        <rFont val="-Apple-System"/>
      </rPr>
      <t xml:space="preserve"> by John Wardle and David Makin. In 2023 counted with 3400 stores across 38 territories, employing 90 000 individuals worlswide. Company  is known for it´s competitive spirit and commitment to ethical practices. </t>
    </r>
  </si>
  <si>
    <t xml:space="preserve">Polish multinational company with 2000 across all Europe, Asia and Africa. LP employes 30 000 individuals wordwide. Company was founded in 1991 by Marek Piechocki and Jerzy Lubianiec. LPP offers a wide range of products throught its five fashion brands, Reserved, House, Cropp and Sinsay. The company is known for its innovative designs and commitment for sustainability. Company is listed on the Warsaw stock exchange. </t>
  </si>
  <si>
    <t xml:space="preserve">H&amp;M, a global fashion retailer with over 4000 stores in more than 75 markets,was founded in 1974 by Erlin Persson and emplys 100 000 individuals worldwide. Company offers a wide range of products like pieces of clothing, acessories, footwear, cosmetics and home textils. H&amp;M has a bussiness of fast fashion and has a constant commitment to sustainability. </t>
  </si>
  <si>
    <t>In Millions USD</t>
  </si>
  <si>
    <t>AVERAGE</t>
  </si>
  <si>
    <t>Deviation from Average</t>
  </si>
  <si>
    <t>Company Info</t>
  </si>
  <si>
    <t>TRAFFIC</t>
  </si>
  <si>
    <t>Market Cap</t>
  </si>
  <si>
    <t>Best Value</t>
  </si>
  <si>
    <t>Net Sales (current)</t>
  </si>
  <si>
    <t>Profitability</t>
  </si>
  <si>
    <t>Important Value</t>
  </si>
  <si>
    <t>Sales Growth (ttm)</t>
  </si>
  <si>
    <t>Sales Growth (36m)</t>
  </si>
  <si>
    <t>Worst Value</t>
  </si>
  <si>
    <t>Net Income Margin</t>
  </si>
  <si>
    <t>Return on Equity (RoE)</t>
  </si>
  <si>
    <t>Return on Invested Capital (ROIC)</t>
  </si>
  <si>
    <t>Solvency</t>
  </si>
  <si>
    <t>Net Debt/EBITDA</t>
  </si>
  <si>
    <t>Interest Coverage Ratio</t>
  </si>
  <si>
    <t>Liquidity</t>
  </si>
  <si>
    <t>Current Ratio</t>
  </si>
  <si>
    <t>Quick Ratio</t>
  </si>
  <si>
    <t>Activity</t>
  </si>
  <si>
    <t>Inventory Turnover</t>
  </si>
  <si>
    <t>Acc. Receivable Turnover</t>
  </si>
  <si>
    <t>Price/Sales</t>
  </si>
  <si>
    <t>Payables Turnover</t>
  </si>
  <si>
    <t>Fixed Asset Turnover</t>
  </si>
  <si>
    <t>Total Asset Turnover</t>
  </si>
  <si>
    <t>Price/Earnings</t>
  </si>
  <si>
    <t>Price/Book</t>
  </si>
  <si>
    <t>EV/Sales</t>
  </si>
  <si>
    <t>EV/EBITDA</t>
  </si>
  <si>
    <t>6.61</t>
  </si>
  <si>
    <t>Stock Info</t>
  </si>
  <si>
    <r>
      <t xml:space="preserve">b </t>
    </r>
    <r>
      <rPr>
        <b/>
        <sz val="10"/>
        <rFont val="Arial"/>
        <family val="2"/>
      </rPr>
      <t>(Yahoo)</t>
    </r>
  </si>
  <si>
    <t>Dividend Yield (yahoo finance)</t>
  </si>
  <si>
    <t>0,80%</t>
  </si>
  <si>
    <t>Stock Performance</t>
  </si>
  <si>
    <t>1y</t>
  </si>
  <si>
    <t>3y</t>
  </si>
  <si>
    <t>Current Price</t>
  </si>
  <si>
    <t>Average Target Price</t>
  </si>
  <si>
    <t>Upside/Downside</t>
  </si>
  <si>
    <t>Extra</t>
  </si>
  <si>
    <t>3y Operating Cash Flow</t>
  </si>
  <si>
    <t>R&amp;D/Net Sales</t>
  </si>
  <si>
    <t>Revenues from UK</t>
  </si>
  <si>
    <t>Weight over total revenues</t>
  </si>
  <si>
    <t>Total revenues from UK</t>
  </si>
  <si>
    <t>Financial Data</t>
  </si>
  <si>
    <t>IS</t>
  </si>
  <si>
    <t>Net Sales (36m ago)</t>
  </si>
  <si>
    <t>Net Sales (12m ago)</t>
  </si>
  <si>
    <t>COGS</t>
  </si>
  <si>
    <t>Operating Income</t>
  </si>
  <si>
    <t>Net Financial Cost</t>
  </si>
  <si>
    <t>Taxes</t>
  </si>
  <si>
    <t>R&amp;D</t>
  </si>
  <si>
    <t>BS</t>
  </si>
  <si>
    <t>Cash &amp; Eq.</t>
  </si>
  <si>
    <t>Acc. Receivables</t>
  </si>
  <si>
    <t>Inventory</t>
  </si>
  <si>
    <t>Current Assets</t>
  </si>
  <si>
    <t>Fixed Assets</t>
  </si>
  <si>
    <t>Acc. Payable</t>
  </si>
  <si>
    <t>Current Liabilities</t>
  </si>
  <si>
    <t>Total Debt</t>
  </si>
  <si>
    <t>Total Equity</t>
  </si>
  <si>
    <t>Revenue from geographic segmentation</t>
  </si>
  <si>
    <t>Total revenue from UK</t>
  </si>
  <si>
    <t>Currency Exchange Values</t>
  </si>
  <si>
    <t>Company</t>
  </si>
  <si>
    <t>Currency Reported</t>
  </si>
  <si>
    <t>£ (GBP)</t>
  </si>
  <si>
    <t>¥ (CNY)</t>
  </si>
  <si>
    <t>zł (PLN)</t>
  </si>
  <si>
    <t>kr (SEK)</t>
  </si>
  <si>
    <t>Report Date</t>
  </si>
  <si>
    <r>
      <t>dd</t>
    </r>
    <r>
      <rPr>
        <b/>
        <sz val="10"/>
        <rFont val="Arial"/>
        <family val="2"/>
      </rPr>
      <t>/04</t>
    </r>
    <r>
      <rPr>
        <sz val="10"/>
        <rFont val="Arial"/>
        <family val="2"/>
      </rPr>
      <t>/yyyy</t>
    </r>
  </si>
  <si>
    <r>
      <rPr>
        <b/>
        <sz val="10"/>
        <rFont val="Arial"/>
        <family val="2"/>
      </rPr>
      <t>31/01</t>
    </r>
    <r>
      <rPr>
        <sz val="10"/>
        <rFont val="Arial"/>
        <family val="2"/>
      </rPr>
      <t>/yyyy</t>
    </r>
  </si>
  <si>
    <r>
      <rPr>
        <b/>
        <sz val="10"/>
        <rFont val="Arial"/>
        <family val="2"/>
      </rPr>
      <t>30/11</t>
    </r>
    <r>
      <rPr>
        <sz val="10"/>
        <rFont val="Arial"/>
        <family val="2"/>
      </rPr>
      <t>/yyyy</t>
    </r>
  </si>
  <si>
    <t>2024 Report date Exchange to €</t>
  </si>
  <si>
    <t>2023 Report date Exchange to €</t>
  </si>
  <si>
    <t>2021 Report date Exchange to €</t>
  </si>
  <si>
    <t>Invertir</t>
  </si>
  <si>
    <t>NO invertir</t>
  </si>
  <si>
    <t>Mantener sin elevar posición</t>
  </si>
  <si>
    <t>Mantener (y seguir comprando)</t>
  </si>
  <si>
    <t>Liquidar</t>
  </si>
  <si>
    <t>PENDIENTE</t>
  </si>
  <si>
    <t>Company GICS Sector:</t>
  </si>
  <si>
    <t>Yes</t>
  </si>
  <si>
    <t>Consumer Discretionary</t>
  </si>
  <si>
    <t>&lt;- Select Industry</t>
  </si>
  <si>
    <t>No</t>
  </si>
  <si>
    <t>ESG Analysis</t>
  </si>
  <si>
    <t>Relative ESG Analysis</t>
  </si>
  <si>
    <t>Parameters</t>
  </si>
  <si>
    <t>Impact</t>
  </si>
  <si>
    <t>Do they report?</t>
  </si>
  <si>
    <t>Ranking</t>
  </si>
  <si>
    <t>Mitigation Plan</t>
  </si>
  <si>
    <t>Traffic Lights</t>
  </si>
  <si>
    <t>Improvement over time?</t>
  </si>
  <si>
    <t>Targets / Goals?</t>
  </si>
  <si>
    <t>Comments</t>
  </si>
  <si>
    <t>Environmental</t>
  </si>
  <si>
    <t>Ratios</t>
  </si>
  <si>
    <t>CO2 Direct Emissions</t>
  </si>
  <si>
    <t>CO2 Emissions/$M Sales</t>
  </si>
  <si>
    <t>Total Water Consumption</t>
  </si>
  <si>
    <t>Water Consumption/$M Sales</t>
  </si>
  <si>
    <t>Total Energy Consumption</t>
  </si>
  <si>
    <t>Medium</t>
  </si>
  <si>
    <t>It's mentioned investment in measures, like LED light for the retail stores and the instalment of solar panels</t>
  </si>
  <si>
    <t>Energy Consumption/$M Sales</t>
  </si>
  <si>
    <t>Waste Management</t>
  </si>
  <si>
    <t>Medium High</t>
  </si>
  <si>
    <t>Usage of  textile leftovers in Bangladesh</t>
  </si>
  <si>
    <t>Waste Production/$M Sales</t>
  </si>
  <si>
    <t>Land Degradation/Deforestation/Biodiversity loss/Animal sufering/…</t>
  </si>
  <si>
    <t>Inputs</t>
  </si>
  <si>
    <t>Social</t>
  </si>
  <si>
    <t>Net Sales ($M)</t>
  </si>
  <si>
    <t>Employee Turnover %</t>
  </si>
  <si>
    <t>The employee turnover  isn't reported, it is only mentioned that the employee  turnover is monitored</t>
  </si>
  <si>
    <t>CO2 Emissions Total (Tonnes)</t>
  </si>
  <si>
    <t>Salaries &amp; Compensation</t>
  </si>
  <si>
    <t>From what I found, only 40% of people think are fairly paid</t>
  </si>
  <si>
    <t>Water Consumption Total (Cubic Meters)</t>
  </si>
  <si>
    <t>Reputation</t>
  </si>
  <si>
    <t>Energy Consumption Total (Gigajoules)</t>
  </si>
  <si>
    <t>Discrimination Events</t>
  </si>
  <si>
    <t>Waste Production Total (Tonnes)</t>
  </si>
  <si>
    <t>Work Safety</t>
  </si>
  <si>
    <t>Mentioned first-aid training, and a great concern for the safety of the employees</t>
  </si>
  <si>
    <t>ESG Scores</t>
  </si>
  <si>
    <t>Damage to consumer health</t>
  </si>
  <si>
    <t>"Best in class"</t>
  </si>
  <si>
    <t>Refinitiv</t>
  </si>
  <si>
    <t>71 (79/70/69)</t>
  </si>
  <si>
    <t>72 (61/83/64)</t>
  </si>
  <si>
    <t>34 (63/39/14)</t>
  </si>
  <si>
    <t>69(89/69/58)</t>
  </si>
  <si>
    <t>78 (92/75/74)</t>
  </si>
  <si>
    <t>77 (96/86/57)</t>
  </si>
  <si>
    <t>PXP?</t>
  </si>
  <si>
    <t>"The defined contribution section is administered by a Legal &amp; General Master Trust... Members pay 5% of their pensionable earnings which is matched by the Company."</t>
  </si>
  <si>
    <t>Sustainalytics</t>
  </si>
  <si>
    <t>18.7 (low risk)</t>
  </si>
  <si>
    <t>12.6 (low risk)</t>
  </si>
  <si>
    <t>19.0 (low risk)</t>
  </si>
  <si>
    <t>20.2 (medium risk)</t>
  </si>
  <si>
    <t>10.0 (low risk)</t>
  </si>
  <si>
    <t>Supply chain</t>
  </si>
  <si>
    <t>"NEXT has a well-established supply chain that is supported by our overseas sourcing operation, NEXT Sourcing Limited (NSL)... Tier 1 supply chain comprises circa 1.2 million workers." "Our commitment: We focus on ethical trading, traceability and responsible sourcing to ensure our products are made by workers who are treated fairly and whose safety, human rights and wellbeing are respected."</t>
  </si>
  <si>
    <t>ISS</t>
  </si>
  <si>
    <t>C+</t>
  </si>
  <si>
    <t>C</t>
  </si>
  <si>
    <t>C-</t>
  </si>
  <si>
    <t>B-</t>
  </si>
  <si>
    <t>B</t>
  </si>
  <si>
    <t>Community involvement</t>
  </si>
  <si>
    <t>CDP</t>
  </si>
  <si>
    <t>B/C/B-</t>
  </si>
  <si>
    <t>B/F/F</t>
  </si>
  <si>
    <t>A-/C/B</t>
  </si>
  <si>
    <t>C/C</t>
  </si>
  <si>
    <t>A-/(C/D/C)/B</t>
  </si>
  <si>
    <t>A/(A/A-)/A</t>
  </si>
  <si>
    <t>Public Sector</t>
  </si>
  <si>
    <t>Litigation</t>
  </si>
  <si>
    <t>Corporate Governance</t>
  </si>
  <si>
    <t>PARAMETERS</t>
  </si>
  <si>
    <t>Diversity (Gender, Age, Industry, Region)</t>
  </si>
  <si>
    <t xml:space="preserve">At the end of 2023, the board was composed of 4 women, and sevem men, all but one of its member is White British or other White (the other member is Asian/Asian British)
</t>
  </si>
  <si>
    <t>IMPACT</t>
  </si>
  <si>
    <t>RANKING</t>
  </si>
  <si>
    <t>MITIGATION PLAN</t>
  </si>
  <si>
    <t>% Independence</t>
  </si>
  <si>
    <t>Only one of the board members is not independent.</t>
  </si>
  <si>
    <t>Low</t>
  </si>
  <si>
    <t>Is there evidence of a plan/program ?</t>
  </si>
  <si>
    <t>average time as independent directors</t>
  </si>
  <si>
    <t xml:space="preserve"> The average time as director is 8,27 years, this is not because of a usual 8 years rotation, but because there are some directors that are in the position for a long time and others that are in the positions just for a couple of years.</t>
  </si>
  <si>
    <t>Recent departures of directors / C-level executives?</t>
  </si>
  <si>
    <t>Amanda James was the only C-Level to leave, but because she is retiring.</t>
  </si>
  <si>
    <t>High</t>
  </si>
  <si>
    <t>CEO/Chairman duality</t>
  </si>
  <si>
    <t>Very high</t>
  </si>
  <si>
    <t>"Villain"</t>
  </si>
  <si>
    <t>Transparency (ESG, segments, acquisitions, other)</t>
  </si>
  <si>
    <t>Time taken to report after the end of the quarter / year</t>
  </si>
  <si>
    <t>Realeased their 2023 report in January 2024</t>
  </si>
  <si>
    <t>Additional participation of the CEO in other boards or excessive participation of Ch.</t>
  </si>
  <si>
    <t>The CEO only operates in the company, but the chairman is also Chairma of Grafton Group plc until 2 May 2024 and a Non-Executive Director of BrownForman Corporation (US firm)</t>
  </si>
  <si>
    <t>Audit / Consulting</t>
  </si>
  <si>
    <t>"During the year FIT was paid circa £29k and Deloitte was paid circa £5k for the services described above, charged at their standard hourly rates." Their audit is made by an independent comitee.</t>
  </si>
  <si>
    <t>ESG-compensation related</t>
  </si>
  <si>
    <t>There is no ESG related compensation</t>
  </si>
  <si>
    <t>Management compensation schemes</t>
  </si>
  <si>
    <t>In case of good performance, the board may approve compensation.</t>
  </si>
  <si>
    <t>VALUATION MODEL</t>
  </si>
  <si>
    <t>Short Term</t>
  </si>
  <si>
    <t>Long Term</t>
  </si>
  <si>
    <t>Section</t>
  </si>
  <si>
    <t>Line #</t>
  </si>
  <si>
    <t>ITEM</t>
  </si>
  <si>
    <t>2021 (Real)</t>
  </si>
  <si>
    <t>2022 (Real)</t>
  </si>
  <si>
    <t>2023 (Real)</t>
  </si>
  <si>
    <t>INCOME STATEMENT</t>
  </si>
  <si>
    <t>Growth</t>
  </si>
  <si>
    <t>Revenues/Sales</t>
  </si>
  <si>
    <t>EBIT/Operating Margin</t>
  </si>
  <si>
    <t>5a</t>
  </si>
  <si>
    <t>(Dep)</t>
  </si>
  <si>
    <t>5b</t>
  </si>
  <si>
    <t>(Amort)</t>
  </si>
  <si>
    <t>5c</t>
  </si>
  <si>
    <t>(Stock based compensation)</t>
  </si>
  <si>
    <t>(Net financing cost)</t>
  </si>
  <si>
    <t>Other income/(cost)</t>
  </si>
  <si>
    <t>Earnings before taxes</t>
  </si>
  <si>
    <t>(Income tax)</t>
  </si>
  <si>
    <t>Net income</t>
  </si>
  <si>
    <t> </t>
  </si>
  <si>
    <t>CASH FLOW STATEMENT</t>
  </si>
  <si>
    <t>Operating cash flows before WK</t>
  </si>
  <si>
    <t>(Stock-based compensation)</t>
  </si>
  <si>
    <t>(Working Capital Flows)</t>
  </si>
  <si>
    <t>-Total Operating Cash Flow</t>
  </si>
  <si>
    <t>(CAPEX)</t>
  </si>
  <si>
    <t>Adq</t>
  </si>
  <si>
    <t>(Other investing flows)</t>
  </si>
  <si>
    <t>-Total Investing Flows</t>
  </si>
  <si>
    <t>(Flows related to leases)</t>
  </si>
  <si>
    <t>Flows related to debt</t>
  </si>
  <si>
    <t>(Repurchases)/Issuance of stock</t>
  </si>
  <si>
    <t>(Dividends)</t>
  </si>
  <si>
    <t>Other financing flows</t>
  </si>
  <si>
    <t>-Total Financing flows</t>
  </si>
  <si>
    <t>SUMMARY</t>
  </si>
  <si>
    <t>Cash before shareholder returns</t>
  </si>
  <si>
    <t>Returns to shareholders</t>
  </si>
  <si>
    <t>Excess cash acumulation</t>
  </si>
  <si>
    <t>BALANCE SHEET</t>
  </si>
  <si>
    <t>Intangible assets</t>
  </si>
  <si>
    <t>Accumulated amortization</t>
  </si>
  <si>
    <t>PPE+Right of use Assets</t>
  </si>
  <si>
    <t>Accumulated depreciation</t>
  </si>
  <si>
    <t>CASH &amp; DEBT &amp; DISCOUNTING</t>
  </si>
  <si>
    <t>Ending cash balance</t>
  </si>
  <si>
    <t>Discount factor</t>
  </si>
  <si>
    <t>DF + 0.1%</t>
  </si>
  <si>
    <t>+0.1%</t>
  </si>
  <si>
    <t>DF+0.5%</t>
  </si>
  <si>
    <t>+0.5%</t>
  </si>
  <si>
    <t> Discount Rate</t>
  </si>
  <si>
    <t>Risk free rate</t>
  </si>
  <si>
    <t>Equity premium</t>
  </si>
  <si>
    <t>Firm premium</t>
  </si>
  <si>
    <t>Total</t>
  </si>
  <si>
    <t>Modelling factors</t>
  </si>
  <si>
    <t>Reference (line)</t>
  </si>
  <si>
    <t>Depreciation factor</t>
  </si>
  <si>
    <t>Amortization factor</t>
  </si>
  <si>
    <t>Stock-based comp</t>
  </si>
  <si>
    <t>Tax Rate</t>
  </si>
  <si>
    <t>Interest Rate on debt</t>
  </si>
  <si>
    <t>Interest Rate on cash</t>
  </si>
  <si>
    <t>PPE+ROA</t>
  </si>
  <si>
    <t>Working capital flows</t>
  </si>
  <si>
    <t>Intangible Assets</t>
  </si>
  <si>
    <t>Capex</t>
  </si>
  <si>
    <t>Acquisition factor</t>
  </si>
  <si>
    <t>Repurchases</t>
  </si>
  <si>
    <t>Leases</t>
  </si>
  <si>
    <r>
      <rPr>
        <sz val="10"/>
        <rFont val="Aptos Narrow"/>
        <family val="2"/>
      </rPr>
      <t>£</t>
    </r>
    <r>
      <rPr>
        <sz val="10"/>
        <rFont val="Arial"/>
        <family val="2"/>
      </rPr>
      <t xml:space="preserve"> millions</t>
    </r>
  </si>
  <si>
    <t>Value of flows</t>
  </si>
  <si>
    <t>Value of perpetuity</t>
  </si>
  <si>
    <t>Total Value</t>
  </si>
  <si>
    <t>Actual share price</t>
  </si>
  <si>
    <t>Total value vs Mkt Cap</t>
  </si>
  <si>
    <t>Estimated NPV per share</t>
  </si>
  <si>
    <t>Sensibility</t>
  </si>
  <si>
    <t>Sensitivity +0.1%</t>
  </si>
  <si>
    <t>Sensitivity +0.5%</t>
  </si>
  <si>
    <t>Notes</t>
  </si>
  <si>
    <t>Price where it'd be a "BUY"</t>
  </si>
  <si>
    <t>Assumptions</t>
  </si>
  <si>
    <t>Prospects:</t>
  </si>
  <si>
    <t>Links:</t>
  </si>
  <si>
    <t xml:space="preserve">9Y Average </t>
  </si>
  <si>
    <t xml:space="preserve">5Y Average </t>
  </si>
  <si>
    <t xml:space="preserve">3Y Average </t>
  </si>
  <si>
    <t>Short Term Forecast</t>
  </si>
  <si>
    <t>Long Term Forecast</t>
  </si>
  <si>
    <t>Revenue growth</t>
  </si>
  <si>
    <t>Modelling Factors</t>
  </si>
  <si>
    <t>Last 9 years</t>
  </si>
  <si>
    <t>Values in M.</t>
  </si>
  <si>
    <t>Reference</t>
  </si>
  <si>
    <t>Depreciation</t>
  </si>
  <si>
    <t>% PPE</t>
  </si>
  <si>
    <r>
      <t>Amortization</t>
    </r>
    <r>
      <rPr>
        <sz val="10"/>
        <rFont val="Arial"/>
        <family val="2"/>
      </rPr>
      <t xml:space="preserve"> </t>
    </r>
  </si>
  <si>
    <t>% IA</t>
  </si>
  <si>
    <r>
      <rPr>
        <b/>
        <sz val="10"/>
        <color rgb="FF000000"/>
        <rFont val="Arial"/>
        <family val="2"/>
      </rPr>
      <t xml:space="preserve">Intangible Assets </t>
    </r>
    <r>
      <rPr>
        <sz val="10"/>
        <color rgb="FF000000"/>
        <rFont val="Arial"/>
        <family val="2"/>
      </rPr>
      <t>(Gross)</t>
    </r>
  </si>
  <si>
    <t>% Revenue</t>
  </si>
  <si>
    <r>
      <t xml:space="preserve">PPE+ROA </t>
    </r>
    <r>
      <rPr>
        <sz val="10"/>
        <color rgb="FF000000"/>
        <rFont val="Arial"/>
        <family val="2"/>
      </rPr>
      <t>(Gross)</t>
    </r>
  </si>
  <si>
    <t>% EBT</t>
  </si>
  <si>
    <t>Stock Based Compensation</t>
  </si>
  <si>
    <t>% Debt</t>
  </si>
  <si>
    <t>Interest expenses</t>
  </si>
  <si>
    <t xml:space="preserve">% Cash </t>
  </si>
  <si>
    <t>Interest income</t>
  </si>
  <si>
    <t>- -</t>
  </si>
  <si>
    <t>Growing with CAPEX</t>
  </si>
  <si>
    <t xml:space="preserve">% Change in Revenues </t>
  </si>
  <si>
    <t>Growing with Amortization</t>
  </si>
  <si>
    <t xml:space="preserve">CAPEX </t>
  </si>
  <si>
    <t>% Net Income</t>
  </si>
  <si>
    <t xml:space="preserve">Total Debt </t>
  </si>
  <si>
    <t>x EBITDA</t>
  </si>
  <si>
    <t>Forecasts</t>
  </si>
  <si>
    <t>Growth forecast (%)</t>
  </si>
  <si>
    <t>Next plc</t>
  </si>
  <si>
    <t>2024-29</t>
  </si>
  <si>
    <t xml:space="preserve"> </t>
  </si>
  <si>
    <t>2020-25</t>
  </si>
  <si>
    <r>
      <rPr>
        <sz val="10"/>
        <color rgb="FF000000"/>
        <rFont val="Arial"/>
        <family val="2"/>
      </rPr>
      <t xml:space="preserve">fonte (industry - general retail): </t>
    </r>
    <r>
      <rPr>
        <sz val="10"/>
        <color rgb="FF00B0F0"/>
        <rFont val="Arial"/>
        <family val="2"/>
      </rPr>
      <t>pages.stern.nyu.edu</t>
    </r>
    <r>
      <rPr>
        <sz val="10"/>
        <color rgb="FF000000"/>
        <rFont val="Arial"/>
        <family val="2"/>
      </rPr>
      <t xml:space="preserve"> Damodaran</t>
    </r>
  </si>
  <si>
    <t>EBIT (%  revenue)</t>
  </si>
  <si>
    <t>Average (7y)</t>
  </si>
  <si>
    <t>Average (3y)</t>
  </si>
  <si>
    <t xml:space="preserve">                 EBIT forecast (% revenue)</t>
  </si>
  <si>
    <r>
      <t>Revenues forecast (</t>
    </r>
    <r>
      <rPr>
        <b/>
        <u/>
        <sz val="11"/>
        <rFont val="Arial"/>
        <family val="2"/>
      </rPr>
      <t>Base scenario)</t>
    </r>
  </si>
  <si>
    <t>Base scenario</t>
  </si>
  <si>
    <t xml:space="preserve">Time period </t>
  </si>
  <si>
    <t>Forecasted Revenues Growth</t>
  </si>
  <si>
    <t>Forecasted Yearly Revenues</t>
  </si>
  <si>
    <t>Forecasted operating margin</t>
  </si>
  <si>
    <r>
      <t xml:space="preserve">  SHORT TERM </t>
    </r>
    <r>
      <rPr>
        <b/>
        <u/>
        <sz val="10"/>
        <color theme="0"/>
        <rFont val="Arial"/>
        <family val="2"/>
      </rPr>
      <t>REVENUE GROWTH</t>
    </r>
    <r>
      <rPr>
        <b/>
        <sz val="10"/>
        <color theme="0"/>
        <rFont val="Arial"/>
        <family val="2"/>
      </rPr>
      <t xml:space="preserve"> FORECAST</t>
    </r>
  </si>
  <si>
    <r>
      <t xml:space="preserve">  LONG TERM </t>
    </r>
    <r>
      <rPr>
        <b/>
        <u/>
        <sz val="10"/>
        <color theme="0"/>
        <rFont val="Arial"/>
        <family val="2"/>
      </rPr>
      <t>REVENUE GROWTH</t>
    </r>
    <r>
      <rPr>
        <b/>
        <sz val="10"/>
        <color theme="0"/>
        <rFont val="Arial"/>
        <family val="2"/>
      </rPr>
      <t xml:space="preserve"> FORECAST</t>
    </r>
  </si>
  <si>
    <t>2028-2035</t>
  </si>
  <si>
    <t>2035-2049</t>
  </si>
  <si>
    <t xml:space="preserve">NEXT Retail </t>
  </si>
  <si>
    <t>TP (and label partners)</t>
  </si>
  <si>
    <t>Property Manag.</t>
  </si>
  <si>
    <t>Sourcing, Franchise</t>
  </si>
  <si>
    <r>
      <t xml:space="preserve">  SHORT TERM </t>
    </r>
    <r>
      <rPr>
        <b/>
        <u/>
        <sz val="10"/>
        <color theme="0"/>
        <rFont val="Arial"/>
        <family val="2"/>
      </rPr>
      <t>YEARLY REVENUE</t>
    </r>
    <r>
      <rPr>
        <b/>
        <sz val="10"/>
        <color theme="0"/>
        <rFont val="Arial"/>
        <family val="2"/>
      </rPr>
      <t xml:space="preserve"> FORECAST</t>
    </r>
  </si>
  <si>
    <t>Total Revenue Growth</t>
  </si>
  <si>
    <r>
      <rPr>
        <b/>
        <u/>
        <sz val="10"/>
        <color theme="0"/>
        <rFont val="Arial"/>
        <family val="2"/>
      </rPr>
      <t>ASSUMPTIONS</t>
    </r>
    <r>
      <rPr>
        <b/>
        <sz val="10"/>
        <color theme="0"/>
        <rFont val="Arial"/>
        <family val="2"/>
      </rPr>
      <t xml:space="preserve"> &amp; </t>
    </r>
    <r>
      <rPr>
        <b/>
        <u/>
        <sz val="10"/>
        <color theme="0"/>
        <rFont val="Arial"/>
        <family val="2"/>
      </rPr>
      <t>INFORMATION</t>
    </r>
    <r>
      <rPr>
        <b/>
        <sz val="10"/>
        <color theme="0"/>
        <rFont val="Arial"/>
        <family val="2"/>
      </rPr>
      <t xml:space="preserve"> FOR BASE SCENARIO</t>
    </r>
  </si>
  <si>
    <t xml:space="preserve">Next PLC is able to increase their brand global reach in a moderate way, and reaches a warehousing limit  after sometime. The company is not so focused on this branch, even though they keep improving their distribution and product  quality. We keep this forecast conservative. TP is expected to grow at a more accelerated pace, and Franchise is conservativly expected to keep at current high levels, given the undergoing negotiations to expand thus branch into USA and India, with Nordstrom, a big US retailer. </t>
  </si>
  <si>
    <r>
      <t>Revenues forecast (</t>
    </r>
    <r>
      <rPr>
        <b/>
        <u/>
        <sz val="11"/>
        <rFont val="Arial"/>
        <family val="2"/>
      </rPr>
      <t>Bullish scenario)</t>
    </r>
  </si>
  <si>
    <t>Bullish Scenario</t>
  </si>
  <si>
    <r>
      <rPr>
        <b/>
        <u/>
        <sz val="10"/>
        <color theme="0"/>
        <rFont val="Arial"/>
        <family val="2"/>
      </rPr>
      <t>ASSUMPTIONS</t>
    </r>
    <r>
      <rPr>
        <b/>
        <sz val="10"/>
        <color theme="0"/>
        <rFont val="Arial"/>
        <family val="2"/>
      </rPr>
      <t xml:space="preserve"> &amp; </t>
    </r>
    <r>
      <rPr>
        <b/>
        <u/>
        <sz val="10"/>
        <color theme="0"/>
        <rFont val="Arial"/>
        <family val="2"/>
      </rPr>
      <t>INFORMATION</t>
    </r>
    <r>
      <rPr>
        <b/>
        <sz val="10"/>
        <color theme="0"/>
        <rFont val="Arial"/>
        <family val="2"/>
      </rPr>
      <t xml:space="preserve"> FOR BULLISH SCENARIO</t>
    </r>
  </si>
  <si>
    <t>The bullish scenario is related to the possibility of Next being able to improve their brand global reach in a way that gets them into global markets with more presence, reflected in a high online sales growth; Retail not losing a lot of momentum. TP growing at a faster pace than expected, and the Franchise deals with Nordstrom going outstandingly well.</t>
  </si>
  <si>
    <r>
      <t>Revenues forecast (</t>
    </r>
    <r>
      <rPr>
        <b/>
        <u/>
        <sz val="11"/>
        <rFont val="Arial"/>
        <family val="2"/>
      </rPr>
      <t>Bearish scenario)</t>
    </r>
  </si>
  <si>
    <t>Bearish Scenario</t>
  </si>
  <si>
    <r>
      <t xml:space="preserve">SHORT TERM </t>
    </r>
    <r>
      <rPr>
        <b/>
        <u/>
        <sz val="10"/>
        <color theme="0"/>
        <rFont val="Arial"/>
        <family val="2"/>
      </rPr>
      <t>YEARLY REVENUE</t>
    </r>
    <r>
      <rPr>
        <b/>
        <sz val="10"/>
        <color theme="0"/>
        <rFont val="Arial"/>
        <family val="2"/>
      </rPr>
      <t xml:space="preserve"> FORECAST</t>
    </r>
  </si>
  <si>
    <r>
      <rPr>
        <b/>
        <u/>
        <sz val="10"/>
        <color theme="0"/>
        <rFont val="Arial"/>
        <family val="2"/>
      </rPr>
      <t>ASSUMPTIONS</t>
    </r>
    <r>
      <rPr>
        <b/>
        <sz val="10"/>
        <color theme="0"/>
        <rFont val="Arial"/>
        <family val="2"/>
      </rPr>
      <t xml:space="preserve"> &amp; </t>
    </r>
    <r>
      <rPr>
        <b/>
        <u/>
        <sz val="10"/>
        <color theme="0"/>
        <rFont val="Arial"/>
        <family val="2"/>
      </rPr>
      <t>INFORMATION</t>
    </r>
    <r>
      <rPr>
        <b/>
        <sz val="10"/>
        <color theme="0"/>
        <rFont val="Arial"/>
        <family val="2"/>
      </rPr>
      <t xml:space="preserve"> FOR BEARISH SCENARIO</t>
    </r>
  </si>
  <si>
    <t>Complementary data &amp; information to revenues' forecast</t>
  </si>
  <si>
    <t>REVENUES PROSPECTS</t>
  </si>
  <si>
    <t xml:space="preserve">Next has entered the service industry, with its recent investment on Total Platform. There is still a lot of room for it to grow and Next wants to increase the revenues from this stream. </t>
  </si>
  <si>
    <t>Forecast</t>
  </si>
  <si>
    <t>BEARISH SCENARIO</t>
  </si>
  <si>
    <t xml:space="preserve"> Next has been acquiring other businesses in past months (some are failed companies) which is an inorganic growth strategy with a lot of potential revenue involved. The company is also stating their mission of expanding further into international markets as one of their main missions for then future. </t>
  </si>
  <si>
    <t>% of Total Revenue</t>
  </si>
  <si>
    <t xml:space="preserve">Total </t>
  </si>
  <si>
    <t>GROWTH</t>
  </si>
  <si>
    <t>Revenue per Segment</t>
  </si>
  <si>
    <t>Statuory Revenue</t>
  </si>
  <si>
    <t>note: TP revenue only exists after 2021, before that, the number accounts to Lipsy revenue, company acquired in 2008</t>
  </si>
  <si>
    <t>Revenue per Segment Growth</t>
  </si>
  <si>
    <t>Average 4y</t>
  </si>
  <si>
    <t>Total Debt forecast (Base scenario)</t>
  </si>
  <si>
    <t>Cash to Sales (historical data)</t>
  </si>
  <si>
    <t>Cash % of Sales</t>
  </si>
  <si>
    <t>Average 12Y</t>
  </si>
  <si>
    <t>Average 5Y</t>
  </si>
  <si>
    <t>Average 3Y</t>
  </si>
  <si>
    <t>Target</t>
  </si>
  <si>
    <t>5% of Sales</t>
  </si>
  <si>
    <t>Ending Cash Balance</t>
  </si>
  <si>
    <t>Bonds Maturing</t>
  </si>
  <si>
    <t>Maturity year</t>
  </si>
  <si>
    <t>Bonds (£m)</t>
  </si>
  <si>
    <t>Debt structure and maturity</t>
  </si>
  <si>
    <t>Bonds (Million £)</t>
  </si>
  <si>
    <t>Maturity Date</t>
  </si>
  <si>
    <t>Amount Outstanding</t>
  </si>
  <si>
    <t>Issued Amount</t>
  </si>
  <si>
    <t>Interest Rate (%)</t>
  </si>
  <si>
    <t>Interest Expense 2024</t>
  </si>
  <si>
    <t>Interest Expense 2025</t>
  </si>
  <si>
    <t>Interest Expense 2026</t>
  </si>
  <si>
    <t>Interest Expense 2027</t>
  </si>
  <si>
    <t>Interest Expense 2028</t>
  </si>
  <si>
    <t>Loans</t>
  </si>
  <si>
    <t>Cash/Sales</t>
  </si>
  <si>
    <t>Desired Cash</t>
  </si>
  <si>
    <t>Ending cash balance (new)</t>
  </si>
  <si>
    <t>Debt Required</t>
  </si>
  <si>
    <t>debt required</t>
  </si>
  <si>
    <t>Debt Issued</t>
  </si>
  <si>
    <t>Forecasted debt maturity</t>
  </si>
  <si>
    <t>Results</t>
  </si>
  <si>
    <t>Growth vs. Previous year</t>
  </si>
  <si>
    <t>Gross Profit</t>
  </si>
  <si>
    <t>% over sales</t>
  </si>
  <si>
    <t>Operating expenses</t>
  </si>
  <si>
    <t xml:space="preserve">     Growth vs. Previous year</t>
  </si>
  <si>
    <t>Other Expenses (Revenues)</t>
  </si>
  <si>
    <t>Changes Net Working Capital</t>
  </si>
  <si>
    <t>EBITDA Margin</t>
  </si>
  <si>
    <t>% Tax</t>
  </si>
  <si>
    <t>Cash Generated</t>
  </si>
  <si>
    <t>Share buyback</t>
  </si>
  <si>
    <t>FNP''</t>
  </si>
  <si>
    <t>FNP'</t>
  </si>
  <si>
    <t>Payout Ratio</t>
  </si>
  <si>
    <t>Assets</t>
  </si>
  <si>
    <t>Accounts Receivable</t>
  </si>
  <si>
    <t>Property, Plant and Equipment</t>
  </si>
  <si>
    <t>Other Assets</t>
  </si>
  <si>
    <t>Liabilities</t>
  </si>
  <si>
    <t xml:space="preserve">   Short-Term Debt</t>
  </si>
  <si>
    <t xml:space="preserve">   Short-Term Leases</t>
  </si>
  <si>
    <t>Other current liabilities</t>
  </si>
  <si>
    <t>Non-current Liabilities</t>
  </si>
  <si>
    <t xml:space="preserve">   Long-Term Debt</t>
  </si>
  <si>
    <t xml:space="preserve">   Long-Term Leases</t>
  </si>
  <si>
    <t>Other non-current liabilities</t>
  </si>
  <si>
    <t>Net Debt</t>
  </si>
  <si>
    <t>Minority Interest</t>
  </si>
  <si>
    <t xml:space="preserve">Shareholder's Equity </t>
  </si>
  <si>
    <t>Changes in cash</t>
  </si>
  <si>
    <t>Other Data</t>
  </si>
  <si>
    <t>Number of employees</t>
  </si>
  <si>
    <t xml:space="preserve">Shares Outstanding </t>
  </si>
  <si>
    <t>Fitch/ S&amp;P Rating</t>
  </si>
  <si>
    <t>Dividend Yield</t>
  </si>
  <si>
    <t>Daily Volume in Millions of USD</t>
  </si>
  <si>
    <t xml:space="preserve">Short % of Float </t>
  </si>
  <si>
    <t>Corporate Bonds 3, 5 Y 10</t>
  </si>
  <si>
    <t>Average Price</t>
  </si>
  <si>
    <t>Moody's</t>
  </si>
  <si>
    <t>YTM</t>
  </si>
  <si>
    <t>DIVISA</t>
  </si>
  <si>
    <t>Figures in Millions of USD</t>
  </si>
  <si>
    <t>Report in millions</t>
  </si>
  <si>
    <t>RESULTS</t>
  </si>
  <si>
    <t>Hoja</t>
  </si>
  <si>
    <t>Nombre campo Bloomberg</t>
  </si>
  <si>
    <t>Cambio de signo</t>
  </si>
  <si>
    <t>Income Statement</t>
  </si>
  <si>
    <t>Sales</t>
  </si>
  <si>
    <t>Ingreso</t>
  </si>
  <si>
    <t xml:space="preserve">    + Coste de bienes y servicios</t>
  </si>
  <si>
    <t xml:space="preserve">    + Ventas, generales y admin</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</si>
  <si>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</si>
  <si>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</si>
  <si>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</si>
  <si>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</si>
  <si>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</si>
  <si>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</si>
  <si>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</si>
  <si>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</si>
  <si>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 xml:space="preserve">  - Gasto de impuesto a la renta (Beneficio)</t>
  </si>
  <si>
    <t>Flujo de caja</t>
  </si>
  <si>
    <t xml:space="preserve">  + Ingreso neto</t>
  </si>
  <si>
    <t>FINANCIAL POSITION</t>
  </si>
  <si>
    <t>Weighted Average Shares (Basic NI)</t>
  </si>
  <si>
    <t>Weighted Average Shares (Diluted NI)</t>
  </si>
  <si>
    <t>Net gains (losses) from ForEx</t>
  </si>
  <si>
    <t>Total Comprehensive Income</t>
  </si>
  <si>
    <t>669.9</t>
  </si>
  <si>
    <t>cash flows</t>
  </si>
  <si>
    <t>NWC</t>
  </si>
  <si>
    <t>Net Working Capital</t>
  </si>
  <si>
    <t xml:space="preserve">  + Dividendos pagados</t>
  </si>
  <si>
    <t>Cambiar signo</t>
  </si>
  <si>
    <t xml:space="preserve">    + Aumento en capital</t>
  </si>
  <si>
    <t xml:space="preserve">    + Baja en capital</t>
  </si>
  <si>
    <t>Cambiar signo y hacer suma</t>
  </si>
  <si>
    <t>ASSETS</t>
  </si>
  <si>
    <t>Current</t>
  </si>
  <si>
    <t>Balance Sheet</t>
  </si>
  <si>
    <t>662.2</t>
  </si>
  <si>
    <t>Balance</t>
  </si>
  <si>
    <t xml:space="preserve">  + Efectivo, equivalentes y STI</t>
  </si>
  <si>
    <t>Other Current Assets</t>
  </si>
  <si>
    <t xml:space="preserve">  + Cuentas y notas por cobrar</t>
  </si>
  <si>
    <t xml:space="preserve">    + Activos derivados y de cobertura</t>
  </si>
  <si>
    <t xml:space="preserve">  + Inversiones y cuentas por cobrar a LP</t>
  </si>
  <si>
    <t>Non-current</t>
  </si>
  <si>
    <t xml:space="preserve">  + Inventarios</t>
  </si>
  <si>
    <t>Operating leases</t>
  </si>
  <si>
    <t>639.1</t>
  </si>
  <si>
    <t>720.1</t>
  </si>
  <si>
    <t xml:space="preserve">852.7 </t>
  </si>
  <si>
    <t>943.8</t>
  </si>
  <si>
    <t>Equity Method Investments</t>
  </si>
  <si>
    <t>Other Non-Current Assets</t>
  </si>
  <si>
    <t xml:space="preserve">  + Propiedad, planta y equipo; neto</t>
  </si>
  <si>
    <t>Activos totales</t>
  </si>
  <si>
    <t>LIABILITIES</t>
  </si>
  <si>
    <t>Payables</t>
  </si>
  <si>
    <t xml:space="preserve">58.7 </t>
  </si>
  <si>
    <t>Short term Debt</t>
  </si>
  <si>
    <t>Pasivos totales corrientes</t>
  </si>
  <si>
    <t xml:space="preserve">    + Préstamos CP</t>
  </si>
  <si>
    <t>Total non current liabilities</t>
  </si>
  <si>
    <t>Long term debt</t>
  </si>
  <si>
    <t>894.9</t>
  </si>
  <si>
    <t>1,015.8</t>
  </si>
  <si>
    <t>Pasivos totales no corrientes</t>
  </si>
  <si>
    <t>Other non current Liabilities</t>
  </si>
  <si>
    <t xml:space="preserve">    + Préstamos a largo plazo</t>
  </si>
  <si>
    <t xml:space="preserve">  + Participación minoritaria/no dominante</t>
  </si>
  <si>
    <t>CASH FLOW</t>
  </si>
  <si>
    <t>Changes in assets and liabilities</t>
  </si>
  <si>
    <t>Other Adjustments</t>
  </si>
  <si>
    <t>Other Inflows (Outflows)</t>
  </si>
  <si>
    <t>Debt Borrowing</t>
  </si>
  <si>
    <t>Debt Repayment</t>
  </si>
  <si>
    <t>Lease Increases</t>
  </si>
  <si>
    <t>Lease Payments</t>
  </si>
  <si>
    <t>cash flows FINANCING</t>
  </si>
  <si>
    <t>Dividends paid</t>
  </si>
  <si>
    <t>(Vitalis will later fill this info)</t>
  </si>
  <si>
    <t xml:space="preserve">Other Data </t>
  </si>
  <si>
    <t xml:space="preserve">Average Price </t>
  </si>
  <si>
    <t xml:space="preserve">Number of employees </t>
  </si>
  <si>
    <t>10-K</t>
  </si>
  <si>
    <t>bloomberg</t>
  </si>
  <si>
    <t>Shares Outstanding (Thousands)</t>
  </si>
  <si>
    <t>Yahoo finance</t>
  </si>
  <si>
    <t>BBB</t>
  </si>
  <si>
    <t>Dividend Yield(Yahoo Finance)</t>
  </si>
  <si>
    <t>Yahoo Finance</t>
  </si>
  <si>
    <t>Sector</t>
  </si>
  <si>
    <t>Sub-Industry</t>
  </si>
  <si>
    <t>Environment</t>
  </si>
  <si>
    <t>Communication Services</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</si>
  <si>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</si>
  <si>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</si>
  <si>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</si>
  <si>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</si>
  <si>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</si>
  <si>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</si>
  <si>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</si>
  <si>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</si>
  <si>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</si>
  <si>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</si>
  <si>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</si>
  <si>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</si>
  <si>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</si>
  <si>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</si>
  <si>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</si>
  <si>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</si>
  <si>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</si>
  <si>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</si>
  <si>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Direct CO2 emissions</t>
  </si>
  <si>
    <t>Cable &amp; Satellite</t>
  </si>
  <si>
    <t>Consumer Staples</t>
  </si>
  <si>
    <t>Total Water Use</t>
  </si>
  <si>
    <t>Broadcasting</t>
  </si>
  <si>
    <t>Renewable Energy</t>
  </si>
  <si>
    <t>Movies &amp; Entertainment</t>
  </si>
  <si>
    <t>Financials</t>
  </si>
  <si>
    <t>Forestry</t>
  </si>
  <si>
    <t>Advertising</t>
  </si>
  <si>
    <t>Health Care</t>
  </si>
  <si>
    <t>Land Degradation/Deforestation/Biodiversity loss/Animal sufering/...</t>
  </si>
  <si>
    <t>Alternative Carriers</t>
  </si>
  <si>
    <t>Industrials</t>
  </si>
  <si>
    <t>Publishing</t>
  </si>
  <si>
    <t>Information Technology</t>
  </si>
  <si>
    <t>Employee turnover</t>
  </si>
  <si>
    <t>Wireless Telecommunication Services</t>
  </si>
  <si>
    <t>Materials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</si>
  <si>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</si>
  <si>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</si>
  <si>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</si>
  <si>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</si>
  <si>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</si>
  <si>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</si>
  <si>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</si>
  <si>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</si>
  <si>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</si>
  <si>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</si>
  <si>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</si>
  <si>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</si>
  <si>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</si>
  <si>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Tobacco</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</si>
  <si>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</si>
  <si>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</si>
  <si>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</si>
  <si>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</si>
  <si>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</si>
  <si>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</si>
  <si>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</si>
  <si>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</si>
  <si>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</si>
  <si>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</si>
  <si>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</si>
  <si>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</si>
  <si>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</si>
  <si>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</si>
  <si>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</si>
  <si>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</si>
  <si>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</si>
  <si>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</si>
  <si>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Homebuilding</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</si>
  <si>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</si>
  <si>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</si>
  <si>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</si>
  <si>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</si>
  <si>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</si>
  <si>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</si>
  <si>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</si>
  <si>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</si>
  <si>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</si>
  <si>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</si>
  <si>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</si>
  <si>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</si>
  <si>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</si>
  <si>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</si>
  <si>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</si>
  <si>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</si>
  <si>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</si>
  <si>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</si>
  <si>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</si>
  <si>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</si>
  <si>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Household Products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</si>
  <si>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</si>
  <si>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</si>
  <si>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</si>
  <si>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</si>
  <si>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</si>
  <si>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</si>
  <si>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</si>
  <si>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</si>
  <si>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</si>
  <si>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</si>
  <si>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</si>
  <si>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</si>
  <si>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</si>
  <si>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</si>
  <si>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</si>
  <si>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</si>
  <si>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Consumer Electronics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</si>
  <si>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</si>
  <si>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</si>
  <si>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</si>
  <si>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</si>
  <si>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</si>
  <si>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</si>
  <si>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</si>
  <si>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</si>
  <si>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</si>
  <si>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</si>
  <si>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</si>
  <si>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</si>
  <si>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</si>
  <si>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</si>
  <si>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</si>
  <si>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</si>
  <si>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</si>
  <si>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</si>
  <si>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</si>
  <si>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</si>
  <si>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</si>
  <si>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</si>
  <si>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</si>
  <si>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</si>
  <si>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</si>
  <si>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</si>
  <si>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</si>
  <si>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</si>
  <si>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</si>
  <si>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</si>
  <si>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</si>
  <si>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</si>
  <si>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</si>
  <si>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</si>
  <si>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Steel</t>
  </si>
  <si>
    <t>Home Furnishings</t>
  </si>
  <si>
    <t>Drug Retail</t>
  </si>
  <si>
    <t>Reinsurance</t>
  </si>
  <si>
    <t>Research &amp; Consulting Services</t>
  </si>
  <si>
    <t>Systems Software</t>
  </si>
  <si>
    <t>Distributors</t>
  </si>
  <si>
    <t>Thrifts &amp; Mortgage Finance</t>
  </si>
  <si>
    <t>Construction &amp; Engineering</t>
  </si>
  <si>
    <t>Electronic Manufacturing Services</t>
  </si>
  <si>
    <t>Housewares &amp; Specialties</t>
  </si>
  <si>
    <t>Trucking</t>
  </si>
  <si>
    <t>Household Appliances</t>
  </si>
  <si>
    <t>Environmental &amp; Facilities Services</t>
  </si>
  <si>
    <t>Human Resource &amp; Employment Services</t>
  </si>
  <si>
    <t>Trading Companies &amp; Distributors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</si>
</sst>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1">
    <numFmt numFmtId="43" formatCode="_-* #,##0.00_-;\-* #,##0.00_-;_-* &quot;-&quot;??_-;_-@_-"/>
    <numFmt numFmtId="164" formatCode="_-* #,##0.00\ &quot;€&quot;_-;\-* #,##0.00\ &quot;€&quot;_-;_-* &quot;-&quot;??\ &quot;€&quot;_-;_-@_-"/>
    <numFmt numFmtId="165" formatCode="_-&quot;$&quot;* #,##0.00_-;\-&quot;$&quot;* #,##0.00_-;_-&quot;$&quot;* &quot;-&quot;??_-;_-@_-"/>
    <numFmt numFmtId="166" formatCode="&quot;$&quot;#,##0.00"/>
    <numFmt numFmtId="167" formatCode="&quot;$&quot;#,##0"/>
    <numFmt numFmtId="168" formatCode="0.0%"/>
    <numFmt numFmtId="169" formatCode="0.0"/>
    <numFmt numFmtId="170" formatCode="#,##0.0"/>
    <numFmt numFmtId="171" formatCode="[$$-409]#,##0.00_ ;\-[$$-409]#,##0.00\ "/>
    <numFmt numFmtId="172" formatCode="[$$-409]#,##0"/>
    <numFmt numFmtId="173" formatCode="_-[$$-409]* #,##0.00_ ;_-[$$-409]* \-#,##0.00\ ;_-[$$-409]* &quot;-&quot;??_ ;_-@_ "/>
    <numFmt numFmtId="174" formatCode="0.000000"/>
    <numFmt numFmtId="175" formatCode="_([$$-409]* #,##0.00_);_([$$-409]* \(#,##0.00\);_([$$-409]* &quot;-&quot;??_);_(@_)"/>
    <numFmt numFmtId="176" formatCode="0.000%"/>
    <numFmt numFmtId="177" formatCode="#,##0_ ;\-#,##0\ "/>
    <numFmt numFmtId="178" formatCode="#,##0.000"/>
    <numFmt numFmtId="179" formatCode="[$£-809]#,##0"/>
    <numFmt numFmtId="180" formatCode="[$£-809]#,##0.00"/>
    <numFmt numFmtId="181" formatCode="&quot;£&quot;#,##0.00"/>
    <numFmt numFmtId="182" formatCode="0.0000"/>
    <numFmt numFmtId="183" formatCode="_-[$£-809]* #,##0.00_-;\-[$£-809]* #,##0.00_-;_-[$£-809]* &quot;-&quot;??_-;_-@_-"/>
  </numFmts>
  <fonts count="10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i/>
      <sz val="10"/>
      <color indexed="8"/>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12"/>
      <color rgb="FFFFFFFF"/>
      <name val="Calibri"/>
      <family val="2"/>
    </font>
    <font>
      <sz val="7.5"/>
      <name val="Arial"/>
      <family val="2"/>
    </font>
    <font>
      <sz val="9"/>
      <name val="Arial"/>
      <family val="2"/>
    </font>
    <font>
      <b/>
      <sz val="9"/>
      <name val="Arial"/>
      <family val="2"/>
    </font>
    <font>
      <sz val="7.5"/>
      <color theme="0"/>
      <name val="Arial"/>
      <family val="2"/>
    </font>
    <font>
      <b/>
      <sz val="7.5"/>
      <name val="Arial"/>
      <family val="2"/>
    </font>
    <font>
      <b/>
      <sz val="16"/>
      <name val="Arial"/>
      <family val="2"/>
    </font>
    <font>
      <b/>
      <u/>
      <sz val="10"/>
      <color theme="4"/>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sz val="11"/>
      <color rgb="FFC00000"/>
      <name val="Calibri"/>
      <family val="2"/>
    </font>
    <font>
      <b/>
      <sz val="14"/>
      <color rgb="FF000000"/>
      <name val="Calibri"/>
      <family val="2"/>
    </font>
    <font>
      <sz val="11"/>
      <color theme="1"/>
      <name val="Calibri"/>
      <family val="2"/>
    </font>
    <font>
      <sz val="10"/>
      <color rgb="FF232A31"/>
      <name val="Arial"/>
      <family val="2"/>
    </font>
    <font>
      <b/>
      <sz val="10"/>
      <color rgb="FF000000"/>
      <name val="Arial"/>
      <family val="2"/>
    </font>
    <font>
      <b/>
      <sz val="11"/>
      <color theme="1"/>
      <name val="Calibri"/>
      <family val="2"/>
      <scheme val="minor"/>
    </font>
    <font>
      <sz val="11"/>
      <color theme="0"/>
      <name val="Calibri"/>
      <family val="2"/>
    </font>
    <font>
      <sz val="12"/>
      <name val="Arial"/>
      <family val="2"/>
    </font>
    <font>
      <sz val="11"/>
      <color rgb="FFFF0000"/>
      <name val="Calibri"/>
      <family val="2"/>
    </font>
    <font>
      <sz val="10"/>
      <name val="Calibri"/>
      <family val="2"/>
      <charset val="1"/>
    </font>
    <font>
      <sz val="14"/>
      <name val="Arial"/>
      <family val="2"/>
    </font>
    <font>
      <sz val="8"/>
      <color theme="0"/>
      <name val="Arial"/>
      <family val="2"/>
    </font>
    <font>
      <b/>
      <sz val="12"/>
      <color rgb="FF000000"/>
      <name val="Arial"/>
      <family val="2"/>
    </font>
    <font>
      <b/>
      <sz val="8"/>
      <color rgb="FFFFFFFF"/>
      <name val="Arial"/>
      <family val="2"/>
    </font>
    <font>
      <b/>
      <sz val="11"/>
      <color rgb="FFFFFFFF"/>
      <name val="Arial"/>
      <family val="2"/>
    </font>
    <font>
      <i/>
      <sz val="10"/>
      <name val="Arial"/>
      <family val="2"/>
    </font>
    <font>
      <i/>
      <sz val="10"/>
      <color theme="1"/>
      <name val="Arial"/>
      <family val="2"/>
    </font>
    <font>
      <b/>
      <sz val="11"/>
      <color rgb="FF000000"/>
      <name val="Calibri"/>
      <family val="2"/>
      <scheme val="minor"/>
    </font>
    <font>
      <b/>
      <sz val="11"/>
      <color indexed="9"/>
      <name val="Arial"/>
      <family val="2"/>
    </font>
    <font>
      <sz val="9"/>
      <color indexed="81"/>
      <name val="Tahoma"/>
      <family val="2"/>
    </font>
    <font>
      <b/>
      <sz val="9"/>
      <color indexed="81"/>
      <name val="Tahoma"/>
      <family val="2"/>
    </font>
    <font>
      <sz val="10"/>
      <name val="Arial"/>
      <family val="2"/>
    </font>
    <font>
      <sz val="11"/>
      <color rgb="FF000000"/>
      <name val="Arial"/>
      <family val="2"/>
    </font>
    <font>
      <b/>
      <sz val="11"/>
      <color rgb="FF000000"/>
      <name val="Arial"/>
      <family val="2"/>
    </font>
    <font>
      <b/>
      <u/>
      <sz val="9"/>
      <color indexed="81"/>
      <name val="Tahoma"/>
      <family val="2"/>
    </font>
    <font>
      <sz val="10"/>
      <color rgb="FF00B0F0"/>
      <name val="Arial"/>
      <family val="2"/>
    </font>
    <font>
      <sz val="8"/>
      <name val="Arial"/>
      <family val="2"/>
    </font>
    <font>
      <b/>
      <sz val="10"/>
      <name val="Calibri"/>
      <family val="2"/>
      <scheme val="minor"/>
    </font>
    <font>
      <sz val="12"/>
      <color rgb="FF000000"/>
      <name val="-Apple-System"/>
    </font>
    <font>
      <u/>
      <sz val="10"/>
      <color rgb="FF000000"/>
      <name val="Arial"/>
      <family val="2"/>
    </font>
    <font>
      <u/>
      <sz val="14"/>
      <color indexed="12"/>
      <name val="Arial"/>
      <family val="2"/>
    </font>
    <font>
      <sz val="9"/>
      <color rgb="FF000000"/>
      <name val="Calibri"/>
      <family val="2"/>
    </font>
    <font>
      <b/>
      <sz val="10"/>
      <color rgb="FFFFFFFF"/>
      <name val="Arial"/>
      <family val="2"/>
    </font>
    <font>
      <b/>
      <sz val="26"/>
      <name val="Arial"/>
      <family val="2"/>
    </font>
    <font>
      <b/>
      <u/>
      <sz val="11"/>
      <name val="Arial"/>
      <family val="2"/>
    </font>
    <font>
      <b/>
      <u/>
      <sz val="10"/>
      <color theme="0"/>
      <name val="Arial"/>
      <family val="2"/>
    </font>
    <font>
      <u/>
      <sz val="10"/>
      <color theme="10"/>
      <name val="Arial"/>
      <family val="2"/>
    </font>
    <font>
      <sz val="10"/>
      <name val="Aptos Narrow"/>
      <family val="2"/>
    </font>
    <font>
      <b/>
      <sz val="18"/>
      <color theme="0"/>
      <name val="Arial"/>
      <family val="2"/>
    </font>
    <font>
      <u/>
      <sz val="12"/>
      <color rgb="FF000000"/>
      <name val="-Apple-System"/>
    </font>
    <font>
      <b/>
      <sz val="12"/>
      <color rgb="FF000000"/>
      <name val="-Apple-System"/>
    </font>
    <font>
      <sz val="26"/>
      <name val="Arial"/>
      <family val="2"/>
    </font>
  </fonts>
  <fills count="61">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F2F2F2"/>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00B050"/>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rgb="FFFF0000"/>
        <bgColor rgb="FF000000"/>
      </patternFill>
    </fill>
    <fill>
      <patternFill patternType="solid">
        <fgColor rgb="FF00B050"/>
        <bgColor rgb="FF000000"/>
      </patternFill>
    </fill>
    <fill>
      <patternFill patternType="solid">
        <fgColor theme="9" tint="0.79998168889431442"/>
        <bgColor indexed="64"/>
      </patternFill>
    </fill>
    <fill>
      <patternFill patternType="solid">
        <fgColor rgb="FF339966"/>
        <bgColor rgb="FF000000"/>
      </patternFill>
    </fill>
    <fill>
      <patternFill patternType="solid">
        <fgColor theme="9" tint="0.59999389629810485"/>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D9D9D9"/>
        <bgColor rgb="FFD9D9D9"/>
      </patternFill>
    </fill>
    <fill>
      <patternFill patternType="solid">
        <fgColor rgb="FFC5D9F1"/>
        <bgColor rgb="FF000000"/>
      </patternFill>
    </fill>
    <fill>
      <patternFill patternType="solid">
        <fgColor theme="2"/>
        <bgColor indexed="64"/>
      </patternFill>
    </fill>
    <fill>
      <patternFill patternType="solid">
        <fgColor rgb="FFCCECFF"/>
        <bgColor indexed="64"/>
      </patternFill>
    </fill>
    <fill>
      <patternFill patternType="solid">
        <fgColor theme="0"/>
        <bgColor rgb="FF001DFF"/>
      </patternFill>
    </fill>
    <fill>
      <patternFill patternType="solid">
        <fgColor theme="0"/>
        <bgColor rgb="FFFFFFFF"/>
      </patternFill>
    </fill>
    <fill>
      <patternFill patternType="solid">
        <fgColor theme="6" tint="0.79998168889431442"/>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4" tint="0.59999389629810485"/>
        <bgColor rgb="FF000000"/>
      </patternFill>
    </fill>
  </fills>
  <borders count="343">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3"/>
      </left>
      <right style="medium">
        <color theme="3"/>
      </right>
      <top style="thin">
        <color theme="0" tint="-0.499984740745262"/>
      </top>
      <bottom/>
      <diagonal/>
    </border>
    <border>
      <left/>
      <right/>
      <top style="medium">
        <color theme="3"/>
      </top>
      <bottom style="medium">
        <color theme="3"/>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medium">
        <color rgb="FF1F497D"/>
      </right>
      <top style="thin">
        <color indexed="64"/>
      </top>
      <bottom style="thin">
        <color indexed="64"/>
      </bottom>
      <diagonal/>
    </border>
    <border>
      <left style="thin">
        <color theme="0" tint="-0.24994659260841701"/>
      </left>
      <right style="thin">
        <color theme="0" tint="-0.24994659260841701"/>
      </right>
      <top style="thin">
        <color theme="0" tint="-0.24994659260841701"/>
      </top>
      <bottom/>
      <diagonal/>
    </border>
    <border>
      <left style="thin">
        <color indexed="64"/>
      </left>
      <right style="medium">
        <color rgb="FF1F497D"/>
      </right>
      <top/>
      <bottom style="thin">
        <color indexed="64"/>
      </bottom>
      <diagonal/>
    </border>
    <border>
      <left style="thin">
        <color theme="0" tint="-0.24994659260841701"/>
      </left>
      <right style="medium">
        <color theme="3"/>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theme="3"/>
      </right>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right style="medium">
        <color rgb="FF1F497D"/>
      </right>
      <top style="medium">
        <color rgb="FF1F497D"/>
      </top>
      <bottom style="thin">
        <color theme="0" tint="-0.24994659260841701"/>
      </bottom>
      <diagonal/>
    </border>
    <border>
      <left style="medium">
        <color rgb="FF1F497D"/>
      </left>
      <right style="medium">
        <color theme="3"/>
      </right>
      <top style="medium">
        <color rgb="FF1F497D"/>
      </top>
      <bottom style="thin">
        <color theme="0" tint="-0.24994659260841701"/>
      </bottom>
      <diagonal/>
    </border>
    <border>
      <left style="medium">
        <color theme="3"/>
      </left>
      <right style="medium">
        <color theme="3"/>
      </right>
      <top style="medium">
        <color rgb="FF1F497D"/>
      </top>
      <bottom style="thin">
        <color theme="0" tint="-0.24994659260841701"/>
      </bottom>
      <diagonal/>
    </border>
    <border>
      <left style="medium">
        <color theme="3"/>
      </left>
      <right style="medium">
        <color rgb="FF1F497D"/>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medium">
        <color rgb="FF1F497D"/>
      </top>
      <bottom style="thin">
        <color theme="0" tint="-0.24994659260841701"/>
      </bottom>
      <diagonal/>
    </border>
    <border>
      <left style="medium">
        <color rgb="FF1F497D"/>
      </left>
      <right style="medium">
        <color rgb="FF1F497D"/>
      </right>
      <top style="thin">
        <color theme="0" tint="-0.24994659260841701"/>
      </top>
      <bottom style="thin">
        <color theme="0" tint="-0.24994659260841701"/>
      </bottom>
      <diagonal/>
    </border>
    <border>
      <left style="medium">
        <color rgb="FF1F497D"/>
      </left>
      <right style="medium">
        <color rgb="FF1F497D"/>
      </right>
      <top style="thin">
        <color theme="0" tint="-0.24994659260841701"/>
      </top>
      <bottom style="medium">
        <color rgb="FF1F497D"/>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medium">
        <color rgb="FF1F497D"/>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rgb="FF1F497D"/>
      </left>
      <right style="medium">
        <color rgb="FF1F497D"/>
      </right>
      <top style="thin">
        <color theme="0" tint="-0.24994659260841701"/>
      </top>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right style="medium">
        <color rgb="FF1F497D"/>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right style="medium">
        <color rgb="FF1F497D"/>
      </right>
      <top style="medium">
        <color theme="0" tint="-0.24994659260841701"/>
      </top>
      <bottom style="medium">
        <color rgb="FF1F497D"/>
      </bottom>
      <diagonal/>
    </border>
    <border>
      <left style="medium">
        <color rgb="FF1F497D"/>
      </left>
      <right/>
      <top style="medium">
        <color rgb="FF1F497D"/>
      </top>
      <bottom style="medium">
        <color theme="0" tint="-0.24994659260841701"/>
      </bottom>
      <diagonal/>
    </border>
    <border>
      <left/>
      <right/>
      <top style="medium">
        <color rgb="FF1F497D"/>
      </top>
      <bottom style="medium">
        <color theme="0" tint="-0.24994659260841701"/>
      </bottom>
      <diagonal/>
    </border>
    <border>
      <left/>
      <right style="medium">
        <color rgb="FF1F497D"/>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right style="thin">
        <color rgb="FF1F497D"/>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style="medium">
        <color rgb="FF000000"/>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indexed="64"/>
      </left>
      <right style="medium">
        <color indexed="64"/>
      </right>
      <top/>
      <bottom style="thin">
        <color indexed="64"/>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n">
        <color rgb="FF000000"/>
      </left>
      <right/>
      <top style="thin">
        <color rgb="FF000000"/>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diagonal/>
    </border>
    <border>
      <left/>
      <right style="thin">
        <color rgb="FF000000"/>
      </right>
      <top/>
      <bottom style="thin">
        <color rgb="FF000000"/>
      </bottom>
      <diagonal/>
    </border>
    <border>
      <left/>
      <right style="thin">
        <color indexed="64"/>
      </right>
      <top style="medium">
        <color indexed="64"/>
      </top>
      <bottom style="thin">
        <color indexed="64"/>
      </bottom>
      <diagonal/>
    </border>
    <border>
      <left style="medium">
        <color theme="3"/>
      </left>
      <right/>
      <top style="medium">
        <color rgb="FF000000"/>
      </top>
      <bottom style="medium">
        <color rgb="FF000000"/>
      </bottom>
      <diagonal/>
    </border>
    <border>
      <left/>
      <right/>
      <top style="medium">
        <color rgb="FF000000"/>
      </top>
      <bottom/>
      <diagonal/>
    </border>
    <border>
      <left/>
      <right style="medium">
        <color theme="3"/>
      </right>
      <top style="medium">
        <color rgb="FF000000"/>
      </top>
      <bottom/>
      <diagonal/>
    </border>
    <border>
      <left style="medium">
        <color theme="3"/>
      </left>
      <right/>
      <top style="medium">
        <color rgb="FF000000"/>
      </top>
      <bottom/>
      <diagonal/>
    </border>
    <border>
      <left style="medium">
        <color rgb="FF000000"/>
      </left>
      <right style="thin">
        <color theme="0" tint="-0.24994659260841701"/>
      </right>
      <top/>
      <bottom style="medium">
        <color rgb="FF000000"/>
      </bottom>
      <diagonal/>
    </border>
    <border>
      <left style="thin">
        <color theme="0" tint="-0.24994659260841701"/>
      </left>
      <right style="thin">
        <color theme="0" tint="-0.24994659260841701"/>
      </right>
      <top/>
      <bottom style="medium">
        <color rgb="FF000000"/>
      </bottom>
      <diagonal/>
    </border>
    <border>
      <left style="thin">
        <color theme="0" tint="-0.24994659260841701"/>
      </left>
      <right style="medium">
        <color rgb="FF000000"/>
      </right>
      <top/>
      <bottom style="medium">
        <color rgb="FF000000"/>
      </bottom>
      <diagonal/>
    </border>
    <border>
      <left/>
      <right style="medium">
        <color theme="3"/>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theme="3"/>
      </right>
      <top/>
      <bottom/>
      <diagonal/>
    </border>
    <border>
      <left style="medium">
        <color rgb="FF000000"/>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rgb="FF000000"/>
      </right>
      <top/>
      <bottom/>
      <diagonal/>
    </border>
    <border>
      <left style="medium">
        <color rgb="FF000000"/>
      </left>
      <right style="thin">
        <color theme="0" tint="-0.24994659260841701"/>
      </right>
      <top style="medium">
        <color rgb="FF000000"/>
      </top>
      <bottom/>
      <diagonal/>
    </border>
    <border>
      <left style="thin">
        <color theme="0" tint="-0.24994659260841701"/>
      </left>
      <right style="thin">
        <color theme="0" tint="-0.24994659260841701"/>
      </right>
      <top style="medium">
        <color rgb="FF000000"/>
      </top>
      <bottom/>
      <diagonal/>
    </border>
    <border>
      <left style="thin">
        <color theme="0" tint="-0.24994659260841701"/>
      </left>
      <right style="medium">
        <color rgb="FF000000"/>
      </right>
      <top style="medium">
        <color rgb="FF000000"/>
      </top>
      <bottom/>
      <diagonal/>
    </border>
    <border>
      <left style="medium">
        <color rgb="FF000000"/>
      </left>
      <right style="thin">
        <color theme="0" tint="-0.24994659260841701"/>
      </right>
      <top style="medium">
        <color rgb="FF000000"/>
      </top>
      <bottom style="medium">
        <color rgb="FF000000"/>
      </bottom>
      <diagonal/>
    </border>
    <border>
      <left style="thin">
        <color theme="0" tint="-0.24994659260841701"/>
      </left>
      <right style="thin">
        <color theme="0" tint="-0.24994659260841701"/>
      </right>
      <top style="medium">
        <color rgb="FF000000"/>
      </top>
      <bottom style="medium">
        <color rgb="FF000000"/>
      </bottom>
      <diagonal/>
    </border>
    <border>
      <left style="thin">
        <color theme="0" tint="-0.24994659260841701"/>
      </left>
      <right style="medium">
        <color rgb="FF000000"/>
      </right>
      <top style="medium">
        <color rgb="FF000000"/>
      </top>
      <bottom style="medium">
        <color rgb="FF000000"/>
      </bottom>
      <diagonal/>
    </border>
    <border>
      <left style="medium">
        <color rgb="FF000000"/>
      </left>
      <right style="medium">
        <color theme="3"/>
      </right>
      <top/>
      <bottom style="medium">
        <color rgb="FF000000"/>
      </bottom>
      <diagonal/>
    </border>
    <border>
      <left/>
      <right style="medium">
        <color rgb="FF1F497D"/>
      </right>
      <top/>
      <bottom style="medium">
        <color theme="0" tint="-0.24994659260841701"/>
      </bottom>
      <diagonal/>
    </border>
    <border>
      <left/>
      <right style="medium">
        <color rgb="FF1F497D"/>
      </right>
      <top style="medium">
        <color theme="0" tint="-0.24994659260841701"/>
      </top>
      <bottom/>
      <diagonal/>
    </border>
    <border>
      <left style="medium">
        <color rgb="FF1F497D"/>
      </left>
      <right/>
      <top/>
      <bottom style="thin">
        <color theme="0" tint="-0.24994659260841701"/>
      </bottom>
      <diagonal/>
    </border>
    <border>
      <left style="medium">
        <color indexed="64"/>
      </left>
      <right/>
      <top style="thin">
        <color indexed="64"/>
      </top>
      <bottom/>
      <diagonal/>
    </border>
    <border>
      <left style="medium">
        <color indexed="64"/>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theme="4" tint="-0.24994659260841701"/>
      </left>
      <right style="medium">
        <color theme="4" tint="-0.24994659260841701"/>
      </right>
      <top style="medium">
        <color theme="4" tint="-0.24994659260841701"/>
      </top>
      <bottom style="thin">
        <color theme="0" tint="-0.499984740745262"/>
      </bottom>
      <diagonal/>
    </border>
    <border>
      <left style="medium">
        <color theme="4" tint="-0.24994659260841701"/>
      </left>
      <right style="medium">
        <color theme="4" tint="-0.24994659260841701"/>
      </right>
      <top/>
      <bottom/>
      <diagonal/>
    </border>
    <border>
      <left style="medium">
        <color theme="4" tint="-0.24994659260841701"/>
      </left>
      <right style="medium">
        <color theme="4" tint="-0.24994659260841701"/>
      </right>
      <top/>
      <bottom style="medium">
        <color theme="4" tint="-0.24994659260841701"/>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style="medium">
        <color rgb="FF1F497D"/>
      </left>
      <right style="thin">
        <color rgb="FF1F497D"/>
      </right>
      <top style="thin">
        <color rgb="FF1F497D"/>
      </top>
      <bottom style="thin">
        <color rgb="FF1F497D"/>
      </bottom>
      <diagonal/>
    </border>
    <border>
      <left style="thin">
        <color rgb="FF1F497D"/>
      </left>
      <right style="medium">
        <color rgb="FF1F497D"/>
      </right>
      <top style="thin">
        <color rgb="FF1F497D"/>
      </top>
      <bottom style="thin">
        <color rgb="FF1F497D"/>
      </bottom>
      <diagonal/>
    </border>
    <border>
      <left style="medium">
        <color rgb="FF1F497D"/>
      </left>
      <right style="thin">
        <color rgb="FF1F497D"/>
      </right>
      <top style="thin">
        <color rgb="FF1F497D"/>
      </top>
      <bottom style="medium">
        <color rgb="FF1F497D"/>
      </bottom>
      <diagonal/>
    </border>
    <border>
      <left style="thin">
        <color rgb="FF1F497D"/>
      </left>
      <right style="thin">
        <color rgb="FF1F497D"/>
      </right>
      <top style="thin">
        <color rgb="FF1F497D"/>
      </top>
      <bottom style="medium">
        <color rgb="FF1F497D"/>
      </bottom>
      <diagonal/>
    </border>
    <border>
      <left style="thin">
        <color rgb="FF1F497D"/>
      </left>
      <right style="medium">
        <color rgb="FF1F497D"/>
      </right>
      <top style="thin">
        <color rgb="FF1F497D"/>
      </top>
      <bottom style="medium">
        <color rgb="FF1F497D"/>
      </bottom>
      <diagonal/>
    </border>
    <border>
      <left style="medium">
        <color theme="3"/>
      </left>
      <right style="thin">
        <color theme="0" tint="-0.24994659260841701"/>
      </right>
      <top style="thin">
        <color theme="0" tint="-0.24994659260841701"/>
      </top>
      <bottom style="thin">
        <color theme="0" tint="-0.24994659260841701"/>
      </bottom>
      <diagonal/>
    </border>
    <border>
      <left style="medium">
        <color theme="3"/>
      </left>
      <right/>
      <top style="thin">
        <color theme="0" tint="-0.24994659260841701"/>
      </top>
      <bottom/>
      <diagonal/>
    </border>
    <border>
      <left style="medium">
        <color theme="3"/>
      </left>
      <right/>
      <top/>
      <bottom style="thin">
        <color theme="0" tint="-0.24994659260841701"/>
      </bottom>
      <diagonal/>
    </border>
    <border>
      <left style="medium">
        <color theme="3"/>
      </left>
      <right style="thin">
        <color indexed="64"/>
      </right>
      <top style="thin">
        <color indexed="64"/>
      </top>
      <bottom style="thin">
        <color indexed="64"/>
      </bottom>
      <diagonal/>
    </border>
    <border>
      <left style="medium">
        <color theme="3"/>
      </left>
      <right style="thin">
        <color indexed="64"/>
      </right>
      <top style="thin">
        <color indexed="64"/>
      </top>
      <bottom style="medium">
        <color theme="3"/>
      </bottom>
      <diagonal/>
    </border>
    <border>
      <left style="thin">
        <color indexed="64"/>
      </left>
      <right style="thin">
        <color indexed="64"/>
      </right>
      <top style="thin">
        <color indexed="64"/>
      </top>
      <bottom style="medium">
        <color theme="3"/>
      </bottom>
      <diagonal/>
    </border>
    <border>
      <left style="thin">
        <color indexed="64"/>
      </left>
      <right style="medium">
        <color rgb="FF1F497D"/>
      </right>
      <top style="thin">
        <color indexed="64"/>
      </top>
      <bottom style="medium">
        <color theme="3"/>
      </bottom>
      <diagonal/>
    </border>
    <border>
      <left/>
      <right style="thin">
        <color rgb="FF000000"/>
      </right>
      <top style="thin">
        <color rgb="FF000000"/>
      </top>
      <bottom style="thin">
        <color rgb="FF000000"/>
      </bottom>
      <diagonal/>
    </border>
    <border>
      <left style="medium">
        <color rgb="FF000000"/>
      </left>
      <right style="medium">
        <color rgb="FF000000"/>
      </right>
      <top/>
      <bottom style="thin">
        <color theme="0" tint="-0.249977111117893"/>
      </bottom>
      <diagonal/>
    </border>
    <border>
      <left style="medium">
        <color rgb="FF000000"/>
      </left>
      <right style="medium">
        <color theme="3"/>
      </right>
      <top style="medium">
        <color rgb="FF000000"/>
      </top>
      <bottom/>
      <diagonal/>
    </border>
    <border>
      <left style="medium">
        <color rgb="FF000000"/>
      </left>
      <right style="medium">
        <color rgb="FF000000"/>
      </right>
      <top/>
      <bottom style="thin">
        <color indexed="64"/>
      </bottom>
      <diagonal/>
    </border>
    <border>
      <left style="medium">
        <color indexed="64"/>
      </left>
      <right/>
      <top style="thin">
        <color indexed="64"/>
      </top>
      <bottom style="thin">
        <color indexed="64"/>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style="medium">
        <color rgb="FF1F497D"/>
      </left>
      <right/>
      <top style="thin">
        <color theme="0" tint="-0.24994659260841701"/>
      </top>
      <bottom/>
      <diagonal/>
    </border>
    <border>
      <left/>
      <right style="medium">
        <color rgb="FF1F497D"/>
      </right>
      <top style="thin">
        <color theme="0" tint="-0.24994659260841701"/>
      </top>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top style="medium">
        <color rgb="FF000000"/>
      </top>
      <bottom/>
      <diagonal/>
    </border>
    <border>
      <left style="medium">
        <color indexed="64"/>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style="medium">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medium">
        <color rgb="FF000000"/>
      </right>
      <top/>
      <bottom style="thin">
        <color indexed="64"/>
      </bottom>
      <diagonal/>
    </border>
    <border>
      <left style="medium">
        <color rgb="FF000000"/>
      </left>
      <right style="thin">
        <color indexed="64"/>
      </right>
      <top/>
      <bottom style="medium">
        <color rgb="FF000000"/>
      </bottom>
      <diagonal/>
    </border>
    <border>
      <left/>
      <right style="thin">
        <color indexed="64"/>
      </right>
      <top style="thin">
        <color indexed="64"/>
      </top>
      <bottom style="medium">
        <color indexed="64"/>
      </bottom>
      <diagonal/>
    </border>
    <border>
      <left style="medium">
        <color rgb="FF000000"/>
      </left>
      <right style="thin">
        <color indexed="64"/>
      </right>
      <top style="medium">
        <color rgb="FF000000"/>
      </top>
      <bottom style="medium">
        <color rgb="FF000000"/>
      </bottom>
      <diagonal/>
    </border>
    <border>
      <left style="thin">
        <color theme="0" tint="-0.249977111117893"/>
      </left>
      <right style="thin">
        <color theme="0" tint="-0.249977111117893"/>
      </right>
      <top style="thin">
        <color theme="0" tint="-0.249977111117893"/>
      </top>
      <bottom/>
      <diagonal/>
    </border>
    <border>
      <left style="medium">
        <color rgb="FF1F497D"/>
      </left>
      <right style="thin">
        <color theme="0" tint="-0.249977111117893"/>
      </right>
      <top style="medium">
        <color rgb="FF1F497D"/>
      </top>
      <bottom style="thin">
        <color theme="0" tint="-0.249977111117893"/>
      </bottom>
      <diagonal/>
    </border>
    <border>
      <left style="thin">
        <color theme="0" tint="-0.249977111117893"/>
      </left>
      <right style="thin">
        <color theme="0" tint="-0.249977111117893"/>
      </right>
      <top style="medium">
        <color rgb="FF1F497D"/>
      </top>
      <bottom style="thin">
        <color theme="0" tint="-0.249977111117893"/>
      </bottom>
      <diagonal/>
    </border>
    <border>
      <left style="thin">
        <color theme="0" tint="-0.14999847407452621"/>
      </left>
      <right style="thin">
        <color theme="0" tint="-0.14999847407452621"/>
      </right>
      <top style="medium">
        <color rgb="FF1F497D"/>
      </top>
      <bottom/>
      <diagonal/>
    </border>
    <border>
      <left style="thin">
        <color theme="0" tint="-0.249977111117893"/>
      </left>
      <right/>
      <top style="medium">
        <color rgb="FF1F497D"/>
      </top>
      <bottom/>
      <diagonal/>
    </border>
    <border>
      <left/>
      <right style="thin">
        <color theme="0" tint="-0.249977111117893"/>
      </right>
      <top style="medium">
        <color rgb="FF1F497D"/>
      </top>
      <bottom/>
      <diagonal/>
    </border>
    <border>
      <left style="thin">
        <color theme="0" tint="-0.249977111117893"/>
      </left>
      <right style="thin">
        <color theme="0" tint="-0.249977111117893"/>
      </right>
      <top style="medium">
        <color rgb="FF1F497D"/>
      </top>
      <bottom/>
      <diagonal/>
    </border>
    <border>
      <left style="thin">
        <color theme="0" tint="-0.249977111117893"/>
      </left>
      <right style="medium">
        <color rgb="FF1F497D"/>
      </right>
      <top style="medium">
        <color rgb="FF1F497D"/>
      </top>
      <bottom/>
      <diagonal/>
    </border>
    <border>
      <left style="medium">
        <color rgb="FF1F497D"/>
      </left>
      <right style="thin">
        <color theme="0" tint="-0.249977111117893"/>
      </right>
      <top style="thin">
        <color theme="0" tint="-0.249977111117893"/>
      </top>
      <bottom style="thin">
        <color theme="0" tint="-0.249977111117893"/>
      </bottom>
      <diagonal/>
    </border>
    <border>
      <left style="thin">
        <color theme="0" tint="-0.249977111117893"/>
      </left>
      <right style="medium">
        <color rgb="FF1F497D"/>
      </right>
      <top style="thin">
        <color theme="0" tint="-0.249977111117893"/>
      </top>
      <bottom style="thin">
        <color theme="0" tint="-0.249977111117893"/>
      </bottom>
      <diagonal/>
    </border>
    <border>
      <left/>
      <right style="medium">
        <color rgb="FF1F497D"/>
      </right>
      <top style="thin">
        <color theme="0" tint="-0.249977111117893"/>
      </top>
      <bottom style="thin">
        <color theme="0" tint="-0.249977111117893"/>
      </bottom>
      <diagonal/>
    </border>
    <border>
      <left/>
      <right style="medium">
        <color rgb="FF1F497D"/>
      </right>
      <top/>
      <bottom style="thin">
        <color theme="0" tint="-0.249977111117893"/>
      </bottom>
      <diagonal/>
    </border>
    <border>
      <left/>
      <right/>
      <top style="medium">
        <color rgb="FFE5EBF4"/>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medium">
        <color rgb="FF000000"/>
      </bottom>
      <diagonal/>
    </border>
    <border>
      <left style="medium">
        <color rgb="FF000000"/>
      </left>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right style="thin">
        <color rgb="FF000000"/>
      </right>
      <top style="thin">
        <color indexed="64"/>
      </top>
      <bottom style="thin">
        <color indexed="64"/>
      </bottom>
      <diagonal/>
    </border>
    <border>
      <left style="thin">
        <color indexed="64"/>
      </left>
      <right style="thin">
        <color theme="0" tint="-0.14996795556505021"/>
      </right>
      <top style="thin">
        <color indexed="64"/>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medium">
        <color theme="3"/>
      </left>
      <right style="thin">
        <color rgb="FF1F497D"/>
      </right>
      <top style="medium">
        <color rgb="FF1F497D"/>
      </top>
      <bottom style="thin">
        <color rgb="FF1F497D"/>
      </bottom>
      <diagonal/>
    </border>
    <border>
      <left style="thin">
        <color rgb="FF1F497D"/>
      </left>
      <right style="medium">
        <color theme="3"/>
      </right>
      <top style="medium">
        <color rgb="FF1F497D"/>
      </top>
      <bottom style="thin">
        <color rgb="FF1F497D"/>
      </bottom>
      <diagonal/>
    </border>
    <border>
      <left style="medium">
        <color theme="3"/>
      </left>
      <right style="thin">
        <color rgb="FF1F497D"/>
      </right>
      <top/>
      <bottom style="medium">
        <color theme="3"/>
      </bottom>
      <diagonal/>
    </border>
    <border>
      <left style="thin">
        <color rgb="FF1F497D"/>
      </left>
      <right style="thin">
        <color rgb="FF1F497D"/>
      </right>
      <top/>
      <bottom style="medium">
        <color theme="3"/>
      </bottom>
      <diagonal/>
    </border>
    <border>
      <left style="thin">
        <color rgb="FF1F497D"/>
      </left>
      <right style="medium">
        <color theme="3"/>
      </right>
      <top/>
      <bottom style="medium">
        <color theme="3"/>
      </bottom>
      <diagonal/>
    </border>
    <border>
      <left/>
      <right/>
      <top/>
      <bottom style="medium">
        <color theme="3"/>
      </bottom>
      <diagonal/>
    </border>
    <border>
      <left style="medium">
        <color rgb="FF1F497D"/>
      </left>
      <right/>
      <top/>
      <bottom style="medium">
        <color theme="3"/>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medium">
        <color theme="3"/>
      </left>
      <right/>
      <top style="medium">
        <color theme="3"/>
      </top>
      <bottom style="medium">
        <color rgb="FF1F497D"/>
      </bottom>
      <diagonal/>
    </border>
    <border>
      <left/>
      <right/>
      <top style="medium">
        <color theme="3"/>
      </top>
      <bottom style="medium">
        <color rgb="FF1F497D"/>
      </bottom>
      <diagonal/>
    </border>
    <border>
      <left/>
      <right style="medium">
        <color theme="3"/>
      </right>
      <top style="medium">
        <color theme="3"/>
      </top>
      <bottom style="medium">
        <color rgb="FF1F497D"/>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dashed">
        <color rgb="FF000000"/>
      </top>
      <bottom style="dashed">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medium">
        <color rgb="FF000000"/>
      </right>
      <top style="dashed">
        <color rgb="FF000000"/>
      </top>
      <bottom style="dashed">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dashed">
        <color rgb="FF000000"/>
      </top>
      <bottom style="dashed">
        <color rgb="FF000000"/>
      </bottom>
      <diagonal/>
    </border>
    <border>
      <left style="medium">
        <color rgb="FF000000"/>
      </left>
      <right style="medium">
        <color rgb="FF000000"/>
      </right>
      <top/>
      <bottom style="medium">
        <color rgb="FF000000"/>
      </bottom>
      <diagonal/>
    </border>
    <border>
      <left/>
      <right/>
      <top style="medium">
        <color theme="0" tint="-0.24994659260841701"/>
      </top>
      <bottom style="medium">
        <color rgb="FF002060"/>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right/>
      <top style="thin">
        <color theme="0" tint="-0.249977111117893"/>
      </top>
      <bottom/>
      <diagonal/>
    </border>
    <border>
      <left style="medium">
        <color theme="3"/>
      </left>
      <right/>
      <top/>
      <bottom style="medium">
        <color rgb="FF1F497D"/>
      </bottom>
      <diagonal/>
    </border>
    <border>
      <left style="medium">
        <color theme="3"/>
      </left>
      <right/>
      <top style="thin">
        <color theme="0" tint="-0.24994659260841701"/>
      </top>
      <bottom style="medium">
        <color theme="0" tint="-0.34998626667073579"/>
      </bottom>
      <diagonal/>
    </border>
    <border>
      <left/>
      <right style="medium">
        <color rgb="FF1F497D"/>
      </right>
      <top style="thin">
        <color theme="0" tint="-0.24994659260841701"/>
      </top>
      <bottom style="medium">
        <color theme="0" tint="-0.34998626667073579"/>
      </bottom>
      <diagonal/>
    </border>
    <border>
      <left style="medium">
        <color rgb="FF1F497D"/>
      </left>
      <right style="thin">
        <color theme="0" tint="-0.34998626667073579"/>
      </right>
      <top style="medium">
        <color rgb="FF1F497D"/>
      </top>
      <bottom style="thin">
        <color theme="0" tint="-0.34998626667073579"/>
      </bottom>
      <diagonal/>
    </border>
    <border>
      <left style="thin">
        <color theme="0" tint="-0.34998626667073579"/>
      </left>
      <right style="thin">
        <color theme="0" tint="-0.34998626667073579"/>
      </right>
      <top style="medium">
        <color rgb="FF1F497D"/>
      </top>
      <bottom style="thin">
        <color theme="0" tint="-0.34998626667073579"/>
      </bottom>
      <diagonal/>
    </border>
    <border>
      <left style="thin">
        <color theme="0" tint="-0.34998626667073579"/>
      </left>
      <right style="medium">
        <color rgb="FF1F497D"/>
      </right>
      <top style="medium">
        <color rgb="FF1F497D"/>
      </top>
      <bottom style="thin">
        <color theme="0" tint="-0.34998626667073579"/>
      </bottom>
      <diagonal/>
    </border>
    <border>
      <left style="medium">
        <color rgb="FF1F497D"/>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rgb="FF1F497D"/>
      </right>
      <top style="thin">
        <color theme="0" tint="-0.34998626667073579"/>
      </top>
      <bottom style="thin">
        <color theme="0" tint="-0.34998626667073579"/>
      </bottom>
      <diagonal/>
    </border>
    <border>
      <left style="medium">
        <color rgb="FF1F497D"/>
      </left>
      <right style="thin">
        <color theme="0" tint="-0.34998626667073579"/>
      </right>
      <top style="thin">
        <color theme="0" tint="-0.34998626667073579"/>
      </top>
      <bottom style="medium">
        <color rgb="FF1F497D"/>
      </bottom>
      <diagonal/>
    </border>
    <border>
      <left style="thin">
        <color theme="0" tint="-0.34998626667073579"/>
      </left>
      <right style="thin">
        <color theme="0" tint="-0.34998626667073579"/>
      </right>
      <top style="thin">
        <color theme="0" tint="-0.34998626667073579"/>
      </top>
      <bottom style="medium">
        <color rgb="FF1F497D"/>
      </bottom>
      <diagonal/>
    </border>
    <border>
      <left style="thin">
        <color theme="0" tint="-0.34998626667073579"/>
      </left>
      <right style="medium">
        <color rgb="FF1F497D"/>
      </right>
      <top style="thin">
        <color theme="0" tint="-0.34998626667073579"/>
      </top>
      <bottom style="medium">
        <color rgb="FF1F497D"/>
      </bottom>
      <diagonal/>
    </border>
    <border>
      <left/>
      <right style="medium">
        <color rgb="FF1F497D"/>
      </right>
      <top style="medium">
        <color theme="0" tint="-0.24994659260841701"/>
      </top>
      <bottom style="medium">
        <color rgb="FF002060"/>
      </bottom>
      <diagonal/>
    </border>
    <border>
      <left/>
      <right/>
      <top style="thin">
        <color rgb="FF1F497D"/>
      </top>
      <bottom style="thin">
        <color rgb="FF1F497D"/>
      </bottom>
      <diagonal/>
    </border>
    <border>
      <left style="medium">
        <color rgb="FF1F497D"/>
      </left>
      <right style="medium">
        <color theme="3"/>
      </right>
      <top style="medium">
        <color rgb="FF1F497D"/>
      </top>
      <bottom style="medium">
        <color rgb="FF1F497D"/>
      </bottom>
      <diagonal/>
    </border>
    <border>
      <left/>
      <right/>
      <top style="medium">
        <color indexed="64"/>
      </top>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right style="thin">
        <color theme="0" tint="-0.249977111117893"/>
      </right>
      <top/>
      <bottom/>
      <diagonal/>
    </border>
    <border>
      <left style="thin">
        <color theme="0" tint="-0.249977111117893"/>
      </left>
      <right/>
      <top style="thin">
        <color theme="0" tint="-0.249977111117893"/>
      </top>
      <bottom/>
      <diagonal/>
    </border>
    <border>
      <left style="thin">
        <color theme="0" tint="-0.24994659260841701"/>
      </left>
      <right style="medium">
        <color rgb="FF1F497D"/>
      </right>
      <top style="thin">
        <color theme="0" tint="-0.24994659260841701"/>
      </top>
      <bottom style="thin">
        <color theme="0" tint="-0.24994659260841701"/>
      </bottom>
      <diagonal/>
    </border>
    <border>
      <left/>
      <right style="thin">
        <color rgb="FF000000"/>
      </right>
      <top/>
      <bottom style="thin">
        <color indexed="64"/>
      </bottom>
      <diagonal/>
    </border>
  </borders>
  <cellStyleXfs count="52">
    <xf numFmtId="0" fontId="0" fillId="0" borderId="0"/>
    <xf numFmtId="0" fontId="17" fillId="2" borderId="1" applyNumberFormat="0" applyProtection="0">
      <alignment horizontal="left" vertical="center" readingOrder="1"/>
    </xf>
    <xf numFmtId="0" fontId="18" fillId="2" borderId="2">
      <alignment horizontal="left"/>
    </xf>
    <xf numFmtId="0" fontId="18" fillId="2" borderId="3">
      <alignment horizontal="right"/>
    </xf>
    <xf numFmtId="0" fontId="18" fillId="2" borderId="3">
      <alignment horizontal="left"/>
    </xf>
    <xf numFmtId="3" fontId="19" fillId="3" borderId="4">
      <alignment horizontal="right"/>
    </xf>
    <xf numFmtId="170" fontId="12" fillId="3" borderId="4">
      <alignment horizontal="right"/>
    </xf>
    <xf numFmtId="4" fontId="12" fillId="3" borderId="4">
      <alignment horizontal="right"/>
    </xf>
    <xf numFmtId="0" fontId="21" fillId="4" borderId="5" applyNumberFormat="0" applyAlignment="0" applyProtection="0"/>
    <xf numFmtId="0" fontId="19" fillId="3" borderId="6"/>
    <xf numFmtId="0" fontId="20" fillId="3" borderId="6"/>
    <xf numFmtId="0" fontId="11" fillId="0" borderId="0" applyNumberFormat="0" applyFill="0" applyBorder="0" applyAlignment="0" applyProtection="0">
      <alignment vertical="top"/>
      <protection locked="0"/>
    </xf>
    <xf numFmtId="165" fontId="23" fillId="0" borderId="0" applyFont="0" applyFill="0" applyBorder="0" applyAlignment="0" applyProtection="0"/>
    <xf numFmtId="165" fontId="13" fillId="0" borderId="0" applyFont="0" applyFill="0" applyBorder="0" applyAlignment="0" applyProtection="0"/>
    <xf numFmtId="0" fontId="25" fillId="0" borderId="0"/>
    <xf numFmtId="0" fontId="13" fillId="0" borderId="0"/>
    <xf numFmtId="9" fontId="9" fillId="0" borderId="0" applyFont="0" applyFill="0" applyBorder="0" applyAlignment="0" applyProtection="0"/>
    <xf numFmtId="9" fontId="23" fillId="0" borderId="0" applyFont="0" applyFill="0" applyBorder="0" applyAlignment="0" applyProtection="0"/>
    <xf numFmtId="9" fontId="13" fillId="0" borderId="0" applyFont="0" applyFill="0" applyBorder="0" applyAlignment="0" applyProtection="0"/>
    <xf numFmtId="9" fontId="25" fillId="0" borderId="0" applyFont="0" applyFill="0" applyBorder="0" applyAlignment="0" applyProtection="0"/>
    <xf numFmtId="0" fontId="8" fillId="0" borderId="0"/>
    <xf numFmtId="0" fontId="8"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7" fillId="0" borderId="0"/>
    <xf numFmtId="9" fontId="7" fillId="0" borderId="0" applyFont="0" applyFill="0" applyBorder="0" applyAlignment="0" applyProtection="0"/>
    <xf numFmtId="0" fontId="6" fillId="0" borderId="0"/>
    <xf numFmtId="0" fontId="5" fillId="0" borderId="0"/>
    <xf numFmtId="9" fontId="5" fillId="0" borderId="0" applyFont="0" applyFill="0" applyBorder="0" applyAlignment="0" applyProtection="0"/>
    <xf numFmtId="9" fontId="4" fillId="0" borderId="0" applyFont="0" applyFill="0" applyBorder="0" applyAlignment="0" applyProtection="0"/>
    <xf numFmtId="0" fontId="3" fillId="0" borderId="0"/>
    <xf numFmtId="43" fontId="82"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0" fontId="97" fillId="0" borderId="0" applyNumberForma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cellStyleXfs>
  <cellXfs count="1525">
    <xf numFmtId="0" fontId="0" fillId="0" borderId="0" xfId="0"/>
    <xf numFmtId="9" fontId="0" fillId="0" borderId="0" xfId="16" applyFont="1" applyAlignment="1">
      <alignment horizontal="center"/>
    </xf>
    <xf numFmtId="0" fontId="0" fillId="0" borderId="0" xfId="0" applyAlignment="1">
      <alignment horizontal="center"/>
    </xf>
    <xf numFmtId="167" fontId="0" fillId="0" borderId="0" xfId="0" applyNumberFormat="1"/>
    <xf numFmtId="10" fontId="0" fillId="0" borderId="0" xfId="0" applyNumberFormat="1" applyAlignment="1">
      <alignment horizontal="center"/>
    </xf>
    <xf numFmtId="168" fontId="0" fillId="0" borderId="0" xfId="0" applyNumberFormat="1" applyAlignment="1">
      <alignment horizontal="center"/>
    </xf>
    <xf numFmtId="0" fontId="14" fillId="0" borderId="0" xfId="0" applyFont="1" applyAlignment="1">
      <alignment horizontal="center"/>
    </xf>
    <xf numFmtId="0" fontId="27" fillId="0" borderId="0" xfId="0" applyFont="1"/>
    <xf numFmtId="0" fontId="16" fillId="0" borderId="17" xfId="0" applyFont="1" applyBorder="1"/>
    <xf numFmtId="0" fontId="24" fillId="0" borderId="0" xfId="0" applyFont="1"/>
    <xf numFmtId="0" fontId="9" fillId="0" borderId="0" xfId="0" applyFont="1"/>
    <xf numFmtId="0" fontId="9" fillId="0" borderId="17" xfId="0" applyFont="1" applyBorder="1"/>
    <xf numFmtId="0" fontId="9" fillId="0" borderId="17" xfId="0" applyFont="1" applyBorder="1" applyAlignment="1">
      <alignment horizontal="left"/>
    </xf>
    <xf numFmtId="0" fontId="14" fillId="0" borderId="0" xfId="0" applyFont="1"/>
    <xf numFmtId="167" fontId="14" fillId="0" borderId="0" xfId="0" applyNumberFormat="1" applyFont="1" applyAlignment="1">
      <alignment horizontal="center"/>
    </xf>
    <xf numFmtId="9" fontId="14" fillId="0" borderId="0" xfId="16" applyFont="1"/>
    <xf numFmtId="9" fontId="9" fillId="8" borderId="17" xfId="16" applyFont="1" applyFill="1" applyBorder="1" applyAlignment="1">
      <alignment horizontal="center"/>
    </xf>
    <xf numFmtId="0" fontId="27" fillId="8" borderId="0" xfId="0" applyFont="1" applyFill="1"/>
    <xf numFmtId="0" fontId="34" fillId="0" borderId="0" xfId="0" applyFont="1"/>
    <xf numFmtId="0" fontId="27" fillId="8" borderId="0" xfId="0" applyFont="1" applyFill="1" applyAlignment="1">
      <alignment horizontal="center"/>
    </xf>
    <xf numFmtId="0" fontId="36" fillId="0" borderId="0" xfId="0" applyFont="1"/>
    <xf numFmtId="0" fontId="36" fillId="12" borderId="0" xfId="0" applyFont="1" applyFill="1"/>
    <xf numFmtId="3" fontId="36" fillId="0" borderId="0" xfId="0" applyNumberFormat="1" applyFont="1" applyAlignment="1">
      <alignment horizontal="center"/>
    </xf>
    <xf numFmtId="0" fontId="36" fillId="0" borderId="0" xfId="0" applyFont="1" applyAlignment="1">
      <alignment horizontal="left"/>
    </xf>
    <xf numFmtId="0" fontId="36" fillId="19" borderId="0" xfId="0" applyFont="1" applyFill="1"/>
    <xf numFmtId="3" fontId="36" fillId="19" borderId="0" xfId="0" applyNumberFormat="1" applyFont="1" applyFill="1" applyAlignment="1">
      <alignment horizontal="center"/>
    </xf>
    <xf numFmtId="0" fontId="0" fillId="12" borderId="0" xfId="0" applyFill="1"/>
    <xf numFmtId="3" fontId="36" fillId="0" borderId="0" xfId="0" applyNumberFormat="1" applyFont="1"/>
    <xf numFmtId="3" fontId="37" fillId="19" borderId="0" xfId="0" applyNumberFormat="1" applyFont="1" applyFill="1" applyAlignment="1">
      <alignment horizontal="center"/>
    </xf>
    <xf numFmtId="3" fontId="36" fillId="12" borderId="0" xfId="0" applyNumberFormat="1" applyFont="1" applyFill="1" applyAlignment="1">
      <alignment horizontal="center"/>
    </xf>
    <xf numFmtId="3" fontId="37" fillId="12" borderId="0" xfId="0" applyNumberFormat="1" applyFont="1" applyFill="1" applyAlignment="1">
      <alignment horizontal="center"/>
    </xf>
    <xf numFmtId="0" fontId="20" fillId="3" borderId="6" xfId="10"/>
    <xf numFmtId="0" fontId="0" fillId="20" borderId="0" xfId="0" applyFill="1"/>
    <xf numFmtId="3" fontId="24" fillId="0" borderId="0" xfId="0" applyNumberFormat="1" applyFont="1" applyAlignment="1">
      <alignment horizontal="center"/>
    </xf>
    <xf numFmtId="3" fontId="24" fillId="0" borderId="0" xfId="0" applyNumberFormat="1" applyFont="1"/>
    <xf numFmtId="0" fontId="0" fillId="21" borderId="0" xfId="0" applyFill="1"/>
    <xf numFmtId="3" fontId="24" fillId="19" borderId="0" xfId="0" applyNumberFormat="1" applyFont="1" applyFill="1" applyAlignment="1">
      <alignment horizontal="center"/>
    </xf>
    <xf numFmtId="0" fontId="24" fillId="19" borderId="0" xfId="0" applyFont="1" applyFill="1"/>
    <xf numFmtId="0" fontId="0" fillId="22" borderId="0" xfId="0" applyFill="1"/>
    <xf numFmtId="170" fontId="36" fillId="0" borderId="0" xfId="0" applyNumberFormat="1" applyFont="1" applyAlignment="1">
      <alignment horizontal="center"/>
    </xf>
    <xf numFmtId="9" fontId="0" fillId="8" borderId="17" xfId="16" applyFont="1" applyFill="1" applyBorder="1" applyAlignment="1">
      <alignment horizontal="center"/>
    </xf>
    <xf numFmtId="0" fontId="39" fillId="0" borderId="0" xfId="0" applyFont="1"/>
    <xf numFmtId="0" fontId="40" fillId="0" borderId="0" xfId="0" applyFont="1"/>
    <xf numFmtId="0" fontId="41" fillId="0" borderId="0" xfId="0" applyFont="1" applyAlignment="1">
      <alignment horizontal="center"/>
    </xf>
    <xf numFmtId="169" fontId="40" fillId="0" borderId="0" xfId="0" applyNumberFormat="1" applyFont="1" applyAlignment="1">
      <alignment horizontal="center"/>
    </xf>
    <xf numFmtId="0" fontId="42" fillId="0" borderId="0" xfId="0" applyFont="1"/>
    <xf numFmtId="0" fontId="43" fillId="0" borderId="0" xfId="0" applyFont="1"/>
    <xf numFmtId="0" fontId="0" fillId="0" borderId="12" xfId="0" applyBorder="1"/>
    <xf numFmtId="0" fontId="24" fillId="0" borderId="0" xfId="0" applyFont="1" applyAlignment="1">
      <alignment horizontal="center"/>
    </xf>
    <xf numFmtId="0" fontId="40" fillId="0" borderId="0" xfId="0" applyFont="1" applyAlignment="1">
      <alignment horizontal="center"/>
    </xf>
    <xf numFmtId="3" fontId="39" fillId="0" borderId="0" xfId="0" applyNumberFormat="1" applyFont="1"/>
    <xf numFmtId="0" fontId="41" fillId="17" borderId="0" xfId="0" applyFont="1" applyFill="1" applyAlignment="1">
      <alignment horizontal="center"/>
    </xf>
    <xf numFmtId="3" fontId="0" fillId="25" borderId="1" xfId="0" applyNumberFormat="1" applyFill="1" applyBorder="1" applyAlignment="1">
      <alignment horizontal="center"/>
    </xf>
    <xf numFmtId="3" fontId="0" fillId="25" borderId="38" xfId="0" applyNumberFormat="1" applyFill="1" applyBorder="1" applyAlignment="1">
      <alignment horizontal="center"/>
    </xf>
    <xf numFmtId="168" fontId="14" fillId="26" borderId="1" xfId="16" applyNumberFormat="1" applyFont="1" applyFill="1" applyBorder="1" applyAlignment="1">
      <alignment horizontal="center"/>
    </xf>
    <xf numFmtId="168" fontId="14" fillId="26" borderId="38" xfId="16" applyNumberFormat="1" applyFont="1" applyFill="1" applyBorder="1" applyAlignment="1">
      <alignment horizontal="center"/>
    </xf>
    <xf numFmtId="3" fontId="0" fillId="25" borderId="1" xfId="16" applyNumberFormat="1" applyFont="1" applyFill="1" applyBorder="1" applyAlignment="1">
      <alignment horizontal="center"/>
    </xf>
    <xf numFmtId="3" fontId="0" fillId="25" borderId="38" xfId="16" applyNumberFormat="1" applyFont="1" applyFill="1" applyBorder="1" applyAlignment="1">
      <alignment horizontal="center"/>
    </xf>
    <xf numFmtId="3" fontId="14" fillId="27" borderId="1" xfId="16" applyNumberFormat="1" applyFont="1" applyFill="1" applyBorder="1" applyAlignment="1">
      <alignment horizontal="center"/>
    </xf>
    <xf numFmtId="3" fontId="0" fillId="0" borderId="0" xfId="0" applyNumberFormat="1" applyAlignment="1">
      <alignment horizontal="center"/>
    </xf>
    <xf numFmtId="169" fontId="0" fillId="0" borderId="0" xfId="0" applyNumberFormat="1" applyAlignment="1">
      <alignment horizontal="center"/>
    </xf>
    <xf numFmtId="170" fontId="36" fillId="19" borderId="0" xfId="0" applyNumberFormat="1" applyFont="1" applyFill="1" applyAlignment="1">
      <alignment horizontal="center"/>
    </xf>
    <xf numFmtId="0" fontId="36" fillId="19" borderId="0" xfId="0" applyFont="1" applyFill="1" applyAlignment="1">
      <alignment horizontal="center"/>
    </xf>
    <xf numFmtId="168" fontId="36" fillId="19" borderId="0" xfId="0" applyNumberFormat="1" applyFont="1" applyFill="1" applyAlignment="1">
      <alignment horizontal="center"/>
    </xf>
    <xf numFmtId="9" fontId="36" fillId="0" borderId="0" xfId="16" applyFont="1" applyFill="1" applyAlignment="1">
      <alignment horizontal="center"/>
    </xf>
    <xf numFmtId="168" fontId="36" fillId="0" borderId="0" xfId="16" applyNumberFormat="1" applyFont="1" applyFill="1" applyAlignment="1">
      <alignment horizontal="center"/>
    </xf>
    <xf numFmtId="9" fontId="36" fillId="0" borderId="0" xfId="22" applyFont="1" applyFill="1" applyAlignment="1">
      <alignment horizontal="center"/>
    </xf>
    <xf numFmtId="168" fontId="34" fillId="24" borderId="17" xfId="16" applyNumberFormat="1" applyFont="1" applyFill="1" applyBorder="1" applyAlignment="1">
      <alignment horizontal="center"/>
    </xf>
    <xf numFmtId="0" fontId="14" fillId="0" borderId="31" xfId="0" applyFont="1" applyBorder="1"/>
    <xf numFmtId="0" fontId="18" fillId="5" borderId="8" xfId="4" applyFill="1" applyBorder="1" applyAlignment="1"/>
    <xf numFmtId="0" fontId="9" fillId="0" borderId="0" xfId="26"/>
    <xf numFmtId="0" fontId="28" fillId="5" borderId="7" xfId="26" applyFont="1" applyFill="1" applyBorder="1" applyAlignment="1">
      <alignment horizontal="center"/>
    </xf>
    <xf numFmtId="0" fontId="28" fillId="5" borderId="11" xfId="26" applyFont="1" applyFill="1" applyBorder="1" applyAlignment="1">
      <alignment horizontal="center"/>
    </xf>
    <xf numFmtId="0" fontId="30" fillId="3" borderId="10" xfId="10" applyFont="1" applyBorder="1"/>
    <xf numFmtId="0" fontId="9" fillId="0" borderId="0" xfId="26" applyAlignment="1">
      <alignment vertical="center"/>
    </xf>
    <xf numFmtId="0" fontId="30" fillId="3" borderId="13" xfId="10" applyFont="1" applyBorder="1"/>
    <xf numFmtId="0" fontId="30" fillId="0" borderId="10" xfId="10" applyFont="1" applyFill="1" applyBorder="1"/>
    <xf numFmtId="0" fontId="21" fillId="0" borderId="0" xfId="8" applyFill="1" applyBorder="1"/>
    <xf numFmtId="9" fontId="9" fillId="0" borderId="0" xfId="28" applyFont="1"/>
    <xf numFmtId="0" fontId="31" fillId="0" borderId="0" xfId="11" applyFont="1" applyAlignment="1" applyProtection="1"/>
    <xf numFmtId="0" fontId="28" fillId="29" borderId="0" xfId="26" applyFont="1" applyFill="1" applyAlignment="1">
      <alignment horizontal="center" vertical="center"/>
    </xf>
    <xf numFmtId="0" fontId="29" fillId="0" borderId="9" xfId="9" applyFont="1" applyFill="1" applyBorder="1"/>
    <xf numFmtId="0" fontId="20" fillId="3" borderId="13" xfId="10" applyBorder="1"/>
    <xf numFmtId="0" fontId="20" fillId="3" borderId="10" xfId="10" applyBorder="1"/>
    <xf numFmtId="0" fontId="27" fillId="0" borderId="0" xfId="26" applyFont="1"/>
    <xf numFmtId="0" fontId="14" fillId="0" borderId="26" xfId="0" applyFont="1" applyBorder="1"/>
    <xf numFmtId="0" fontId="14" fillId="0" borderId="32" xfId="0" applyFont="1" applyBorder="1"/>
    <xf numFmtId="0" fontId="0" fillId="0" borderId="4" xfId="0" applyBorder="1"/>
    <xf numFmtId="0" fontId="0" fillId="0" borderId="6" xfId="0" applyBorder="1"/>
    <xf numFmtId="0" fontId="0" fillId="0" borderId="30" xfId="0" applyBorder="1"/>
    <xf numFmtId="0" fontId="0" fillId="0" borderId="2" xfId="0" applyBorder="1"/>
    <xf numFmtId="0" fontId="0" fillId="0" borderId="31" xfId="0" applyBorder="1"/>
    <xf numFmtId="0" fontId="0" fillId="0" borderId="26" xfId="0" applyBorder="1"/>
    <xf numFmtId="0" fontId="0" fillId="0" borderId="32" xfId="0" applyBorder="1"/>
    <xf numFmtId="0" fontId="14" fillId="0" borderId="37" xfId="0" applyFont="1" applyBorder="1"/>
    <xf numFmtId="0" fontId="14" fillId="0" borderId="1" xfId="0" applyFont="1" applyBorder="1"/>
    <xf numFmtId="0" fontId="14" fillId="0" borderId="38" xfId="0" applyFont="1" applyBorder="1"/>
    <xf numFmtId="0" fontId="0" fillId="8" borderId="0" xfId="0" applyFill="1"/>
    <xf numFmtId="0" fontId="36" fillId="19" borderId="0" xfId="0" applyFont="1" applyFill="1" applyAlignment="1">
      <alignment horizontal="left" indent="1"/>
    </xf>
    <xf numFmtId="170" fontId="36" fillId="19" borderId="0" xfId="0" applyNumberFormat="1" applyFont="1" applyFill="1" applyAlignment="1">
      <alignment horizontal="left" indent="1"/>
    </xf>
    <xf numFmtId="0" fontId="36" fillId="30" borderId="0" xfId="0" applyFont="1" applyFill="1" applyAlignment="1">
      <alignment horizontal="left" indent="1"/>
    </xf>
    <xf numFmtId="0" fontId="24" fillId="0" borderId="0" xfId="0" applyFont="1" applyAlignment="1">
      <alignment horizontal="left"/>
    </xf>
    <xf numFmtId="0" fontId="28" fillId="32" borderId="22" xfId="0" applyFont="1" applyFill="1" applyBorder="1" applyAlignment="1">
      <alignment horizontal="center"/>
    </xf>
    <xf numFmtId="0" fontId="28" fillId="32" borderId="19" xfId="0" applyFont="1" applyFill="1" applyBorder="1" applyAlignment="1">
      <alignment horizontal="center"/>
    </xf>
    <xf numFmtId="9" fontId="34" fillId="8" borderId="45" xfId="16" applyFont="1" applyFill="1" applyBorder="1" applyAlignment="1">
      <alignment horizontal="center"/>
    </xf>
    <xf numFmtId="9" fontId="9" fillId="8" borderId="45" xfId="16" applyFont="1" applyFill="1" applyBorder="1" applyAlignment="1">
      <alignment horizontal="center"/>
    </xf>
    <xf numFmtId="0" fontId="14" fillId="0" borderId="45" xfId="0" applyFont="1" applyBorder="1" applyAlignment="1">
      <alignment horizontal="center"/>
    </xf>
    <xf numFmtId="168" fontId="34" fillId="24" borderId="45" xfId="16" applyNumberFormat="1" applyFont="1" applyFill="1" applyBorder="1" applyAlignment="1">
      <alignment horizontal="center"/>
    </xf>
    <xf numFmtId="0" fontId="28" fillId="32" borderId="45" xfId="0" applyFont="1" applyFill="1" applyBorder="1" applyAlignment="1">
      <alignment horizontal="center"/>
    </xf>
    <xf numFmtId="3" fontId="9" fillId="0" borderId="0" xfId="0" applyNumberFormat="1" applyFont="1"/>
    <xf numFmtId="0" fontId="9" fillId="17" borderId="37" xfId="0" applyFont="1" applyFill="1" applyBorder="1"/>
    <xf numFmtId="0" fontId="9" fillId="0" borderId="37" xfId="0" applyFont="1" applyBorder="1" applyAlignment="1">
      <alignment horizontal="left" indent="1"/>
    </xf>
    <xf numFmtId="0" fontId="9" fillId="0" borderId="37" xfId="0" applyFont="1" applyBorder="1" applyAlignment="1">
      <alignment horizontal="left"/>
    </xf>
    <xf numFmtId="0" fontId="9" fillId="17" borderId="37" xfId="0" applyFont="1" applyFill="1" applyBorder="1" applyAlignment="1">
      <alignment horizontal="left" indent="1"/>
    </xf>
    <xf numFmtId="0" fontId="14" fillId="0" borderId="37" xfId="0" applyFont="1" applyBorder="1" applyAlignment="1">
      <alignment horizontal="left"/>
    </xf>
    <xf numFmtId="0" fontId="14" fillId="17" borderId="37" xfId="0" applyFont="1" applyFill="1" applyBorder="1"/>
    <xf numFmtId="0" fontId="9" fillId="0" borderId="37" xfId="0" applyFont="1" applyBorder="1"/>
    <xf numFmtId="9" fontId="9" fillId="24" borderId="17" xfId="16" applyFont="1" applyFill="1" applyBorder="1" applyAlignment="1">
      <alignment horizontal="center"/>
    </xf>
    <xf numFmtId="167" fontId="9" fillId="7" borderId="17" xfId="0" applyNumberFormat="1" applyFont="1" applyFill="1" applyBorder="1" applyAlignment="1">
      <alignment horizontal="center"/>
    </xf>
    <xf numFmtId="4" fontId="9" fillId="7" borderId="17" xfId="0" applyNumberFormat="1" applyFont="1" applyFill="1" applyBorder="1" applyAlignment="1">
      <alignment horizontal="center"/>
    </xf>
    <xf numFmtId="9" fontId="34" fillId="7" borderId="45" xfId="16" applyFont="1" applyFill="1" applyBorder="1" applyAlignment="1">
      <alignment horizontal="center"/>
    </xf>
    <xf numFmtId="0" fontId="9" fillId="7" borderId="17" xfId="0" applyFont="1" applyFill="1" applyBorder="1"/>
    <xf numFmtId="9" fontId="9" fillId="7" borderId="17" xfId="16" applyFont="1" applyFill="1" applyBorder="1" applyAlignment="1">
      <alignment horizontal="center"/>
    </xf>
    <xf numFmtId="168" fontId="9" fillId="7" borderId="17" xfId="16" applyNumberFormat="1" applyFont="1" applyFill="1" applyBorder="1" applyAlignment="1">
      <alignment horizontal="center"/>
    </xf>
    <xf numFmtId="9" fontId="9" fillId="7" borderId="17" xfId="16" applyFont="1" applyFill="1" applyBorder="1"/>
    <xf numFmtId="0" fontId="49" fillId="32" borderId="45" xfId="0" applyFont="1" applyFill="1" applyBorder="1" applyAlignment="1">
      <alignment horizontal="center"/>
    </xf>
    <xf numFmtId="0" fontId="50" fillId="32" borderId="45" xfId="0" applyFont="1" applyFill="1" applyBorder="1" applyAlignment="1">
      <alignment horizontal="center"/>
    </xf>
    <xf numFmtId="0" fontId="14" fillId="14" borderId="12" xfId="0" applyFont="1" applyFill="1" applyBorder="1" applyAlignment="1">
      <alignment horizontal="center"/>
    </xf>
    <xf numFmtId="0" fontId="0" fillId="0" borderId="43" xfId="0" applyBorder="1"/>
    <xf numFmtId="0" fontId="0" fillId="0" borderId="58" xfId="0" applyBorder="1"/>
    <xf numFmtId="0" fontId="14" fillId="0" borderId="74" xfId="0" applyFont="1" applyBorder="1" applyAlignment="1">
      <alignment horizontal="left"/>
    </xf>
    <xf numFmtId="0" fontId="14" fillId="0" borderId="75" xfId="0" applyFont="1" applyBorder="1" applyAlignment="1">
      <alignment horizontal="left"/>
    </xf>
    <xf numFmtId="9" fontId="0" fillId="0" borderId="75" xfId="16" applyFont="1" applyBorder="1"/>
    <xf numFmtId="9" fontId="0" fillId="0" borderId="76" xfId="16" applyFont="1" applyBorder="1"/>
    <xf numFmtId="9" fontId="0" fillId="0" borderId="54" xfId="0" applyNumberFormat="1" applyBorder="1"/>
    <xf numFmtId="167" fontId="0" fillId="0" borderId="70" xfId="0" applyNumberFormat="1" applyBorder="1" applyAlignment="1">
      <alignment horizontal="center"/>
    </xf>
    <xf numFmtId="167" fontId="0" fillId="0" borderId="72" xfId="0" applyNumberFormat="1" applyBorder="1" applyAlignment="1">
      <alignment horizontal="center"/>
    </xf>
    <xf numFmtId="0" fontId="0" fillId="33" borderId="77" xfId="0" applyFill="1" applyBorder="1"/>
    <xf numFmtId="0" fontId="0" fillId="33" borderId="78" xfId="0" applyFill="1" applyBorder="1"/>
    <xf numFmtId="10" fontId="0" fillId="33" borderId="78" xfId="0" applyNumberFormat="1" applyFill="1" applyBorder="1"/>
    <xf numFmtId="0" fontId="14" fillId="8" borderId="33" xfId="0" applyFont="1" applyFill="1" applyBorder="1" applyAlignment="1">
      <alignment horizontal="center"/>
    </xf>
    <xf numFmtId="9" fontId="0" fillId="0" borderId="80" xfId="16" applyFont="1" applyBorder="1"/>
    <xf numFmtId="0" fontId="14" fillId="0" borderId="80" xfId="0" applyFont="1" applyBorder="1"/>
    <xf numFmtId="0" fontId="14" fillId="14" borderId="53" xfId="0" applyFont="1" applyFill="1" applyBorder="1" applyAlignment="1">
      <alignment horizontal="center"/>
    </xf>
    <xf numFmtId="9" fontId="14" fillId="14" borderId="53" xfId="16" applyFont="1" applyFill="1" applyBorder="1" applyAlignment="1">
      <alignment horizontal="center"/>
    </xf>
    <xf numFmtId="0" fontId="14" fillId="0" borderId="53" xfId="0" applyFont="1" applyBorder="1" applyAlignment="1">
      <alignment horizontal="center"/>
    </xf>
    <xf numFmtId="0" fontId="14" fillId="0" borderId="82" xfId="0" applyFont="1" applyBorder="1"/>
    <xf numFmtId="0" fontId="0" fillId="0" borderId="55" xfId="0" applyBorder="1"/>
    <xf numFmtId="0" fontId="0" fillId="0" borderId="56" xfId="0" applyBorder="1"/>
    <xf numFmtId="0" fontId="0" fillId="0" borderId="57" xfId="0" applyBorder="1"/>
    <xf numFmtId="0" fontId="0" fillId="0" borderId="44" xfId="0" applyBorder="1"/>
    <xf numFmtId="0" fontId="0" fillId="0" borderId="62" xfId="0" applyBorder="1"/>
    <xf numFmtId="0" fontId="0" fillId="0" borderId="63" xfId="0" applyBorder="1"/>
    <xf numFmtId="9" fontId="0" fillId="0" borderId="0" xfId="0" applyNumberFormat="1"/>
    <xf numFmtId="0" fontId="14" fillId="14" borderId="79" xfId="0" applyFont="1" applyFill="1" applyBorder="1" applyAlignment="1">
      <alignment horizontal="center"/>
    </xf>
    <xf numFmtId="0" fontId="0" fillId="33" borderId="59" xfId="0" applyFill="1" applyBorder="1"/>
    <xf numFmtId="0" fontId="0" fillId="33" borderId="61" xfId="0" applyFill="1" applyBorder="1"/>
    <xf numFmtId="0" fontId="14" fillId="0" borderId="59" xfId="0" applyFont="1" applyBorder="1" applyAlignment="1">
      <alignment horizontal="center"/>
    </xf>
    <xf numFmtId="167" fontId="0" fillId="0" borderId="71" xfId="0" applyNumberFormat="1" applyBorder="1" applyAlignment="1">
      <alignment horizontal="center"/>
    </xf>
    <xf numFmtId="167" fontId="0" fillId="0" borderId="73" xfId="0" applyNumberFormat="1" applyBorder="1" applyAlignment="1">
      <alignment horizontal="center"/>
    </xf>
    <xf numFmtId="0" fontId="14" fillId="8" borderId="9" xfId="0" applyFont="1" applyFill="1" applyBorder="1" applyAlignment="1">
      <alignment horizontal="center"/>
    </xf>
    <xf numFmtId="0" fontId="0" fillId="31" borderId="60" xfId="0" applyFill="1" applyBorder="1"/>
    <xf numFmtId="0" fontId="28" fillId="31" borderId="60" xfId="0" applyFont="1" applyFill="1" applyBorder="1" applyAlignment="1">
      <alignment horizontal="left"/>
    </xf>
    <xf numFmtId="9" fontId="0" fillId="31" borderId="60" xfId="16" applyFont="1" applyFill="1" applyBorder="1" applyAlignment="1">
      <alignment horizontal="center" vertical="center"/>
    </xf>
    <xf numFmtId="171" fontId="28" fillId="31" borderId="61" xfId="0" applyNumberFormat="1" applyFont="1" applyFill="1" applyBorder="1" applyAlignment="1">
      <alignment horizontal="center" vertical="center"/>
    </xf>
    <xf numFmtId="0" fontId="14" fillId="17" borderId="88" xfId="0" applyFont="1" applyFill="1" applyBorder="1"/>
    <xf numFmtId="0" fontId="28" fillId="32" borderId="93" xfId="0" applyFont="1" applyFill="1" applyBorder="1" applyAlignment="1">
      <alignment horizontal="center"/>
    </xf>
    <xf numFmtId="0" fontId="0" fillId="32" borderId="94" xfId="0" applyFill="1" applyBorder="1"/>
    <xf numFmtId="0" fontId="0" fillId="32" borderId="95" xfId="0" applyFill="1" applyBorder="1"/>
    <xf numFmtId="0" fontId="28" fillId="32" borderId="88" xfId="0" applyFont="1" applyFill="1" applyBorder="1" applyAlignment="1">
      <alignment horizontal="center"/>
    </xf>
    <xf numFmtId="0" fontId="0" fillId="32" borderId="85" xfId="0" applyFill="1" applyBorder="1"/>
    <xf numFmtId="0" fontId="14" fillId="0" borderId="86" xfId="0" applyFont="1" applyBorder="1" applyAlignment="1">
      <alignment horizontal="left" vertical="center"/>
    </xf>
    <xf numFmtId="0" fontId="48" fillId="5" borderId="59" xfId="0" applyFont="1" applyFill="1" applyBorder="1" applyAlignment="1">
      <alignment horizontal="left" vertical="center"/>
    </xf>
    <xf numFmtId="0" fontId="48" fillId="31" borderId="59" xfId="0" applyFont="1" applyFill="1" applyBorder="1" applyAlignment="1">
      <alignment horizontal="left" vertical="center"/>
    </xf>
    <xf numFmtId="0" fontId="48" fillId="13" borderId="61" xfId="0" applyFont="1" applyFill="1" applyBorder="1" applyAlignment="1">
      <alignment horizontal="center"/>
    </xf>
    <xf numFmtId="0" fontId="14" fillId="8" borderId="86" xfId="0" applyFont="1" applyFill="1" applyBorder="1" applyAlignment="1">
      <alignment horizontal="left" vertical="center"/>
    </xf>
    <xf numFmtId="0" fontId="14" fillId="8" borderId="88" xfId="0" applyFont="1" applyFill="1" applyBorder="1" applyAlignment="1">
      <alignment horizontal="left" vertical="center"/>
    </xf>
    <xf numFmtId="0" fontId="0" fillId="31" borderId="60" xfId="0" applyFill="1" applyBorder="1" applyAlignment="1">
      <alignment horizontal="center"/>
    </xf>
    <xf numFmtId="0" fontId="51" fillId="5" borderId="52" xfId="0" applyFont="1" applyFill="1" applyBorder="1" applyAlignment="1">
      <alignment horizontal="center"/>
    </xf>
    <xf numFmtId="0" fontId="51" fillId="5" borderId="52" xfId="0" applyFont="1" applyFill="1" applyBorder="1"/>
    <xf numFmtId="0" fontId="0" fillId="0" borderId="52" xfId="0" applyBorder="1"/>
    <xf numFmtId="172" fontId="0" fillId="24" borderId="85" xfId="0" applyNumberFormat="1" applyFill="1" applyBorder="1" applyAlignment="1">
      <alignment horizontal="center"/>
    </xf>
    <xf numFmtId="0" fontId="30" fillId="0" borderId="10" xfId="26" applyFont="1" applyBorder="1" applyAlignment="1">
      <alignment horizontal="center"/>
    </xf>
    <xf numFmtId="0" fontId="30" fillId="0" borderId="15" xfId="26" applyFont="1" applyBorder="1" applyAlignment="1">
      <alignment horizontal="center"/>
    </xf>
    <xf numFmtId="0" fontId="30" fillId="0" borderId="10" xfId="26" applyFont="1" applyBorder="1" applyAlignment="1">
      <alignment horizontal="center" vertical="center"/>
    </xf>
    <xf numFmtId="0" fontId="30" fillId="0" borderId="15" xfId="26" applyFont="1" applyBorder="1" applyAlignment="1">
      <alignment horizontal="center" vertical="center"/>
    </xf>
    <xf numFmtId="0" fontId="30" fillId="0" borderId="14" xfId="26" applyFont="1" applyBorder="1" applyAlignment="1">
      <alignment horizontal="center"/>
    </xf>
    <xf numFmtId="0" fontId="30" fillId="0" borderId="16" xfId="26" applyFont="1" applyBorder="1" applyAlignment="1">
      <alignment horizontal="center"/>
    </xf>
    <xf numFmtId="0" fontId="52" fillId="5" borderId="98" xfId="4" applyFont="1" applyFill="1" applyBorder="1" applyAlignment="1">
      <alignment horizontal="center" vertical="center"/>
    </xf>
    <xf numFmtId="0" fontId="52" fillId="5" borderId="98" xfId="3" applyFont="1" applyFill="1" applyBorder="1" applyAlignment="1">
      <alignment horizontal="center" vertical="center" wrapText="1"/>
    </xf>
    <xf numFmtId="0" fontId="52" fillId="5" borderId="98" xfId="3" applyFont="1" applyFill="1" applyBorder="1" applyAlignment="1">
      <alignment horizontal="center" vertical="center"/>
    </xf>
    <xf numFmtId="0" fontId="9" fillId="3" borderId="98" xfId="10" applyFont="1" applyBorder="1" applyAlignment="1">
      <alignment horizontal="center" vertical="center"/>
    </xf>
    <xf numFmtId="170" fontId="9" fillId="8" borderId="98" xfId="6" applyFont="1" applyFill="1" applyBorder="1" applyAlignment="1">
      <alignment horizontal="right" vertical="center" wrapText="1"/>
    </xf>
    <xf numFmtId="0" fontId="30" fillId="3" borderId="98" xfId="10" applyFont="1" applyBorder="1" applyAlignment="1">
      <alignment vertical="center"/>
    </xf>
    <xf numFmtId="170" fontId="9" fillId="3" borderId="98" xfId="6" applyFont="1" applyBorder="1" applyAlignment="1">
      <alignment horizontal="right" vertical="center" wrapText="1"/>
    </xf>
    <xf numFmtId="0" fontId="30" fillId="3" borderId="98" xfId="10" applyFont="1" applyBorder="1" applyAlignment="1">
      <alignment horizontal="center" vertical="center"/>
    </xf>
    <xf numFmtId="3" fontId="14" fillId="34" borderId="100" xfId="5" applyFont="1" applyFill="1" applyBorder="1" applyAlignment="1">
      <alignment horizontal="center" vertical="center"/>
    </xf>
    <xf numFmtId="0" fontId="14" fillId="0" borderId="0" xfId="26" applyFont="1" applyAlignment="1">
      <alignment vertical="center"/>
    </xf>
    <xf numFmtId="0" fontId="9" fillId="12" borderId="0" xfId="26" applyFill="1" applyAlignment="1">
      <alignment vertical="center"/>
    </xf>
    <xf numFmtId="0" fontId="29" fillId="0" borderId="98" xfId="9" applyFont="1" applyFill="1" applyBorder="1" applyAlignment="1">
      <alignment horizontal="center" vertical="center"/>
    </xf>
    <xf numFmtId="3" fontId="53" fillId="34" borderId="99" xfId="5" applyFont="1" applyFill="1" applyBorder="1" applyAlignment="1">
      <alignment horizontal="right" vertical="center"/>
    </xf>
    <xf numFmtId="3" fontId="53" fillId="34" borderId="100" xfId="5" applyFont="1" applyFill="1" applyBorder="1" applyAlignment="1">
      <alignment horizontal="right" vertical="center"/>
    </xf>
    <xf numFmtId="3" fontId="53" fillId="34" borderId="101" xfId="5" applyFont="1" applyFill="1" applyBorder="1" applyAlignment="1">
      <alignment horizontal="right" vertical="center"/>
    </xf>
    <xf numFmtId="170" fontId="9" fillId="3" borderId="98" xfId="6" applyFont="1" applyBorder="1" applyAlignment="1">
      <alignment horizontal="center" vertical="center"/>
    </xf>
    <xf numFmtId="4" fontId="33" fillId="0" borderId="98" xfId="7" applyFont="1" applyFill="1" applyBorder="1" applyAlignment="1">
      <alignment horizontal="right" vertical="center"/>
    </xf>
    <xf numFmtId="0" fontId="0" fillId="34" borderId="100" xfId="0" applyFill="1" applyBorder="1" applyAlignment="1">
      <alignment horizontal="center" vertical="center"/>
    </xf>
    <xf numFmtId="4" fontId="9" fillId="34" borderId="100" xfId="7" applyFont="1" applyFill="1" applyBorder="1" applyAlignment="1">
      <alignment horizontal="right" vertical="center"/>
    </xf>
    <xf numFmtId="3" fontId="14" fillId="34" borderId="101" xfId="5" applyFont="1" applyFill="1" applyBorder="1" applyAlignment="1">
      <alignment horizontal="right" vertical="center" wrapText="1"/>
    </xf>
    <xf numFmtId="4" fontId="9" fillId="8" borderId="98" xfId="7" applyFont="1" applyFill="1" applyBorder="1" applyAlignment="1">
      <alignment horizontal="right" vertical="center" wrapText="1"/>
    </xf>
    <xf numFmtId="4" fontId="9" fillId="3" borderId="98" xfId="7" applyFont="1" applyBorder="1" applyAlignment="1">
      <alignment horizontal="center" vertical="center"/>
    </xf>
    <xf numFmtId="4" fontId="9" fillId="3" borderId="98" xfId="7" applyFont="1" applyBorder="1" applyAlignment="1">
      <alignment horizontal="right" vertical="center" wrapText="1"/>
    </xf>
    <xf numFmtId="0" fontId="30" fillId="0" borderId="98" xfId="10" applyFont="1" applyFill="1" applyBorder="1" applyAlignment="1">
      <alignment vertical="center"/>
    </xf>
    <xf numFmtId="0" fontId="9" fillId="0" borderId="98" xfId="10" applyFont="1" applyFill="1" applyBorder="1" applyAlignment="1">
      <alignment horizontal="center" vertical="center"/>
    </xf>
    <xf numFmtId="3" fontId="14" fillId="34" borderId="99" xfId="5" applyFont="1" applyFill="1" applyBorder="1" applyAlignment="1">
      <alignment horizontal="right" vertical="center"/>
    </xf>
    <xf numFmtId="4" fontId="9" fillId="6" borderId="98" xfId="7" applyFont="1" applyFill="1" applyBorder="1" applyAlignment="1">
      <alignment horizontal="right" vertical="center"/>
    </xf>
    <xf numFmtId="4" fontId="9" fillId="6" borderId="98" xfId="7" applyFont="1" applyFill="1" applyBorder="1" applyAlignment="1">
      <alignment horizontal="center" vertical="center"/>
    </xf>
    <xf numFmtId="4" fontId="9" fillId="0" borderId="98" xfId="7" applyFont="1" applyFill="1" applyBorder="1" applyAlignment="1">
      <alignment horizontal="right" vertical="center" wrapText="1"/>
    </xf>
    <xf numFmtId="0" fontId="30" fillId="3" borderId="98" xfId="10" applyFont="1" applyBorder="1" applyAlignment="1">
      <alignment vertical="center" wrapText="1"/>
    </xf>
    <xf numFmtId="4" fontId="9" fillId="0" borderId="98" xfId="7" applyFont="1" applyFill="1" applyBorder="1" applyAlignment="1">
      <alignment horizontal="center" vertical="center"/>
    </xf>
    <xf numFmtId="0" fontId="52" fillId="32" borderId="98" xfId="3" applyFont="1" applyFill="1" applyBorder="1" applyAlignment="1">
      <alignment horizontal="center" vertical="center" wrapText="1"/>
    </xf>
    <xf numFmtId="0" fontId="36" fillId="12" borderId="98" xfId="26" applyFont="1" applyFill="1" applyBorder="1" applyAlignment="1">
      <alignment horizontal="center" vertical="center"/>
    </xf>
    <xf numFmtId="0" fontId="55" fillId="0" borderId="0" xfId="0" applyFont="1"/>
    <xf numFmtId="0" fontId="57" fillId="0" borderId="0" xfId="0" applyFont="1"/>
    <xf numFmtId="0" fontId="14" fillId="0" borderId="32" xfId="0" applyFont="1" applyBorder="1" applyAlignment="1">
      <alignment horizontal="center"/>
    </xf>
    <xf numFmtId="0" fontId="14" fillId="0" borderId="30" xfId="0" applyFont="1" applyBorder="1" applyAlignment="1">
      <alignment horizontal="center"/>
    </xf>
    <xf numFmtId="0" fontId="57" fillId="0" borderId="32" xfId="0" applyFont="1" applyBorder="1" applyAlignment="1">
      <alignment horizontal="center"/>
    </xf>
    <xf numFmtId="0" fontId="57" fillId="0" borderId="30" xfId="0" applyFont="1" applyBorder="1" applyAlignment="1">
      <alignment horizontal="center"/>
    </xf>
    <xf numFmtId="0" fontId="57" fillId="0" borderId="26" xfId="0" applyFont="1" applyBorder="1"/>
    <xf numFmtId="0" fontId="57" fillId="0" borderId="102" xfId="0" applyFont="1" applyBorder="1" applyAlignment="1">
      <alignment horizontal="center" vertical="center"/>
    </xf>
    <xf numFmtId="0" fontId="57" fillId="0" borderId="106" xfId="0" applyFont="1" applyBorder="1" applyAlignment="1">
      <alignment horizontal="center" vertical="center"/>
    </xf>
    <xf numFmtId="0" fontId="14" fillId="12" borderId="109" xfId="0" applyFont="1" applyFill="1" applyBorder="1" applyAlignment="1">
      <alignment horizontal="center"/>
    </xf>
    <xf numFmtId="0" fontId="57" fillId="12" borderId="109" xfId="0" applyFont="1" applyFill="1" applyBorder="1"/>
    <xf numFmtId="0" fontId="57" fillId="12" borderId="115" xfId="0" applyFont="1" applyFill="1" applyBorder="1"/>
    <xf numFmtId="0" fontId="55" fillId="12" borderId="115" xfId="0" applyFont="1" applyFill="1" applyBorder="1"/>
    <xf numFmtId="10" fontId="0" fillId="0" borderId="112" xfId="0" applyNumberFormat="1" applyBorder="1" applyAlignment="1">
      <alignment horizontal="center" vertical="center"/>
    </xf>
    <xf numFmtId="10" fontId="0" fillId="0" borderId="116" xfId="0" applyNumberFormat="1" applyBorder="1" applyAlignment="1">
      <alignment horizontal="center" vertical="center"/>
    </xf>
    <xf numFmtId="10" fontId="0" fillId="0" borderId="117" xfId="0" applyNumberFormat="1" applyBorder="1" applyAlignment="1">
      <alignment horizontal="center" vertical="center"/>
    </xf>
    <xf numFmtId="10" fontId="0" fillId="0" borderId="118" xfId="0" applyNumberFormat="1" applyBorder="1" applyAlignment="1">
      <alignment horizontal="center" vertical="center"/>
    </xf>
    <xf numFmtId="0" fontId="57" fillId="0" borderId="119" xfId="0" applyFont="1" applyBorder="1" applyAlignment="1">
      <alignment horizontal="center" vertical="center"/>
    </xf>
    <xf numFmtId="0" fontId="57" fillId="0" borderId="120" xfId="0" applyFont="1" applyBorder="1" applyAlignment="1">
      <alignment horizontal="center" vertical="center"/>
    </xf>
    <xf numFmtId="0" fontId="28" fillId="5" borderId="8" xfId="26" applyFont="1" applyFill="1" applyBorder="1" applyAlignment="1">
      <alignment horizontal="center"/>
    </xf>
    <xf numFmtId="0" fontId="55" fillId="8" borderId="0" xfId="0" applyFont="1" applyFill="1"/>
    <xf numFmtId="0" fontId="59" fillId="42" borderId="0" xfId="0" applyFont="1" applyFill="1"/>
    <xf numFmtId="0" fontId="9" fillId="37" borderId="26" xfId="0" applyFont="1" applyFill="1" applyBorder="1"/>
    <xf numFmtId="0" fontId="57" fillId="0" borderId="125" xfId="0" applyFont="1" applyBorder="1" applyAlignment="1">
      <alignment horizontal="center"/>
    </xf>
    <xf numFmtId="0" fontId="55" fillId="12" borderId="126" xfId="0" applyFont="1" applyFill="1" applyBorder="1" applyAlignment="1">
      <alignment horizontal="center"/>
    </xf>
    <xf numFmtId="0" fontId="9" fillId="39" borderId="126" xfId="0" applyFont="1" applyFill="1" applyBorder="1"/>
    <xf numFmtId="0" fontId="14" fillId="41" borderId="26" xfId="0" quotePrefix="1" applyFont="1" applyFill="1" applyBorder="1"/>
    <xf numFmtId="0" fontId="14" fillId="41" borderId="0" xfId="0" quotePrefix="1" applyFont="1" applyFill="1"/>
    <xf numFmtId="0" fontId="55" fillId="39" borderId="0" xfId="0" applyFont="1" applyFill="1"/>
    <xf numFmtId="0" fontId="14" fillId="0" borderId="141" xfId="0" applyFont="1" applyBorder="1" applyAlignment="1">
      <alignment horizontal="center"/>
    </xf>
    <xf numFmtId="0" fontId="14" fillId="0" borderId="35" xfId="0" applyFont="1" applyBorder="1" applyAlignment="1">
      <alignment horizontal="center"/>
    </xf>
    <xf numFmtId="0" fontId="14" fillId="0" borderId="142" xfId="0" applyFont="1" applyBorder="1" applyAlignment="1">
      <alignment horizontal="center"/>
    </xf>
    <xf numFmtId="0" fontId="14" fillId="0" borderId="133" xfId="0" applyFont="1" applyBorder="1" applyAlignment="1">
      <alignment horizontal="center"/>
    </xf>
    <xf numFmtId="10" fontId="0" fillId="0" borderId="0" xfId="16" applyNumberFormat="1" applyFont="1"/>
    <xf numFmtId="3" fontId="24" fillId="0" borderId="0" xfId="0" applyNumberFormat="1" applyFont="1" applyAlignment="1">
      <alignment horizontal="center" vertical="center"/>
    </xf>
    <xf numFmtId="3" fontId="36" fillId="19" borderId="0" xfId="0" applyNumberFormat="1" applyFont="1" applyFill="1" applyAlignment="1">
      <alignment horizontal="center" vertical="center"/>
    </xf>
    <xf numFmtId="168" fontId="34" fillId="43" borderId="136" xfId="30" applyNumberFormat="1" applyFont="1" applyFill="1" applyBorder="1" applyAlignment="1">
      <alignment horizontal="center" vertical="center"/>
    </xf>
    <xf numFmtId="0" fontId="60" fillId="0" borderId="138" xfId="0" applyFont="1" applyBorder="1" applyAlignment="1">
      <alignment horizontal="center" vertical="center"/>
    </xf>
    <xf numFmtId="0" fontId="60" fillId="0" borderId="39" xfId="0" applyFont="1" applyBorder="1" applyAlignment="1">
      <alignment horizontal="center" vertical="center"/>
    </xf>
    <xf numFmtId="0" fontId="60" fillId="41" borderId="138" xfId="0" applyFont="1" applyFill="1" applyBorder="1" applyAlignment="1">
      <alignment horizontal="center" vertical="center"/>
    </xf>
    <xf numFmtId="0" fontId="60" fillId="41" borderId="39" xfId="0" applyFont="1" applyFill="1" applyBorder="1" applyAlignment="1">
      <alignment horizontal="center" vertical="center"/>
    </xf>
    <xf numFmtId="3" fontId="60" fillId="40" borderId="39" xfId="0" applyNumberFormat="1" applyFont="1" applyFill="1" applyBorder="1" applyAlignment="1">
      <alignment horizontal="center" vertical="center"/>
    </xf>
    <xf numFmtId="3" fontId="60" fillId="40" borderId="138" xfId="0" applyNumberFormat="1" applyFont="1" applyFill="1" applyBorder="1" applyAlignment="1">
      <alignment horizontal="center" vertical="center"/>
    </xf>
    <xf numFmtId="0" fontId="63" fillId="0" borderId="39" xfId="0" applyFont="1" applyBorder="1" applyAlignment="1">
      <alignment horizontal="center" vertical="center"/>
    </xf>
    <xf numFmtId="9" fontId="39" fillId="0" borderId="0" xfId="16" applyFont="1"/>
    <xf numFmtId="9" fontId="0" fillId="0" borderId="81" xfId="0" applyNumberFormat="1" applyBorder="1" applyAlignment="1">
      <alignment horizontal="center"/>
    </xf>
    <xf numFmtId="9" fontId="14" fillId="0" borderId="59" xfId="0" applyNumberFormat="1" applyFont="1" applyBorder="1" applyAlignment="1">
      <alignment horizontal="center"/>
    </xf>
    <xf numFmtId="9" fontId="14" fillId="0" borderId="60" xfId="0" applyNumberFormat="1" applyFont="1" applyBorder="1" applyAlignment="1">
      <alignment horizontal="center"/>
    </xf>
    <xf numFmtId="9" fontId="9" fillId="0" borderId="64" xfId="0" applyNumberFormat="1" applyFont="1" applyBorder="1" applyAlignment="1">
      <alignment horizontal="center"/>
    </xf>
    <xf numFmtId="9" fontId="9" fillId="0" borderId="69" xfId="0" applyNumberFormat="1" applyFont="1" applyBorder="1" applyAlignment="1">
      <alignment horizontal="center"/>
    </xf>
    <xf numFmtId="10" fontId="0" fillId="0" borderId="0" xfId="0" applyNumberFormat="1"/>
    <xf numFmtId="4" fontId="33" fillId="12" borderId="98" xfId="7" applyFont="1" applyFill="1" applyBorder="1" applyAlignment="1">
      <alignment horizontal="right" vertical="center"/>
    </xf>
    <xf numFmtId="4" fontId="9" fillId="0" borderId="0" xfId="7" applyFont="1" applyFill="1" applyBorder="1">
      <alignment horizontal="right"/>
    </xf>
    <xf numFmtId="4" fontId="33" fillId="0" borderId="0" xfId="7" applyFont="1" applyFill="1" applyBorder="1">
      <alignment horizontal="right"/>
    </xf>
    <xf numFmtId="4" fontId="33" fillId="9" borderId="98" xfId="7" applyFont="1" applyFill="1" applyBorder="1" applyAlignment="1">
      <alignment horizontal="right" vertical="center"/>
    </xf>
    <xf numFmtId="4" fontId="33" fillId="28" borderId="98" xfId="7" applyFont="1" applyFill="1" applyBorder="1" applyAlignment="1">
      <alignment horizontal="right" vertical="center"/>
    </xf>
    <xf numFmtId="4" fontId="26" fillId="12" borderId="98" xfId="7" applyFont="1" applyFill="1" applyBorder="1" applyAlignment="1">
      <alignment horizontal="right" vertical="center"/>
    </xf>
    <xf numFmtId="3" fontId="60" fillId="40" borderId="39" xfId="0" quotePrefix="1" applyNumberFormat="1" applyFont="1" applyFill="1" applyBorder="1" applyAlignment="1">
      <alignment horizontal="center" vertical="center"/>
    </xf>
    <xf numFmtId="3" fontId="60" fillId="40" borderId="138" xfId="0" quotePrefix="1" applyNumberFormat="1" applyFont="1" applyFill="1" applyBorder="1" applyAlignment="1">
      <alignment horizontal="center" vertical="center"/>
    </xf>
    <xf numFmtId="1" fontId="55" fillId="40" borderId="32" xfId="0" applyNumberFormat="1" applyFont="1" applyFill="1" applyBorder="1" applyAlignment="1">
      <alignment horizontal="center" vertical="center"/>
    </xf>
    <xf numFmtId="4" fontId="6" fillId="0" borderId="39" xfId="29" applyNumberFormat="1" applyBorder="1" applyAlignment="1">
      <alignment horizontal="center"/>
    </xf>
    <xf numFmtId="0" fontId="27" fillId="0" borderId="0" xfId="0" applyFont="1" applyAlignment="1">
      <alignment horizontal="center"/>
    </xf>
    <xf numFmtId="0" fontId="67" fillId="0" borderId="0" xfId="0" applyFont="1"/>
    <xf numFmtId="0" fontId="0" fillId="0" borderId="39" xfId="0" applyBorder="1"/>
    <xf numFmtId="0" fontId="66" fillId="0" borderId="0" xfId="0" applyFont="1"/>
    <xf numFmtId="3" fontId="55" fillId="0" borderId="32" xfId="0" applyNumberFormat="1" applyFont="1" applyBorder="1" applyAlignment="1">
      <alignment horizontal="center" vertical="center"/>
    </xf>
    <xf numFmtId="0" fontId="55" fillId="0" borderId="32" xfId="0" applyFont="1" applyBorder="1" applyAlignment="1">
      <alignment horizontal="center" vertical="center"/>
    </xf>
    <xf numFmtId="168" fontId="34" fillId="38" borderId="39" xfId="16" applyNumberFormat="1" applyFont="1" applyFill="1" applyBorder="1" applyAlignment="1">
      <alignment horizontal="center" vertical="center"/>
    </xf>
    <xf numFmtId="3" fontId="63" fillId="0" borderId="39" xfId="0" applyNumberFormat="1" applyFont="1" applyBorder="1" applyAlignment="1">
      <alignment horizontal="center" vertical="center"/>
    </xf>
    <xf numFmtId="3" fontId="63" fillId="38" borderId="39" xfId="0" applyNumberFormat="1" applyFont="1" applyFill="1" applyBorder="1" applyAlignment="1">
      <alignment horizontal="center" vertical="center"/>
    </xf>
    <xf numFmtId="168" fontId="34" fillId="43" borderId="154" xfId="30" applyNumberFormat="1" applyFont="1" applyFill="1" applyBorder="1" applyAlignment="1">
      <alignment horizontal="center" vertical="center"/>
    </xf>
    <xf numFmtId="3" fontId="5" fillId="43" borderId="37" xfId="30" applyNumberFormat="1" applyFill="1" applyBorder="1" applyAlignment="1">
      <alignment horizontal="center" vertical="center"/>
    </xf>
    <xf numFmtId="168" fontId="34" fillId="38" borderId="37" xfId="16" applyNumberFormat="1" applyFont="1" applyFill="1" applyBorder="1" applyAlignment="1">
      <alignment horizontal="center" vertical="center"/>
    </xf>
    <xf numFmtId="3" fontId="63" fillId="0" borderId="37" xfId="0" applyNumberFormat="1" applyFont="1" applyBorder="1" applyAlignment="1">
      <alignment horizontal="center" vertical="center"/>
    </xf>
    <xf numFmtId="0" fontId="63" fillId="0" borderId="37" xfId="0" applyFont="1" applyBorder="1" applyAlignment="1">
      <alignment horizontal="center" vertical="center"/>
    </xf>
    <xf numFmtId="3" fontId="63" fillId="38" borderId="37" xfId="0" applyNumberFormat="1" applyFont="1" applyFill="1" applyBorder="1" applyAlignment="1">
      <alignment horizontal="center" vertical="center"/>
    </xf>
    <xf numFmtId="0" fontId="63" fillId="38" borderId="155" xfId="0" applyFont="1" applyFill="1" applyBorder="1" applyAlignment="1">
      <alignment horizontal="center" vertical="center"/>
    </xf>
    <xf numFmtId="1" fontId="55" fillId="0" borderId="39" xfId="0" applyNumberFormat="1" applyFont="1" applyBorder="1" applyAlignment="1">
      <alignment horizontal="center" vertical="center"/>
    </xf>
    <xf numFmtId="1" fontId="60" fillId="0" borderId="39" xfId="0" applyNumberFormat="1" applyFont="1" applyBorder="1" applyAlignment="1">
      <alignment horizontal="center" vertical="center"/>
    </xf>
    <xf numFmtId="1" fontId="55" fillId="0" borderId="138" xfId="0" applyNumberFormat="1" applyFont="1" applyBorder="1" applyAlignment="1">
      <alignment horizontal="center" vertical="center"/>
    </xf>
    <xf numFmtId="1" fontId="55" fillId="0" borderId="129" xfId="0" applyNumberFormat="1" applyFont="1" applyBorder="1" applyAlignment="1">
      <alignment horizontal="center" vertical="center"/>
    </xf>
    <xf numFmtId="1" fontId="60" fillId="0" borderId="138" xfId="0" applyNumberFormat="1" applyFont="1" applyBorder="1" applyAlignment="1">
      <alignment horizontal="center" vertical="center"/>
    </xf>
    <xf numFmtId="1" fontId="63" fillId="38" borderId="139" xfId="0" applyNumberFormat="1" applyFont="1" applyFill="1" applyBorder="1" applyAlignment="1">
      <alignment horizontal="center" vertical="center"/>
    </xf>
    <xf numFmtId="1" fontId="63" fillId="38" borderId="152" xfId="0" applyNumberFormat="1" applyFont="1" applyFill="1" applyBorder="1" applyAlignment="1">
      <alignment horizontal="center" vertical="center"/>
    </xf>
    <xf numFmtId="1" fontId="63" fillId="38" borderId="153" xfId="0" applyNumberFormat="1" applyFont="1" applyFill="1" applyBorder="1" applyAlignment="1">
      <alignment horizontal="center" vertical="center"/>
    </xf>
    <xf numFmtId="168" fontId="9" fillId="0" borderId="135" xfId="16" applyNumberFormat="1" applyFont="1" applyFill="1" applyBorder="1" applyAlignment="1">
      <alignment horizontal="center" vertical="center"/>
    </xf>
    <xf numFmtId="168" fontId="34" fillId="0" borderId="138" xfId="16" applyNumberFormat="1" applyFont="1" applyFill="1" applyBorder="1" applyAlignment="1">
      <alignment horizontal="center" vertical="center"/>
    </xf>
    <xf numFmtId="1" fontId="63" fillId="0" borderId="138" xfId="0" applyNumberFormat="1" applyFont="1" applyBorder="1" applyAlignment="1">
      <alignment horizontal="center" vertical="center"/>
    </xf>
    <xf numFmtId="1" fontId="63" fillId="0" borderId="39" xfId="0" applyNumberFormat="1" applyFont="1" applyBorder="1" applyAlignment="1">
      <alignment horizontal="center" vertical="center"/>
    </xf>
    <xf numFmtId="1" fontId="63" fillId="0" borderId="129" xfId="0" applyNumberFormat="1" applyFont="1" applyBorder="1" applyAlignment="1">
      <alignment horizontal="center" vertical="center"/>
    </xf>
    <xf numFmtId="1" fontId="60" fillId="41" borderId="39" xfId="0" applyNumberFormat="1" applyFont="1" applyFill="1" applyBorder="1" applyAlignment="1">
      <alignment horizontal="center" vertical="center"/>
    </xf>
    <xf numFmtId="1" fontId="60" fillId="41" borderId="138" xfId="0" applyNumberFormat="1" applyFont="1" applyFill="1" applyBorder="1" applyAlignment="1">
      <alignment horizontal="center" vertical="center"/>
    </xf>
    <xf numFmtId="1" fontId="55" fillId="40" borderId="39" xfId="0" applyNumberFormat="1" applyFont="1" applyFill="1" applyBorder="1" applyAlignment="1">
      <alignment horizontal="center" vertical="center"/>
    </xf>
    <xf numFmtId="1" fontId="55" fillId="40" borderId="138" xfId="0" applyNumberFormat="1" applyFont="1" applyFill="1" applyBorder="1" applyAlignment="1">
      <alignment horizontal="center" vertical="center"/>
    </xf>
    <xf numFmtId="1" fontId="55" fillId="40" borderId="37" xfId="0" applyNumberFormat="1" applyFont="1" applyFill="1" applyBorder="1" applyAlignment="1">
      <alignment horizontal="center" vertical="center"/>
    </xf>
    <xf numFmtId="1" fontId="55" fillId="40" borderId="155" xfId="0" applyNumberFormat="1" applyFont="1" applyFill="1" applyBorder="1" applyAlignment="1">
      <alignment horizontal="center" vertical="center"/>
    </xf>
    <xf numFmtId="1" fontId="0" fillId="0" borderId="39" xfId="0" applyNumberFormat="1" applyBorder="1" applyAlignment="1">
      <alignment horizontal="center" vertical="center"/>
    </xf>
    <xf numFmtId="1" fontId="0" fillId="0" borderId="135" xfId="0" applyNumberFormat="1" applyBorder="1" applyAlignment="1">
      <alignment horizontal="center" vertical="center"/>
    </xf>
    <xf numFmtId="1" fontId="0" fillId="0" borderId="136" xfId="0" applyNumberFormat="1" applyBorder="1" applyAlignment="1">
      <alignment horizontal="center" vertical="center"/>
    </xf>
    <xf numFmtId="1" fontId="0" fillId="0" borderId="137" xfId="0" applyNumberFormat="1" applyBorder="1" applyAlignment="1">
      <alignment horizontal="center" vertical="center"/>
    </xf>
    <xf numFmtId="1" fontId="0" fillId="0" borderId="138" xfId="0" applyNumberFormat="1" applyBorder="1" applyAlignment="1">
      <alignment horizontal="center" vertical="center"/>
    </xf>
    <xf numFmtId="1" fontId="0" fillId="0" borderId="129" xfId="0" applyNumberFormat="1" applyBorder="1" applyAlignment="1">
      <alignment horizontal="center" vertical="center"/>
    </xf>
    <xf numFmtId="1" fontId="55" fillId="40" borderId="127" xfId="0" applyNumberFormat="1" applyFont="1" applyFill="1" applyBorder="1" applyAlignment="1">
      <alignment horizontal="center" vertical="center"/>
    </xf>
    <xf numFmtId="1" fontId="55" fillId="40" borderId="128" xfId="0" applyNumberFormat="1" applyFont="1" applyFill="1" applyBorder="1" applyAlignment="1">
      <alignment horizontal="center" vertical="center"/>
    </xf>
    <xf numFmtId="1" fontId="55" fillId="40" borderId="130" xfId="0" applyNumberFormat="1" applyFont="1" applyFill="1" applyBorder="1" applyAlignment="1">
      <alignment horizontal="center" vertical="center"/>
    </xf>
    <xf numFmtId="1" fontId="55" fillId="40" borderId="131" xfId="0" applyNumberFormat="1" applyFont="1" applyFill="1" applyBorder="1" applyAlignment="1">
      <alignment horizontal="center" vertical="center"/>
    </xf>
    <xf numFmtId="1" fontId="55" fillId="40" borderId="132" xfId="0" applyNumberFormat="1" applyFont="1" applyFill="1" applyBorder="1" applyAlignment="1">
      <alignment horizontal="center" vertical="center"/>
    </xf>
    <xf numFmtId="4" fontId="6" fillId="0" borderId="129" xfId="29" applyNumberFormat="1" applyBorder="1" applyAlignment="1">
      <alignment horizontal="center"/>
    </xf>
    <xf numFmtId="9" fontId="0" fillId="0" borderId="0" xfId="16" applyFont="1" applyBorder="1" applyAlignment="1">
      <alignment horizontal="left"/>
    </xf>
    <xf numFmtId="3" fontId="60" fillId="0" borderId="39" xfId="0" applyNumberFormat="1" applyFont="1" applyBorder="1" applyAlignment="1">
      <alignment horizontal="center" vertical="center"/>
    </xf>
    <xf numFmtId="3" fontId="60" fillId="0" borderId="138" xfId="0" applyNumberFormat="1" applyFont="1" applyBorder="1" applyAlignment="1">
      <alignment horizontal="center" vertical="center"/>
    </xf>
    <xf numFmtId="2" fontId="9" fillId="24" borderId="17" xfId="0" applyNumberFormat="1" applyFont="1" applyFill="1" applyBorder="1" applyAlignment="1">
      <alignment horizontal="center"/>
    </xf>
    <xf numFmtId="0" fontId="24" fillId="0" borderId="0" xfId="0" applyFont="1" applyAlignment="1">
      <alignment horizontal="center" vertical="center"/>
    </xf>
    <xf numFmtId="3" fontId="36" fillId="0" borderId="0" xfId="0" applyNumberFormat="1" applyFont="1" applyAlignment="1">
      <alignment horizontal="center" vertical="center"/>
    </xf>
    <xf numFmtId="170" fontId="24" fillId="0" borderId="0" xfId="0" applyNumberFormat="1" applyFont="1" applyAlignment="1">
      <alignment horizontal="center" vertical="center"/>
    </xf>
    <xf numFmtId="0" fontId="0" fillId="0" borderId="0" xfId="0" applyAlignment="1">
      <alignment horizontal="center" vertical="center"/>
    </xf>
    <xf numFmtId="0" fontId="35" fillId="8" borderId="17" xfId="0" applyFont="1" applyFill="1" applyBorder="1" applyAlignment="1">
      <alignment horizontal="center" vertical="center" wrapText="1"/>
    </xf>
    <xf numFmtId="0" fontId="48" fillId="9" borderId="59" xfId="0" applyFont="1" applyFill="1" applyBorder="1" applyAlignment="1">
      <alignment horizontal="center" vertical="center" wrapText="1"/>
    </xf>
    <xf numFmtId="0" fontId="48" fillId="10" borderId="60" xfId="0" applyFont="1" applyFill="1" applyBorder="1" applyAlignment="1">
      <alignment horizontal="center" vertical="center" wrapText="1"/>
    </xf>
    <xf numFmtId="0" fontId="48" fillId="11" borderId="60" xfId="0" applyFont="1" applyFill="1" applyBorder="1" applyAlignment="1">
      <alignment horizontal="center" vertical="center" wrapText="1"/>
    </xf>
    <xf numFmtId="0" fontId="48" fillId="15" borderId="60" xfId="0" applyFont="1" applyFill="1" applyBorder="1" applyAlignment="1">
      <alignment horizontal="center" vertical="center" wrapText="1"/>
    </xf>
    <xf numFmtId="0" fontId="48" fillId="16" borderId="60" xfId="0" applyFont="1" applyFill="1" applyBorder="1" applyAlignment="1">
      <alignment horizontal="center" vertical="center" wrapText="1"/>
    </xf>
    <xf numFmtId="0" fontId="48" fillId="10" borderId="52" xfId="0" applyFont="1" applyFill="1" applyBorder="1" applyAlignment="1">
      <alignment horizontal="center" vertical="center" wrapText="1"/>
    </xf>
    <xf numFmtId="0" fontId="48" fillId="15" borderId="52" xfId="0" applyFont="1" applyFill="1" applyBorder="1" applyAlignment="1">
      <alignment horizontal="center" vertical="center" wrapText="1"/>
    </xf>
    <xf numFmtId="0" fontId="48" fillId="23" borderId="52" xfId="0" applyFont="1" applyFill="1" applyBorder="1" applyAlignment="1">
      <alignment horizontal="center" vertical="center" wrapText="1"/>
    </xf>
    <xf numFmtId="0" fontId="48" fillId="16" borderId="52" xfId="0" applyFont="1" applyFill="1" applyBorder="1" applyAlignment="1">
      <alignment horizontal="center" vertical="center" wrapText="1"/>
    </xf>
    <xf numFmtId="0" fontId="57" fillId="0" borderId="0" xfId="0" applyFont="1" applyAlignment="1">
      <alignment horizontal="center" vertical="center"/>
    </xf>
    <xf numFmtId="0" fontId="0" fillId="0" borderId="0" xfId="0" applyAlignment="1">
      <alignment horizontal="left"/>
    </xf>
    <xf numFmtId="2" fontId="9" fillId="24" borderId="45" xfId="0" applyNumberFormat="1" applyFont="1" applyFill="1" applyBorder="1" applyAlignment="1">
      <alignment horizontal="center"/>
    </xf>
    <xf numFmtId="2" fontId="34" fillId="24" borderId="45" xfId="16" applyNumberFormat="1" applyFont="1" applyFill="1" applyBorder="1" applyAlignment="1">
      <alignment horizontal="center"/>
    </xf>
    <xf numFmtId="0" fontId="9" fillId="7" borderId="156" xfId="0" applyFont="1" applyFill="1" applyBorder="1"/>
    <xf numFmtId="0" fontId="28" fillId="32" borderId="49" xfId="0" applyFont="1" applyFill="1" applyBorder="1" applyAlignment="1">
      <alignment horizontal="center"/>
    </xf>
    <xf numFmtId="0" fontId="9" fillId="0" borderId="0" xfId="0" applyFont="1" applyAlignment="1">
      <alignment horizontal="center"/>
    </xf>
    <xf numFmtId="10" fontId="9" fillId="0" borderId="108" xfId="0" applyNumberFormat="1" applyFont="1" applyBorder="1" applyAlignment="1">
      <alignment horizontal="center" vertical="center"/>
    </xf>
    <xf numFmtId="10" fontId="9" fillId="0" borderId="5" xfId="0" applyNumberFormat="1" applyFont="1" applyBorder="1" applyAlignment="1">
      <alignment horizontal="center" vertical="center"/>
    </xf>
    <xf numFmtId="1" fontId="60" fillId="40" borderId="139" xfId="0" applyNumberFormat="1" applyFont="1" applyFill="1" applyBorder="1" applyAlignment="1">
      <alignment horizontal="center" vertical="center"/>
    </xf>
    <xf numFmtId="1" fontId="60" fillId="40" borderId="152" xfId="0" applyNumberFormat="1" applyFont="1" applyFill="1" applyBorder="1" applyAlignment="1">
      <alignment horizontal="center" vertical="center"/>
    </xf>
    <xf numFmtId="167" fontId="0" fillId="0" borderId="39" xfId="0" applyNumberFormat="1" applyBorder="1" applyAlignment="1">
      <alignment horizontal="center"/>
    </xf>
    <xf numFmtId="168" fontId="66" fillId="0" borderId="39" xfId="16" applyNumberFormat="1" applyFont="1" applyBorder="1" applyAlignment="1">
      <alignment horizontal="center"/>
    </xf>
    <xf numFmtId="0" fontId="66" fillId="0" borderId="39" xfId="0" applyFont="1" applyBorder="1"/>
    <xf numFmtId="166" fontId="66" fillId="0" borderId="39" xfId="0" applyNumberFormat="1" applyFont="1" applyBorder="1" applyAlignment="1">
      <alignment horizontal="center"/>
    </xf>
    <xf numFmtId="9" fontId="0" fillId="0" borderId="0" xfId="16" applyFont="1" applyAlignment="1">
      <alignment horizontal="left"/>
    </xf>
    <xf numFmtId="0" fontId="55" fillId="0" borderId="157" xfId="0" applyFont="1" applyBorder="1"/>
    <xf numFmtId="0" fontId="55" fillId="0" borderId="29" xfId="0" applyFont="1" applyBorder="1"/>
    <xf numFmtId="0" fontId="55" fillId="40" borderId="127" xfId="0" applyFont="1" applyFill="1" applyBorder="1" applyAlignment="1">
      <alignment horizontal="center" vertical="center"/>
    </xf>
    <xf numFmtId="0" fontId="55" fillId="40" borderId="2" xfId="0" applyFont="1" applyFill="1" applyBorder="1" applyAlignment="1">
      <alignment horizontal="center" vertical="center"/>
    </xf>
    <xf numFmtId="1" fontId="55" fillId="40" borderId="106" xfId="0" applyNumberFormat="1" applyFont="1" applyFill="1" applyBorder="1" applyAlignment="1">
      <alignment horizontal="center" vertical="center"/>
    </xf>
    <xf numFmtId="1" fontId="55" fillId="40" borderId="159" xfId="0" applyNumberFormat="1" applyFont="1" applyFill="1" applyBorder="1" applyAlignment="1">
      <alignment horizontal="center" vertical="center"/>
    </xf>
    <xf numFmtId="3" fontId="60" fillId="41" borderId="160" xfId="0" applyNumberFormat="1" applyFont="1" applyFill="1" applyBorder="1" applyAlignment="1">
      <alignment horizontal="center" vertical="center"/>
    </xf>
    <xf numFmtId="3" fontId="60" fillId="41" borderId="3" xfId="0" applyNumberFormat="1" applyFont="1" applyFill="1" applyBorder="1" applyAlignment="1">
      <alignment horizontal="center" vertical="center"/>
    </xf>
    <xf numFmtId="3" fontId="60" fillId="41" borderId="28" xfId="0" applyNumberFormat="1" applyFont="1" applyFill="1" applyBorder="1" applyAlignment="1">
      <alignment horizontal="center" vertical="center"/>
    </xf>
    <xf numFmtId="3" fontId="61" fillId="12" borderId="0" xfId="0" applyNumberFormat="1" applyFont="1" applyFill="1" applyAlignment="1">
      <alignment horizontal="center" vertical="center"/>
    </xf>
    <xf numFmtId="3" fontId="61" fillId="12" borderId="161" xfId="0" applyNumberFormat="1" applyFont="1" applyFill="1" applyBorder="1" applyAlignment="1">
      <alignment horizontal="center" vertical="center"/>
    </xf>
    <xf numFmtId="1" fontId="60" fillId="41" borderId="37" xfId="0" applyNumberFormat="1" applyFont="1" applyFill="1" applyBorder="1" applyAlignment="1">
      <alignment horizontal="center" vertical="center"/>
    </xf>
    <xf numFmtId="1" fontId="60" fillId="0" borderId="37" xfId="0" applyNumberFormat="1" applyFont="1" applyBorder="1" applyAlignment="1">
      <alignment horizontal="center" vertical="center"/>
    </xf>
    <xf numFmtId="0" fontId="0" fillId="37" borderId="26" xfId="0" applyFill="1" applyBorder="1"/>
    <xf numFmtId="0" fontId="66" fillId="0" borderId="0" xfId="29" applyFont="1" applyAlignment="1">
      <alignment horizontal="center" vertical="center"/>
    </xf>
    <xf numFmtId="0" fontId="6" fillId="0" borderId="0" xfId="29"/>
    <xf numFmtId="0" fontId="6" fillId="0" borderId="30" xfId="29" applyBorder="1"/>
    <xf numFmtId="0" fontId="55" fillId="0" borderId="162" xfId="0" applyFont="1" applyBorder="1"/>
    <xf numFmtId="0" fontId="57" fillId="0" borderId="104" xfId="0" applyFont="1" applyBorder="1" applyAlignment="1">
      <alignment horizontal="center" vertical="center"/>
    </xf>
    <xf numFmtId="0" fontId="57" fillId="0" borderId="105" xfId="0" applyFont="1" applyBorder="1" applyAlignment="1">
      <alignment horizontal="center" vertical="center"/>
    </xf>
    <xf numFmtId="0" fontId="55" fillId="0" borderId="163" xfId="0" applyFont="1" applyBorder="1"/>
    <xf numFmtId="0" fontId="55" fillId="0" borderId="103" xfId="0" applyFont="1" applyBorder="1" applyAlignment="1">
      <alignment horizontal="center" vertical="center"/>
    </xf>
    <xf numFmtId="0" fontId="55" fillId="0" borderId="164" xfId="0" applyFont="1" applyBorder="1"/>
    <xf numFmtId="10" fontId="0" fillId="0" borderId="0" xfId="0" applyNumberFormat="1" applyAlignment="1">
      <alignment horizontal="center" vertical="center"/>
    </xf>
    <xf numFmtId="0" fontId="55" fillId="0" borderId="103" xfId="0" applyFont="1" applyBorder="1"/>
    <xf numFmtId="1" fontId="60" fillId="41" borderId="127" xfId="0" applyNumberFormat="1" applyFont="1" applyFill="1" applyBorder="1" applyAlignment="1">
      <alignment horizontal="center" vertical="center"/>
    </xf>
    <xf numFmtId="1" fontId="60" fillId="41" borderId="2" xfId="0" applyNumberFormat="1" applyFont="1" applyFill="1" applyBorder="1" applyAlignment="1">
      <alignment horizontal="center" vertical="center"/>
    </xf>
    <xf numFmtId="1" fontId="60" fillId="41" borderId="31" xfId="0" applyNumberFormat="1" applyFont="1" applyFill="1" applyBorder="1" applyAlignment="1">
      <alignment horizontal="center" vertical="center"/>
    </xf>
    <xf numFmtId="3" fontId="0" fillId="0" borderId="39" xfId="0" applyNumberFormat="1" applyBorder="1" applyAlignment="1">
      <alignment horizontal="center" vertical="center"/>
    </xf>
    <xf numFmtId="3" fontId="0" fillId="0" borderId="129" xfId="0" applyNumberFormat="1" applyBorder="1" applyAlignment="1">
      <alignment horizontal="center" vertical="center"/>
    </xf>
    <xf numFmtId="168" fontId="39" fillId="0" borderId="0" xfId="0" applyNumberFormat="1" applyFont="1"/>
    <xf numFmtId="1" fontId="55" fillId="40" borderId="166" xfId="0" applyNumberFormat="1" applyFont="1" applyFill="1" applyBorder="1" applyAlignment="1">
      <alignment horizontal="center" vertical="center"/>
    </xf>
    <xf numFmtId="0" fontId="55" fillId="40" borderId="31" xfId="0" applyFont="1" applyFill="1" applyBorder="1" applyAlignment="1">
      <alignment horizontal="center" vertical="center"/>
    </xf>
    <xf numFmtId="1" fontId="0" fillId="0" borderId="167" xfId="0" applyNumberFormat="1" applyBorder="1" applyAlignment="1">
      <alignment horizontal="center" vertical="center"/>
    </xf>
    <xf numFmtId="1" fontId="0" fillId="0" borderId="38" xfId="0" applyNumberFormat="1" applyBorder="1" applyAlignment="1">
      <alignment horizontal="center" vertical="center"/>
    </xf>
    <xf numFmtId="3" fontId="69" fillId="0" borderId="138" xfId="0" applyNumberFormat="1" applyFont="1" applyBorder="1" applyAlignment="1">
      <alignment horizontal="center" vertical="center"/>
    </xf>
    <xf numFmtId="174" fontId="0" fillId="0" borderId="0" xfId="0" applyNumberFormat="1" applyAlignment="1">
      <alignment horizontal="center"/>
    </xf>
    <xf numFmtId="1" fontId="60" fillId="0" borderId="127" xfId="0" applyNumberFormat="1" applyFont="1" applyBorder="1" applyAlignment="1">
      <alignment horizontal="center" vertical="center"/>
    </xf>
    <xf numFmtId="1" fontId="60" fillId="0" borderId="2" xfId="0" applyNumberFormat="1" applyFont="1" applyBorder="1" applyAlignment="1">
      <alignment horizontal="center" vertical="center"/>
    </xf>
    <xf numFmtId="10" fontId="71" fillId="35" borderId="98" xfId="26" applyNumberFormat="1" applyFont="1" applyFill="1" applyBorder="1"/>
    <xf numFmtId="168" fontId="55" fillId="0" borderId="0" xfId="16" applyNumberFormat="1" applyFont="1"/>
    <xf numFmtId="3" fontId="69" fillId="38" borderId="39" xfId="0" quotePrefix="1" applyNumberFormat="1" applyFont="1" applyFill="1" applyBorder="1" applyAlignment="1">
      <alignment horizontal="center" vertical="center"/>
    </xf>
    <xf numFmtId="3" fontId="69" fillId="38" borderId="37" xfId="0" quotePrefix="1" applyNumberFormat="1" applyFont="1" applyFill="1" applyBorder="1" applyAlignment="1">
      <alignment horizontal="center" vertical="center"/>
    </xf>
    <xf numFmtId="3" fontId="26" fillId="38" borderId="39" xfId="0" applyNumberFormat="1" applyFont="1" applyFill="1" applyBorder="1" applyAlignment="1">
      <alignment horizontal="center" vertical="center"/>
    </xf>
    <xf numFmtId="3" fontId="26" fillId="38" borderId="37" xfId="0" applyNumberFormat="1" applyFont="1" applyFill="1" applyBorder="1" applyAlignment="1">
      <alignment horizontal="center" vertical="center"/>
    </xf>
    <xf numFmtId="1" fontId="69" fillId="0" borderId="138" xfId="0" applyNumberFormat="1" applyFont="1" applyBorder="1" applyAlignment="1">
      <alignment horizontal="center" vertical="center"/>
    </xf>
    <xf numFmtId="1" fontId="26" fillId="0" borderId="138" xfId="0" applyNumberFormat="1" applyFont="1" applyBorder="1" applyAlignment="1">
      <alignment horizontal="center" vertical="center"/>
    </xf>
    <xf numFmtId="1" fontId="26" fillId="0" borderId="39" xfId="0" applyNumberFormat="1" applyFont="1" applyBorder="1" applyAlignment="1">
      <alignment horizontal="center" vertical="center"/>
    </xf>
    <xf numFmtId="1" fontId="26" fillId="0" borderId="129" xfId="0" applyNumberFormat="1" applyFont="1" applyBorder="1" applyAlignment="1">
      <alignment horizontal="center" vertical="center"/>
    </xf>
    <xf numFmtId="1" fontId="69" fillId="0" borderId="39" xfId="0" applyNumberFormat="1" applyFont="1" applyBorder="1" applyAlignment="1">
      <alignment horizontal="center" vertical="center"/>
    </xf>
    <xf numFmtId="1" fontId="69" fillId="0" borderId="129" xfId="0" applyNumberFormat="1" applyFont="1" applyBorder="1" applyAlignment="1">
      <alignment horizontal="center" vertical="center"/>
    </xf>
    <xf numFmtId="0" fontId="67" fillId="0" borderId="0" xfId="0" applyFont="1" applyAlignment="1">
      <alignment horizontal="center"/>
    </xf>
    <xf numFmtId="1" fontId="67" fillId="0" borderId="0" xfId="0" applyNumberFormat="1" applyFont="1" applyAlignment="1">
      <alignment horizontal="center"/>
    </xf>
    <xf numFmtId="1" fontId="72" fillId="0" borderId="0" xfId="0" applyNumberFormat="1" applyFont="1" applyAlignment="1">
      <alignment horizontal="left"/>
    </xf>
    <xf numFmtId="0" fontId="9" fillId="0" borderId="0" xfId="26" applyAlignment="1">
      <alignment vertical="center" wrapText="1"/>
    </xf>
    <xf numFmtId="3" fontId="53" fillId="34" borderId="100" xfId="5" applyFont="1" applyFill="1" applyBorder="1" applyAlignment="1">
      <alignment horizontal="right" vertical="center" wrapText="1"/>
    </xf>
    <xf numFmtId="4" fontId="9" fillId="34" borderId="100" xfId="7" applyFont="1" applyFill="1" applyBorder="1" applyAlignment="1">
      <alignment horizontal="right" vertical="center" wrapText="1"/>
    </xf>
    <xf numFmtId="4" fontId="33" fillId="0" borderId="98" xfId="7" applyFont="1" applyFill="1" applyBorder="1" applyAlignment="1">
      <alignment horizontal="right" vertical="center" wrapText="1"/>
    </xf>
    <xf numFmtId="0" fontId="9" fillId="0" borderId="98" xfId="10" applyFont="1" applyFill="1" applyBorder="1" applyAlignment="1">
      <alignment horizontal="right" vertical="center" wrapText="1"/>
    </xf>
    <xf numFmtId="0" fontId="21" fillId="0" borderId="0" xfId="8" applyFill="1" applyBorder="1" applyAlignment="1">
      <alignment wrapText="1"/>
    </xf>
    <xf numFmtId="0" fontId="9" fillId="0" borderId="0" xfId="26" applyAlignment="1">
      <alignment wrapText="1"/>
    </xf>
    <xf numFmtId="0" fontId="0" fillId="0" borderId="0" xfId="0" applyAlignment="1">
      <alignment wrapText="1"/>
    </xf>
    <xf numFmtId="0" fontId="0" fillId="0" borderId="0" xfId="26" applyFont="1"/>
    <xf numFmtId="2" fontId="9" fillId="0" borderId="0" xfId="26" applyNumberFormat="1"/>
    <xf numFmtId="2" fontId="0" fillId="0" borderId="0" xfId="26" applyNumberFormat="1" applyFont="1"/>
    <xf numFmtId="0" fontId="60" fillId="0" borderId="0" xfId="0" applyFont="1"/>
    <xf numFmtId="0" fontId="60" fillId="0" borderId="0" xfId="0" applyFont="1" applyAlignment="1">
      <alignment horizontal="center"/>
    </xf>
    <xf numFmtId="167" fontId="9" fillId="0" borderId="0" xfId="0" applyNumberFormat="1" applyFont="1"/>
    <xf numFmtId="166" fontId="9" fillId="0" borderId="0" xfId="0" applyNumberFormat="1" applyFont="1"/>
    <xf numFmtId="167" fontId="27" fillId="0" borderId="0" xfId="0" applyNumberFormat="1" applyFont="1"/>
    <xf numFmtId="168" fontId="9" fillId="24" borderId="17" xfId="16" applyNumberFormat="1" applyFont="1" applyFill="1" applyBorder="1" applyAlignment="1">
      <alignment horizontal="center"/>
    </xf>
    <xf numFmtId="0" fontId="48" fillId="9" borderId="59" xfId="0" applyFont="1" applyFill="1" applyBorder="1" applyAlignment="1">
      <alignment horizontal="center" vertical="center"/>
    </xf>
    <xf numFmtId="0" fontId="48" fillId="31" borderId="59" xfId="0" applyFont="1" applyFill="1" applyBorder="1" applyAlignment="1">
      <alignment horizontal="center" vertical="center"/>
    </xf>
    <xf numFmtId="4" fontId="26" fillId="9" borderId="98" xfId="7" applyFont="1" applyFill="1" applyBorder="1" applyAlignment="1">
      <alignment horizontal="right" vertical="center"/>
    </xf>
    <xf numFmtId="0" fontId="9" fillId="12" borderId="98" xfId="10" applyFont="1" applyFill="1" applyBorder="1" applyAlignment="1">
      <alignment horizontal="right" vertical="center"/>
    </xf>
    <xf numFmtId="0" fontId="48" fillId="5" borderId="125" xfId="0" applyFont="1" applyFill="1" applyBorder="1" applyAlignment="1">
      <alignment horizontal="center"/>
    </xf>
    <xf numFmtId="0" fontId="28" fillId="32" borderId="10" xfId="0" applyFont="1" applyFill="1" applyBorder="1" applyAlignment="1">
      <alignment horizontal="center"/>
    </xf>
    <xf numFmtId="0" fontId="0" fillId="8" borderId="171" xfId="0" applyFill="1" applyBorder="1" applyAlignment="1">
      <alignment vertical="center" wrapText="1"/>
    </xf>
    <xf numFmtId="0" fontId="48" fillId="5" borderId="110" xfId="0" applyFont="1" applyFill="1" applyBorder="1" applyAlignment="1">
      <alignment horizontal="center"/>
    </xf>
    <xf numFmtId="0" fontId="28" fillId="32" borderId="171" xfId="0" applyFont="1" applyFill="1" applyBorder="1" applyAlignment="1">
      <alignment horizontal="center"/>
    </xf>
    <xf numFmtId="0" fontId="14" fillId="17" borderId="87" xfId="0" applyFont="1" applyFill="1" applyBorder="1" applyAlignment="1">
      <alignment horizontal="left" vertical="center"/>
    </xf>
    <xf numFmtId="172" fontId="0" fillId="17" borderId="84" xfId="0" applyNumberFormat="1" applyFill="1" applyBorder="1" applyAlignment="1">
      <alignment horizontal="center"/>
    </xf>
    <xf numFmtId="0" fontId="14" fillId="17" borderId="88" xfId="0" applyFont="1" applyFill="1" applyBorder="1" applyAlignment="1">
      <alignment horizontal="left" vertical="center"/>
    </xf>
    <xf numFmtId="9" fontId="0" fillId="17" borderId="85" xfId="16" applyFont="1" applyFill="1" applyBorder="1" applyAlignment="1">
      <alignment horizontal="center"/>
    </xf>
    <xf numFmtId="2" fontId="0" fillId="17" borderId="85" xfId="0" applyNumberFormat="1" applyFill="1" applyBorder="1" applyAlignment="1">
      <alignment horizontal="center"/>
    </xf>
    <xf numFmtId="0" fontId="14" fillId="17" borderId="86" xfId="0" applyFont="1" applyFill="1" applyBorder="1" applyAlignment="1">
      <alignment horizontal="left" vertical="center"/>
    </xf>
    <xf numFmtId="2" fontId="0" fillId="17" borderId="83" xfId="0" applyNumberFormat="1" applyFill="1" applyBorder="1" applyAlignment="1">
      <alignment horizontal="center"/>
    </xf>
    <xf numFmtId="169" fontId="0" fillId="17" borderId="85" xfId="0" applyNumberFormat="1" applyFill="1" applyBorder="1" applyAlignment="1">
      <alignment horizontal="center"/>
    </xf>
    <xf numFmtId="0" fontId="14" fillId="0" borderId="88" xfId="0" applyFont="1" applyBorder="1" applyAlignment="1">
      <alignment horizontal="left" vertical="center"/>
    </xf>
    <xf numFmtId="2" fontId="0" fillId="0" borderId="83" xfId="0" applyNumberFormat="1" applyBorder="1" applyAlignment="1">
      <alignment horizontal="center"/>
    </xf>
    <xf numFmtId="0" fontId="14" fillId="0" borderId="87" xfId="0" applyFont="1" applyBorder="1" applyAlignment="1">
      <alignment horizontal="left" vertical="center"/>
    </xf>
    <xf numFmtId="2" fontId="0" fillId="0" borderId="85" xfId="0" applyNumberFormat="1" applyBorder="1" applyAlignment="1">
      <alignment horizontal="center"/>
    </xf>
    <xf numFmtId="2" fontId="0" fillId="17" borderId="84" xfId="0" applyNumberFormat="1" applyFill="1" applyBorder="1" applyAlignment="1">
      <alignment horizontal="center"/>
    </xf>
    <xf numFmtId="0" fontId="15" fillId="17" borderId="88" xfId="0" applyFont="1" applyFill="1" applyBorder="1" applyAlignment="1">
      <alignment horizontal="left" vertical="center"/>
    </xf>
    <xf numFmtId="2" fontId="0" fillId="17" borderId="85" xfId="16" applyNumberFormat="1" applyFont="1" applyFill="1" applyBorder="1" applyAlignment="1">
      <alignment horizontal="center"/>
    </xf>
    <xf numFmtId="175" fontId="0" fillId="17" borderId="85" xfId="0" applyNumberFormat="1" applyFill="1" applyBorder="1" applyAlignment="1">
      <alignment horizontal="center"/>
    </xf>
    <xf numFmtId="0" fontId="14" fillId="0" borderId="90" xfId="0" applyFont="1" applyBorder="1" applyAlignment="1">
      <alignment horizontal="left" vertical="center"/>
    </xf>
    <xf numFmtId="169" fontId="0" fillId="0" borderId="84" xfId="0" applyNumberFormat="1" applyBorder="1" applyAlignment="1">
      <alignment horizontal="center"/>
    </xf>
    <xf numFmtId="169" fontId="0" fillId="0" borderId="83" xfId="0" applyNumberFormat="1" applyBorder="1" applyAlignment="1">
      <alignment horizontal="center"/>
    </xf>
    <xf numFmtId="2" fontId="0" fillId="0" borderId="84" xfId="0" applyNumberFormat="1" applyBorder="1" applyAlignment="1">
      <alignment horizontal="center"/>
    </xf>
    <xf numFmtId="169" fontId="0" fillId="0" borderId="85" xfId="0" applyNumberFormat="1" applyBorder="1" applyAlignment="1">
      <alignment horizontal="center"/>
    </xf>
    <xf numFmtId="172" fontId="27" fillId="18" borderId="188" xfId="0" applyNumberFormat="1" applyFont="1" applyFill="1" applyBorder="1" applyAlignment="1">
      <alignment horizontal="center"/>
    </xf>
    <xf numFmtId="172" fontId="27" fillId="18" borderId="189" xfId="0" applyNumberFormat="1" applyFont="1" applyFill="1" applyBorder="1" applyAlignment="1">
      <alignment horizontal="center"/>
    </xf>
    <xf numFmtId="9" fontId="27" fillId="31" borderId="61" xfId="16" applyFont="1" applyFill="1" applyBorder="1" applyAlignment="1">
      <alignment horizontal="center" vertical="center"/>
    </xf>
    <xf numFmtId="9" fontId="27" fillId="18" borderId="188" xfId="16" applyFont="1" applyFill="1" applyBorder="1" applyAlignment="1">
      <alignment horizontal="center"/>
    </xf>
    <xf numFmtId="9" fontId="27" fillId="18" borderId="89" xfId="16" applyFont="1" applyFill="1" applyBorder="1" applyAlignment="1">
      <alignment horizontal="center"/>
    </xf>
    <xf numFmtId="9" fontId="27" fillId="18" borderId="189" xfId="16" applyFont="1" applyFill="1" applyBorder="1" applyAlignment="1">
      <alignment horizontal="center"/>
    </xf>
    <xf numFmtId="0" fontId="27" fillId="31" borderId="61" xfId="0" applyFont="1" applyFill="1" applyBorder="1" applyAlignment="1">
      <alignment horizontal="center" vertical="center"/>
    </xf>
    <xf numFmtId="2" fontId="27" fillId="18" borderId="89" xfId="0" applyNumberFormat="1" applyFont="1" applyFill="1" applyBorder="1" applyAlignment="1">
      <alignment horizontal="center"/>
    </xf>
    <xf numFmtId="2" fontId="27" fillId="18" borderId="189" xfId="0" applyNumberFormat="1" applyFont="1" applyFill="1" applyBorder="1" applyAlignment="1">
      <alignment horizontal="center"/>
    </xf>
    <xf numFmtId="2" fontId="27" fillId="31" borderId="61" xfId="16" applyNumberFormat="1" applyFont="1" applyFill="1" applyBorder="1" applyAlignment="1">
      <alignment horizontal="center" vertical="center"/>
    </xf>
    <xf numFmtId="2" fontId="27" fillId="18" borderId="188" xfId="0" applyNumberFormat="1" applyFont="1" applyFill="1" applyBorder="1" applyAlignment="1">
      <alignment horizontal="center"/>
    </xf>
    <xf numFmtId="10" fontId="27" fillId="31" borderId="61" xfId="0" applyNumberFormat="1" applyFont="1" applyFill="1" applyBorder="1" applyAlignment="1">
      <alignment horizontal="center" vertical="center"/>
    </xf>
    <xf numFmtId="171" fontId="27" fillId="31" borderId="61" xfId="19" applyNumberFormat="1" applyFont="1" applyFill="1" applyBorder="1" applyAlignment="1">
      <alignment horizontal="center" vertical="center"/>
    </xf>
    <xf numFmtId="2" fontId="27" fillId="18" borderId="89" xfId="16" applyNumberFormat="1" applyFont="1" applyFill="1" applyBorder="1" applyAlignment="1">
      <alignment horizontal="center"/>
    </xf>
    <xf numFmtId="0" fontId="27" fillId="31" borderId="61" xfId="0" applyFont="1" applyFill="1" applyBorder="1" applyAlignment="1">
      <alignment horizontal="center"/>
    </xf>
    <xf numFmtId="9" fontId="27" fillId="18" borderId="63" xfId="16" applyFont="1" applyFill="1" applyBorder="1" applyAlignment="1">
      <alignment horizontal="center"/>
    </xf>
    <xf numFmtId="0" fontId="14" fillId="0" borderId="80" xfId="0" applyFont="1" applyBorder="1" applyAlignment="1">
      <alignment horizontal="left"/>
    </xf>
    <xf numFmtId="9" fontId="9" fillId="0" borderId="190" xfId="0" applyNumberFormat="1" applyFont="1" applyBorder="1" applyAlignment="1">
      <alignment horizontal="center"/>
    </xf>
    <xf numFmtId="3" fontId="55" fillId="0" borderId="127" xfId="0" applyNumberFormat="1" applyFont="1" applyBorder="1" applyAlignment="1">
      <alignment horizontal="center" vertical="center"/>
    </xf>
    <xf numFmtId="0" fontId="55" fillId="0" borderId="191" xfId="0" applyFont="1" applyBorder="1"/>
    <xf numFmtId="0" fontId="55" fillId="0" borderId="36" xfId="0" applyFont="1" applyBorder="1"/>
    <xf numFmtId="10" fontId="6" fillId="0" borderId="0" xfId="29" quotePrefix="1" applyNumberFormat="1" applyAlignment="1">
      <alignment horizontal="right"/>
    </xf>
    <xf numFmtId="1" fontId="55" fillId="40" borderId="192" xfId="0" applyNumberFormat="1" applyFont="1" applyFill="1" applyBorder="1" applyAlignment="1">
      <alignment horizontal="center" vertical="center"/>
    </xf>
    <xf numFmtId="1" fontId="55" fillId="40" borderId="28" xfId="0" applyNumberFormat="1" applyFont="1" applyFill="1" applyBorder="1" applyAlignment="1">
      <alignment horizontal="center" vertical="center"/>
    </xf>
    <xf numFmtId="1" fontId="0" fillId="0" borderId="160" xfId="0" applyNumberFormat="1" applyBorder="1" applyAlignment="1">
      <alignment horizontal="center" vertical="center"/>
    </xf>
    <xf numFmtId="1" fontId="0" fillId="0" borderId="3" xfId="0" applyNumberFormat="1" applyBorder="1" applyAlignment="1">
      <alignment horizontal="center" vertical="center"/>
    </xf>
    <xf numFmtId="1" fontId="0" fillId="0" borderId="165" xfId="0" applyNumberFormat="1" applyBorder="1" applyAlignment="1">
      <alignment horizontal="center" vertical="center"/>
    </xf>
    <xf numFmtId="1" fontId="0" fillId="0" borderId="29" xfId="0" applyNumberFormat="1" applyBorder="1" applyAlignment="1">
      <alignment horizontal="center" vertical="center"/>
    </xf>
    <xf numFmtId="0" fontId="28" fillId="0" borderId="0" xfId="26" applyFont="1" applyAlignment="1">
      <alignment horizontal="center" vertical="center"/>
    </xf>
    <xf numFmtId="4" fontId="26" fillId="0" borderId="0" xfId="7" applyFont="1" applyFill="1" applyBorder="1">
      <alignment horizontal="right"/>
    </xf>
    <xf numFmtId="0" fontId="48" fillId="31" borderId="53" xfId="0" applyFont="1" applyFill="1" applyBorder="1" applyAlignment="1">
      <alignment horizontal="left" vertical="center"/>
    </xf>
    <xf numFmtId="10" fontId="0" fillId="0" borderId="44" xfId="0" applyNumberFormat="1" applyBorder="1" applyAlignment="1">
      <alignment horizontal="center" vertical="center"/>
    </xf>
    <xf numFmtId="0" fontId="14" fillId="8" borderId="90" xfId="0" applyFont="1" applyFill="1" applyBorder="1" applyAlignment="1">
      <alignment horizontal="left" vertical="center"/>
    </xf>
    <xf numFmtId="10" fontId="0" fillId="8" borderId="91" xfId="16" applyNumberFormat="1" applyFont="1" applyFill="1" applyBorder="1" applyAlignment="1">
      <alignment horizontal="center" vertical="center"/>
    </xf>
    <xf numFmtId="10" fontId="0" fillId="8" borderId="92" xfId="16" applyNumberFormat="1" applyFont="1" applyFill="1" applyBorder="1" applyAlignment="1">
      <alignment horizontal="center" vertical="center"/>
    </xf>
    <xf numFmtId="0" fontId="48" fillId="0" borderId="0" xfId="0" applyFont="1" applyAlignment="1">
      <alignment horizontal="left" vertical="center"/>
    </xf>
    <xf numFmtId="0" fontId="59" fillId="36" borderId="63" xfId="0" applyFont="1" applyFill="1" applyBorder="1" applyAlignment="1">
      <alignment horizontal="center" vertical="center"/>
    </xf>
    <xf numFmtId="172" fontId="0" fillId="0" borderId="188" xfId="0" applyNumberFormat="1" applyBorder="1" applyAlignment="1">
      <alignment horizontal="center"/>
    </xf>
    <xf numFmtId="172" fontId="0" fillId="17" borderId="189" xfId="0" applyNumberFormat="1" applyFill="1" applyBorder="1" applyAlignment="1">
      <alignment horizontal="center"/>
    </xf>
    <xf numFmtId="0" fontId="0" fillId="31" borderId="61" xfId="0" applyFill="1" applyBorder="1" applyAlignment="1">
      <alignment horizontal="center"/>
    </xf>
    <xf numFmtId="9" fontId="0" fillId="17" borderId="89" xfId="16" applyFont="1" applyFill="1" applyBorder="1" applyAlignment="1">
      <alignment horizontal="center"/>
    </xf>
    <xf numFmtId="9" fontId="0" fillId="17" borderId="189" xfId="16" applyFont="1" applyFill="1" applyBorder="1" applyAlignment="1">
      <alignment horizontal="center"/>
    </xf>
    <xf numFmtId="2" fontId="0" fillId="0" borderId="188" xfId="0" applyNumberFormat="1" applyBorder="1" applyAlignment="1">
      <alignment horizontal="center"/>
    </xf>
    <xf numFmtId="2" fontId="0" fillId="17" borderId="89" xfId="0" applyNumberFormat="1" applyFill="1" applyBorder="1" applyAlignment="1">
      <alignment horizontal="center"/>
    </xf>
    <xf numFmtId="2" fontId="0" fillId="0" borderId="189" xfId="0" applyNumberFormat="1" applyBorder="1" applyAlignment="1">
      <alignment horizontal="center"/>
    </xf>
    <xf numFmtId="2" fontId="0" fillId="17" borderId="188" xfId="0" applyNumberFormat="1" applyFill="1" applyBorder="1" applyAlignment="1">
      <alignment horizontal="center"/>
    </xf>
    <xf numFmtId="2" fontId="0" fillId="0" borderId="89" xfId="0" applyNumberFormat="1" applyBorder="1" applyAlignment="1">
      <alignment horizontal="center"/>
    </xf>
    <xf numFmtId="2" fontId="0" fillId="17" borderId="189" xfId="0" applyNumberFormat="1" applyFill="1" applyBorder="1" applyAlignment="1">
      <alignment horizontal="center"/>
    </xf>
    <xf numFmtId="169" fontId="0" fillId="0" borderId="188" xfId="0" applyNumberFormat="1" applyBorder="1" applyAlignment="1">
      <alignment horizontal="center"/>
    </xf>
    <xf numFmtId="169" fontId="0" fillId="17" borderId="89" xfId="0" applyNumberFormat="1" applyFill="1" applyBorder="1" applyAlignment="1">
      <alignment horizontal="center"/>
    </xf>
    <xf numFmtId="169" fontId="0" fillId="0" borderId="89" xfId="0" applyNumberFormat="1" applyBorder="1" applyAlignment="1">
      <alignment horizontal="center"/>
    </xf>
    <xf numFmtId="169" fontId="0" fillId="0" borderId="189" xfId="0" applyNumberFormat="1" applyBorder="1" applyAlignment="1">
      <alignment horizontal="center"/>
    </xf>
    <xf numFmtId="2" fontId="0" fillId="17" borderId="89" xfId="16" applyNumberFormat="1" applyFont="1" applyFill="1" applyBorder="1" applyAlignment="1">
      <alignment horizontal="center"/>
    </xf>
    <xf numFmtId="10" fontId="0" fillId="17" borderId="89" xfId="16" applyNumberFormat="1" applyFont="1" applyFill="1" applyBorder="1" applyAlignment="1">
      <alignment horizontal="center" vertical="center"/>
    </xf>
    <xf numFmtId="0" fontId="74" fillId="36" borderId="61" xfId="0" applyFont="1" applyFill="1" applyBorder="1" applyAlignment="1">
      <alignment horizontal="center" vertical="center" wrapText="1"/>
    </xf>
    <xf numFmtId="0" fontId="28" fillId="5" borderId="196" xfId="26" applyFont="1" applyFill="1" applyBorder="1" applyAlignment="1">
      <alignment horizontal="center" vertical="center"/>
    </xf>
    <xf numFmtId="4" fontId="26" fillId="28" borderId="197" xfId="7" applyFont="1" applyFill="1" applyBorder="1">
      <alignment horizontal="right"/>
    </xf>
    <xf numFmtId="4" fontId="9" fillId="12" borderId="197" xfId="7" applyFont="1" applyFill="1" applyBorder="1">
      <alignment horizontal="right"/>
    </xf>
    <xf numFmtId="4" fontId="33" fillId="9" borderId="198" xfId="7" applyFont="1" applyFill="1" applyBorder="1">
      <alignment horizontal="right"/>
    </xf>
    <xf numFmtId="0" fontId="59" fillId="36" borderId="0" xfId="24" applyFont="1" applyFill="1"/>
    <xf numFmtId="0" fontId="75" fillId="36" borderId="0" xfId="24" applyFont="1" applyFill="1" applyAlignment="1">
      <alignment horizontal="left" vertical="center"/>
    </xf>
    <xf numFmtId="0" fontId="75" fillId="36" borderId="0" xfId="24" applyFont="1" applyFill="1" applyAlignment="1">
      <alignment horizontal="center" vertical="center"/>
    </xf>
    <xf numFmtId="0" fontId="9" fillId="31" borderId="0" xfId="24" applyFill="1"/>
    <xf numFmtId="0" fontId="9" fillId="0" borderId="0" xfId="24"/>
    <xf numFmtId="0" fontId="9" fillId="8" borderId="0" xfId="24" applyFill="1"/>
    <xf numFmtId="0" fontId="39" fillId="0" borderId="0" xfId="24" applyFont="1"/>
    <xf numFmtId="10" fontId="9" fillId="8" borderId="0" xfId="24" applyNumberFormat="1" applyFill="1"/>
    <xf numFmtId="0" fontId="9" fillId="0" borderId="0" xfId="24" applyAlignment="1">
      <alignment horizontal="left"/>
    </xf>
    <xf numFmtId="10" fontId="9" fillId="0" borderId="0" xfId="24" applyNumberFormat="1"/>
    <xf numFmtId="0" fontId="51" fillId="31" borderId="0" xfId="24" applyFont="1" applyFill="1"/>
    <xf numFmtId="0" fontId="28" fillId="32" borderId="207" xfId="0" applyFont="1" applyFill="1" applyBorder="1" applyAlignment="1">
      <alignment horizontal="center"/>
    </xf>
    <xf numFmtId="0" fontId="14" fillId="0" borderId="207" xfId="0" applyFont="1" applyBorder="1" applyAlignment="1">
      <alignment horizontal="center"/>
    </xf>
    <xf numFmtId="0" fontId="0" fillId="0" borderId="207" xfId="0" applyBorder="1" applyAlignment="1">
      <alignment horizontal="center"/>
    </xf>
    <xf numFmtId="0" fontId="58" fillId="0" borderId="0" xfId="24" applyFont="1" applyAlignment="1">
      <alignment horizontal="center"/>
    </xf>
    <xf numFmtId="0" fontId="9" fillId="24" borderId="0" xfId="0" applyFont="1" applyFill="1" applyAlignment="1">
      <alignment horizontal="center" vertical="center"/>
    </xf>
    <xf numFmtId="176" fontId="77" fillId="46" borderId="0" xfId="16" applyNumberFormat="1" applyFont="1" applyFill="1" applyBorder="1" applyAlignment="1">
      <alignment horizontal="center"/>
    </xf>
    <xf numFmtId="0" fontId="59" fillId="0" borderId="0" xfId="24" applyFont="1"/>
    <xf numFmtId="0" fontId="75" fillId="0" borderId="0" xfId="24" applyFont="1" applyAlignment="1">
      <alignment horizontal="center" vertical="center"/>
    </xf>
    <xf numFmtId="0" fontId="76" fillId="0" borderId="0" xfId="0" applyFont="1" applyAlignment="1">
      <alignment horizontal="center"/>
    </xf>
    <xf numFmtId="0" fontId="14" fillId="8" borderId="0" xfId="24" applyFont="1" applyFill="1" applyAlignment="1">
      <alignment horizontal="center" vertical="center"/>
    </xf>
    <xf numFmtId="0" fontId="79" fillId="5" borderId="98" xfId="4" applyFont="1" applyFill="1" applyBorder="1" applyAlignment="1">
      <alignment horizontal="center" vertical="center"/>
    </xf>
    <xf numFmtId="0" fontId="48" fillId="16" borderId="61" xfId="0" applyFont="1" applyFill="1" applyBorder="1" applyAlignment="1">
      <alignment horizontal="center" vertical="center" wrapText="1"/>
    </xf>
    <xf numFmtId="0" fontId="14" fillId="0" borderId="0" xfId="0" applyFont="1" applyAlignment="1">
      <alignment vertical="center"/>
    </xf>
    <xf numFmtId="3" fontId="63" fillId="38" borderId="155" xfId="0" applyNumberFormat="1" applyFont="1" applyFill="1" applyBorder="1" applyAlignment="1">
      <alignment horizontal="center" vertical="center"/>
    </xf>
    <xf numFmtId="10" fontId="36" fillId="19" borderId="0" xfId="16" applyNumberFormat="1" applyFont="1" applyFill="1" applyAlignment="1">
      <alignment horizontal="center"/>
    </xf>
    <xf numFmtId="168" fontId="36" fillId="19" borderId="0" xfId="16" applyNumberFormat="1" applyFont="1" applyFill="1" applyAlignment="1">
      <alignment horizontal="center"/>
    </xf>
    <xf numFmtId="10" fontId="36" fillId="19" borderId="0" xfId="0" applyNumberFormat="1" applyFont="1" applyFill="1" applyAlignment="1">
      <alignment horizontal="center"/>
    </xf>
    <xf numFmtId="4" fontId="6" fillId="0" borderId="158" xfId="29" applyNumberFormat="1" applyBorder="1" applyAlignment="1">
      <alignment horizontal="center"/>
    </xf>
    <xf numFmtId="1" fontId="55" fillId="0" borderId="136" xfId="0" applyNumberFormat="1" applyFont="1" applyBorder="1" applyAlignment="1">
      <alignment horizontal="center" vertical="center"/>
    </xf>
    <xf numFmtId="1" fontId="55" fillId="0" borderId="137" xfId="0" applyNumberFormat="1" applyFont="1" applyBorder="1" applyAlignment="1">
      <alignment horizontal="center" vertical="center"/>
    </xf>
    <xf numFmtId="4" fontId="6" fillId="0" borderId="152" xfId="29" applyNumberFormat="1" applyBorder="1" applyAlignment="1">
      <alignment horizontal="center"/>
    </xf>
    <xf numFmtId="4" fontId="6" fillId="0" borderId="153" xfId="29" applyNumberFormat="1" applyBorder="1" applyAlignment="1">
      <alignment horizontal="center"/>
    </xf>
    <xf numFmtId="0" fontId="55" fillId="0" borderId="0" xfId="0" applyFont="1" applyAlignment="1">
      <alignment horizontal="center" vertical="center"/>
    </xf>
    <xf numFmtId="0" fontId="9" fillId="0" borderId="0" xfId="24" applyAlignment="1">
      <alignment horizontal="center"/>
    </xf>
    <xf numFmtId="0" fontId="55" fillId="0" borderId="214" xfId="0" applyFont="1" applyBorder="1" applyAlignment="1">
      <alignment horizontal="center" vertical="center"/>
    </xf>
    <xf numFmtId="10" fontId="9" fillId="0" borderId="39" xfId="0" applyNumberFormat="1" applyFont="1" applyBorder="1" applyAlignment="1">
      <alignment horizontal="center" vertical="center"/>
    </xf>
    <xf numFmtId="0" fontId="66" fillId="0" borderId="39" xfId="29" applyFont="1" applyBorder="1"/>
    <xf numFmtId="0" fontId="14" fillId="0" borderId="219" xfId="0" applyFont="1" applyBorder="1" applyAlignment="1">
      <alignment horizontal="center"/>
    </xf>
    <xf numFmtId="10" fontId="0" fillId="33" borderId="63" xfId="0" applyNumberFormat="1" applyFill="1" applyBorder="1"/>
    <xf numFmtId="1" fontId="60" fillId="0" borderId="231" xfId="0" applyNumberFormat="1" applyFont="1" applyBorder="1" applyAlignment="1">
      <alignment horizontal="center" vertical="center"/>
    </xf>
    <xf numFmtId="1" fontId="60" fillId="41" borderId="232" xfId="0" applyNumberFormat="1" applyFont="1" applyFill="1" applyBorder="1" applyAlignment="1">
      <alignment horizontal="center" vertical="center"/>
    </xf>
    <xf numFmtId="1" fontId="60" fillId="41" borderId="233" xfId="0" applyNumberFormat="1" applyFont="1" applyFill="1" applyBorder="1" applyAlignment="1">
      <alignment horizontal="center" vertical="center"/>
    </xf>
    <xf numFmtId="1" fontId="60" fillId="0" borderId="230" xfId="0" applyNumberFormat="1" applyFont="1" applyBorder="1" applyAlignment="1">
      <alignment horizontal="center" vertical="center"/>
    </xf>
    <xf numFmtId="1" fontId="60" fillId="41" borderId="230" xfId="0" applyNumberFormat="1" applyFont="1" applyFill="1" applyBorder="1" applyAlignment="1">
      <alignment horizontal="center" vertical="center"/>
    </xf>
    <xf numFmtId="1" fontId="60" fillId="41" borderId="231" xfId="0" applyNumberFormat="1" applyFont="1" applyFill="1" applyBorder="1" applyAlignment="1">
      <alignment horizontal="center" vertical="center"/>
    </xf>
    <xf numFmtId="1" fontId="60" fillId="0" borderId="233" xfId="0" applyNumberFormat="1" applyFont="1" applyBorder="1" applyAlignment="1">
      <alignment horizontal="center" vertical="center"/>
    </xf>
    <xf numFmtId="3" fontId="60" fillId="41" borderId="235" xfId="0" applyNumberFormat="1" applyFont="1" applyFill="1" applyBorder="1" applyAlignment="1">
      <alignment horizontal="center" vertical="center"/>
    </xf>
    <xf numFmtId="3" fontId="60" fillId="41" borderId="236" xfId="0" applyNumberFormat="1" applyFont="1" applyFill="1" applyBorder="1" applyAlignment="1">
      <alignment horizontal="center" vertical="center"/>
    </xf>
    <xf numFmtId="3" fontId="60" fillId="41" borderId="237" xfId="0" applyNumberFormat="1" applyFont="1" applyFill="1" applyBorder="1" applyAlignment="1">
      <alignment horizontal="center" vertical="center"/>
    </xf>
    <xf numFmtId="3" fontId="60" fillId="41" borderId="238" xfId="0" applyNumberFormat="1" applyFont="1" applyFill="1" applyBorder="1" applyAlignment="1">
      <alignment horizontal="center" vertical="center"/>
    </xf>
    <xf numFmtId="3" fontId="60" fillId="41" borderId="239" xfId="0" applyNumberFormat="1" applyFont="1" applyFill="1" applyBorder="1" applyAlignment="1">
      <alignment horizontal="center" vertical="center"/>
    </xf>
    <xf numFmtId="0" fontId="60" fillId="0" borderId="37" xfId="0" applyFont="1" applyBorder="1" applyAlignment="1">
      <alignment horizontal="center" vertical="center"/>
    </xf>
    <xf numFmtId="3" fontId="60" fillId="40" borderId="37" xfId="0" applyNumberFormat="1" applyFont="1" applyFill="1" applyBorder="1" applyAlignment="1">
      <alignment horizontal="center" vertical="center"/>
    </xf>
    <xf numFmtId="0" fontId="60" fillId="41" borderId="37" xfId="0" applyFont="1" applyFill="1" applyBorder="1" applyAlignment="1">
      <alignment horizontal="center" vertical="center"/>
    </xf>
    <xf numFmtId="3" fontId="60" fillId="40" borderId="37" xfId="0" quotePrefix="1" applyNumberFormat="1" applyFont="1" applyFill="1" applyBorder="1" applyAlignment="1">
      <alignment horizontal="center" vertical="center"/>
    </xf>
    <xf numFmtId="3" fontId="60" fillId="0" borderId="37" xfId="0" applyNumberFormat="1" applyFont="1" applyBorder="1" applyAlignment="1">
      <alignment horizontal="center" vertical="center"/>
    </xf>
    <xf numFmtId="0" fontId="57" fillId="0" borderId="103" xfId="0" applyFont="1" applyBorder="1" applyAlignment="1">
      <alignment horizontal="center"/>
    </xf>
    <xf numFmtId="0" fontId="14" fillId="0" borderId="232" xfId="0" applyFont="1" applyBorder="1" applyAlignment="1">
      <alignment horizontal="center"/>
    </xf>
    <xf numFmtId="0" fontId="9" fillId="37" borderId="240" xfId="0" applyFont="1" applyFill="1" applyBorder="1"/>
    <xf numFmtId="0" fontId="14" fillId="0" borderId="240" xfId="0" applyFont="1" applyBorder="1"/>
    <xf numFmtId="0" fontId="9" fillId="0" borderId="240" xfId="0" applyFont="1" applyBorder="1"/>
    <xf numFmtId="0" fontId="14" fillId="0" borderId="241" xfId="0" applyFont="1" applyBorder="1" applyAlignment="1">
      <alignment horizontal="center"/>
    </xf>
    <xf numFmtId="0" fontId="9" fillId="0" borderId="134" xfId="0" applyFont="1" applyBorder="1"/>
    <xf numFmtId="9" fontId="34" fillId="38" borderId="167" xfId="16" applyFont="1" applyFill="1" applyBorder="1" applyAlignment="1">
      <alignment horizontal="center" vertical="center"/>
    </xf>
    <xf numFmtId="168" fontId="34" fillId="38" borderId="38" xfId="16" applyNumberFormat="1" applyFont="1" applyFill="1" applyBorder="1" applyAlignment="1">
      <alignment horizontal="center" vertical="center"/>
    </xf>
    <xf numFmtId="3" fontId="63" fillId="0" borderId="38" xfId="0" applyNumberFormat="1" applyFont="1" applyBorder="1" applyAlignment="1">
      <alignment horizontal="center" vertical="center"/>
    </xf>
    <xf numFmtId="3" fontId="26" fillId="38" borderId="38" xfId="0" applyNumberFormat="1" applyFont="1" applyFill="1" applyBorder="1" applyAlignment="1">
      <alignment horizontal="center" vertical="center"/>
    </xf>
    <xf numFmtId="3" fontId="63" fillId="38" borderId="38" xfId="0" applyNumberFormat="1" applyFont="1" applyFill="1" applyBorder="1" applyAlignment="1">
      <alignment horizontal="center" vertical="center"/>
    </xf>
    <xf numFmtId="0" fontId="63" fillId="0" borderId="38" xfId="0" applyFont="1" applyBorder="1" applyAlignment="1">
      <alignment horizontal="center" vertical="center"/>
    </xf>
    <xf numFmtId="3" fontId="69" fillId="38" borderId="38" xfId="0" quotePrefix="1" applyNumberFormat="1" applyFont="1" applyFill="1" applyBorder="1" applyAlignment="1">
      <alignment horizontal="center" vertical="center"/>
    </xf>
    <xf numFmtId="0" fontId="63" fillId="38" borderId="242" xfId="0" applyFont="1" applyFill="1" applyBorder="1" applyAlignment="1">
      <alignment horizontal="center" vertical="center"/>
    </xf>
    <xf numFmtId="0" fontId="57" fillId="0" borderId="243" xfId="0" applyFont="1" applyBorder="1" applyAlignment="1">
      <alignment horizontal="center"/>
    </xf>
    <xf numFmtId="0" fontId="58" fillId="0" borderId="176" xfId="0" applyFont="1" applyBorder="1" applyAlignment="1">
      <alignment horizontal="center"/>
    </xf>
    <xf numFmtId="0" fontId="14" fillId="37" borderId="240" xfId="0" applyFont="1" applyFill="1" applyBorder="1"/>
    <xf numFmtId="0" fontId="28" fillId="32" borderId="20" xfId="0" applyFont="1" applyFill="1" applyBorder="1" applyAlignment="1">
      <alignment horizontal="center"/>
    </xf>
    <xf numFmtId="14" fontId="14" fillId="0" borderId="245" xfId="0" applyNumberFormat="1" applyFont="1" applyBorder="1" applyAlignment="1">
      <alignment horizontal="center" vertical="center"/>
    </xf>
    <xf numFmtId="14" fontId="14" fillId="0" borderId="246" xfId="0" applyNumberFormat="1" applyFont="1" applyBorder="1" applyAlignment="1">
      <alignment horizontal="center" vertical="center"/>
    </xf>
    <xf numFmtId="0" fontId="9" fillId="0" borderId="250" xfId="0" applyFont="1" applyBorder="1" applyAlignment="1">
      <alignment horizontal="center" vertical="center"/>
    </xf>
    <xf numFmtId="0" fontId="0" fillId="0" borderId="251" xfId="0" applyBorder="1" applyAlignment="1">
      <alignment horizontal="center" vertical="center"/>
    </xf>
    <xf numFmtId="0" fontId="0" fillId="0" borderId="252" xfId="0" applyBorder="1"/>
    <xf numFmtId="0" fontId="0" fillId="0" borderId="252" xfId="0" quotePrefix="1" applyBorder="1"/>
    <xf numFmtId="2" fontId="0" fillId="24" borderId="253" xfId="16" applyNumberFormat="1" applyFont="1" applyFill="1" applyBorder="1" applyAlignment="1">
      <alignment horizontal="center"/>
    </xf>
    <xf numFmtId="168" fontId="0" fillId="24" borderId="253" xfId="16" applyNumberFormat="1" applyFont="1" applyFill="1" applyBorder="1" applyAlignment="1">
      <alignment horizontal="center"/>
    </xf>
    <xf numFmtId="169" fontId="0" fillId="24" borderId="253" xfId="16" applyNumberFormat="1" applyFont="1" applyFill="1" applyBorder="1" applyAlignment="1">
      <alignment horizontal="center"/>
    </xf>
    <xf numFmtId="169" fontId="0" fillId="24" borderId="253" xfId="0" applyNumberFormat="1" applyFill="1" applyBorder="1" applyAlignment="1">
      <alignment horizontal="center"/>
    </xf>
    <xf numFmtId="0" fontId="14" fillId="0" borderId="252" xfId="0" applyFont="1" applyBorder="1" applyAlignment="1">
      <alignment horizontal="center"/>
    </xf>
    <xf numFmtId="0" fontId="0" fillId="7" borderId="0" xfId="0" applyFill="1"/>
    <xf numFmtId="14" fontId="41" fillId="0" borderId="247" xfId="0" applyNumberFormat="1" applyFont="1" applyBorder="1" applyAlignment="1">
      <alignment horizontal="center" vertical="center"/>
    </xf>
    <xf numFmtId="177" fontId="9" fillId="24" borderId="17" xfId="34" applyNumberFormat="1" applyFont="1" applyFill="1" applyBorder="1" applyAlignment="1">
      <alignment horizontal="center" vertical="center"/>
    </xf>
    <xf numFmtId="10" fontId="0" fillId="24" borderId="253" xfId="16" applyNumberFormat="1" applyFont="1" applyFill="1" applyBorder="1" applyAlignment="1">
      <alignment horizontal="center"/>
    </xf>
    <xf numFmtId="0" fontId="14" fillId="48" borderId="258" xfId="0" applyFont="1" applyFill="1" applyBorder="1" applyAlignment="1">
      <alignment horizontal="center"/>
    </xf>
    <xf numFmtId="0" fontId="14" fillId="48" borderId="259" xfId="0" applyFont="1" applyFill="1" applyBorder="1" applyAlignment="1">
      <alignment horizontal="center"/>
    </xf>
    <xf numFmtId="10" fontId="9" fillId="48" borderId="260" xfId="0" applyNumberFormat="1" applyFont="1" applyFill="1" applyBorder="1" applyAlignment="1">
      <alignment horizontal="center"/>
    </xf>
    <xf numFmtId="10" fontId="0" fillId="0" borderId="261" xfId="0" applyNumberFormat="1" applyBorder="1" applyAlignment="1">
      <alignment horizontal="center"/>
    </xf>
    <xf numFmtId="2" fontId="9" fillId="48" borderId="262" xfId="0" applyNumberFormat="1" applyFont="1" applyFill="1" applyBorder="1" applyAlignment="1">
      <alignment horizontal="center"/>
    </xf>
    <xf numFmtId="2" fontId="0" fillId="0" borderId="117" xfId="0" applyNumberFormat="1" applyBorder="1" applyAlignment="1">
      <alignment horizontal="center"/>
    </xf>
    <xf numFmtId="10" fontId="0" fillId="8" borderId="261" xfId="0" applyNumberFormat="1" applyFill="1" applyBorder="1" applyAlignment="1">
      <alignment horizontal="center"/>
    </xf>
    <xf numFmtId="0" fontId="0" fillId="49" borderId="263" xfId="0" applyFill="1" applyBorder="1" applyAlignment="1">
      <alignment horizontal="center"/>
    </xf>
    <xf numFmtId="0" fontId="0" fillId="0" borderId="264" xfId="0" applyBorder="1" applyAlignment="1">
      <alignment horizontal="center"/>
    </xf>
    <xf numFmtId="10" fontId="0" fillId="48" borderId="120" xfId="0" applyNumberFormat="1" applyFill="1" applyBorder="1" applyAlignment="1">
      <alignment horizontal="center"/>
    </xf>
    <xf numFmtId="0" fontId="0" fillId="0" borderId="265" xfId="0" applyBorder="1" applyAlignment="1">
      <alignment horizontal="center"/>
    </xf>
    <xf numFmtId="10" fontId="0" fillId="0" borderId="266" xfId="0" applyNumberFormat="1" applyBorder="1" applyAlignment="1">
      <alignment horizontal="center"/>
    </xf>
    <xf numFmtId="0" fontId="14" fillId="49" borderId="257" xfId="0" applyFont="1" applyFill="1" applyBorder="1" applyAlignment="1">
      <alignment horizontal="center"/>
    </xf>
    <xf numFmtId="0" fontId="0" fillId="49" borderId="267" xfId="0" applyFill="1" applyBorder="1" applyAlignment="1">
      <alignment horizontal="center"/>
    </xf>
    <xf numFmtId="10" fontId="0" fillId="0" borderId="268" xfId="0" applyNumberFormat="1" applyBorder="1" applyAlignment="1">
      <alignment horizontal="center"/>
    </xf>
    <xf numFmtId="3" fontId="55" fillId="0" borderId="157" xfId="0" applyNumberFormat="1" applyFont="1" applyBorder="1"/>
    <xf numFmtId="10" fontId="0" fillId="48" borderId="267" xfId="0" applyNumberFormat="1" applyFill="1" applyBorder="1" applyAlignment="1">
      <alignment horizontal="center"/>
    </xf>
    <xf numFmtId="0" fontId="0" fillId="49" borderId="109" xfId="0" applyFill="1" applyBorder="1" applyAlignment="1">
      <alignment horizontal="center"/>
    </xf>
    <xf numFmtId="10" fontId="0" fillId="48" borderId="109" xfId="0" applyNumberFormat="1" applyFill="1" applyBorder="1" applyAlignment="1">
      <alignment horizontal="center"/>
    </xf>
    <xf numFmtId="0" fontId="0" fillId="0" borderId="0" xfId="24" applyFont="1"/>
    <xf numFmtId="0" fontId="0" fillId="31" borderId="0" xfId="24" applyFont="1" applyFill="1"/>
    <xf numFmtId="10" fontId="0" fillId="8" borderId="0" xfId="24" applyNumberFormat="1" applyFont="1" applyFill="1"/>
    <xf numFmtId="2" fontId="0" fillId="48" borderId="262" xfId="0" applyNumberFormat="1" applyFill="1" applyBorder="1" applyAlignment="1">
      <alignment horizontal="center"/>
    </xf>
    <xf numFmtId="2" fontId="0" fillId="0" borderId="261" xfId="0" applyNumberFormat="1" applyBorder="1" applyAlignment="1">
      <alignment horizontal="center"/>
    </xf>
    <xf numFmtId="9" fontId="36" fillId="0" borderId="0" xfId="16" applyFont="1"/>
    <xf numFmtId="0" fontId="36" fillId="0" borderId="0" xfId="0" applyFont="1" applyAlignment="1">
      <alignment wrapText="1"/>
    </xf>
    <xf numFmtId="9" fontId="36" fillId="0" borderId="0" xfId="16" applyFont="1" applyAlignment="1">
      <alignment horizontal="right"/>
    </xf>
    <xf numFmtId="3" fontId="36" fillId="30" borderId="0" xfId="0" applyNumberFormat="1" applyFont="1" applyFill="1" applyAlignment="1">
      <alignment horizontal="center" vertical="center"/>
    </xf>
    <xf numFmtId="10" fontId="0" fillId="50" borderId="261" xfId="0" applyNumberFormat="1" applyFill="1" applyBorder="1" applyAlignment="1">
      <alignment horizontal="center"/>
    </xf>
    <xf numFmtId="9" fontId="0" fillId="50" borderId="261" xfId="0" applyNumberFormat="1" applyFill="1" applyBorder="1" applyAlignment="1">
      <alignment horizontal="center"/>
    </xf>
    <xf numFmtId="10" fontId="77" fillId="46" borderId="0" xfId="16" applyNumberFormat="1" applyFont="1" applyFill="1" applyBorder="1" applyAlignment="1">
      <alignment horizontal="center"/>
    </xf>
    <xf numFmtId="0" fontId="0" fillId="0" borderId="37" xfId="0" applyBorder="1" applyAlignment="1">
      <alignment horizontal="center"/>
    </xf>
    <xf numFmtId="0" fontId="55" fillId="0" borderId="39" xfId="0" applyFont="1" applyBorder="1" applyAlignment="1">
      <alignment horizontal="left"/>
    </xf>
    <xf numFmtId="0" fontId="0" fillId="0" borderId="38" xfId="0" applyBorder="1" applyAlignment="1">
      <alignment horizontal="center"/>
    </xf>
    <xf numFmtId="0" fontId="0" fillId="0" borderId="1" xfId="0" applyBorder="1" applyAlignment="1">
      <alignment horizontal="center"/>
    </xf>
    <xf numFmtId="1" fontId="55" fillId="0" borderId="39" xfId="0" applyNumberFormat="1" applyFont="1" applyBorder="1" applyAlignment="1">
      <alignment horizontal="left"/>
    </xf>
    <xf numFmtId="0" fontId="10" fillId="0" borderId="0" xfId="24" applyFont="1"/>
    <xf numFmtId="178" fontId="0" fillId="0" borderId="164" xfId="0" applyNumberFormat="1" applyBorder="1" applyAlignment="1">
      <alignment horizontal="center"/>
    </xf>
    <xf numFmtId="178" fontId="0" fillId="0" borderId="214" xfId="0" applyNumberFormat="1" applyBorder="1" applyAlignment="1">
      <alignment horizontal="center"/>
    </xf>
    <xf numFmtId="178" fontId="0" fillId="12" borderId="164" xfId="0" applyNumberFormat="1" applyFill="1" applyBorder="1" applyAlignment="1">
      <alignment horizontal="center"/>
    </xf>
    <xf numFmtId="178" fontId="0" fillId="12" borderId="214" xfId="0" applyNumberFormat="1" applyFill="1" applyBorder="1" applyAlignment="1">
      <alignment horizontal="center"/>
    </xf>
    <xf numFmtId="10" fontId="0" fillId="52" borderId="37" xfId="0" applyNumberFormat="1" applyFill="1" applyBorder="1" applyAlignment="1">
      <alignment horizontal="center"/>
    </xf>
    <xf numFmtId="10" fontId="0" fillId="52" borderId="271" xfId="0" applyNumberFormat="1" applyFill="1" applyBorder="1" applyAlignment="1">
      <alignment horizontal="center"/>
    </xf>
    <xf numFmtId="176" fontId="0" fillId="52" borderId="37" xfId="0" applyNumberFormat="1" applyFill="1" applyBorder="1" applyAlignment="1">
      <alignment horizontal="center"/>
    </xf>
    <xf numFmtId="176" fontId="0" fillId="52" borderId="271" xfId="0" applyNumberFormat="1" applyFill="1" applyBorder="1" applyAlignment="1">
      <alignment horizontal="center"/>
    </xf>
    <xf numFmtId="173" fontId="9" fillId="0" borderId="98" xfId="26" applyNumberFormat="1" applyBorder="1" applyAlignment="1">
      <alignment horizontal="center" vertical="center"/>
    </xf>
    <xf numFmtId="0" fontId="9" fillId="0" borderId="98" xfId="26" applyBorder="1" applyAlignment="1">
      <alignment horizontal="center" vertical="center"/>
    </xf>
    <xf numFmtId="3" fontId="53" fillId="34" borderId="100" xfId="5" applyFont="1" applyFill="1" applyBorder="1" applyAlignment="1">
      <alignment horizontal="center" vertical="center"/>
    </xf>
    <xf numFmtId="3" fontId="53" fillId="34" borderId="101" xfId="5" applyFont="1" applyFill="1" applyBorder="1" applyAlignment="1">
      <alignment horizontal="center" vertical="center"/>
    </xf>
    <xf numFmtId="0" fontId="0" fillId="0" borderId="98" xfId="26" applyFont="1" applyBorder="1" applyAlignment="1">
      <alignment horizontal="center" vertical="center"/>
    </xf>
    <xf numFmtId="0" fontId="59" fillId="18" borderId="0" xfId="24" applyFont="1" applyFill="1"/>
    <xf numFmtId="0" fontId="76" fillId="24" borderId="0" xfId="0" applyFont="1" applyFill="1" applyAlignment="1">
      <alignment horizontal="center"/>
    </xf>
    <xf numFmtId="10" fontId="76" fillId="24" borderId="0" xfId="24" applyNumberFormat="1" applyFont="1" applyFill="1" applyAlignment="1">
      <alignment horizontal="center"/>
    </xf>
    <xf numFmtId="0" fontId="76" fillId="53" borderId="0" xfId="0" applyFont="1" applyFill="1" applyAlignment="1">
      <alignment horizontal="center"/>
    </xf>
    <xf numFmtId="10" fontId="76" fillId="53" borderId="0" xfId="24" applyNumberFormat="1" applyFont="1" applyFill="1" applyAlignment="1">
      <alignment horizontal="center"/>
    </xf>
    <xf numFmtId="10" fontId="76" fillId="24" borderId="0" xfId="16" applyNumberFormat="1" applyFont="1" applyFill="1" applyAlignment="1">
      <alignment horizontal="center" vertical="center"/>
    </xf>
    <xf numFmtId="10" fontId="76" fillId="53" borderId="0" xfId="16" applyNumberFormat="1" applyFont="1" applyFill="1" applyAlignment="1">
      <alignment horizontal="center"/>
    </xf>
    <xf numFmtId="2" fontId="9" fillId="24" borderId="0" xfId="24" applyNumberFormat="1" applyFill="1" applyAlignment="1">
      <alignment horizontal="center" vertical="center"/>
    </xf>
    <xf numFmtId="0" fontId="9" fillId="24" borderId="0" xfId="24" applyFill="1"/>
    <xf numFmtId="10" fontId="9" fillId="24" borderId="0" xfId="24" applyNumberFormat="1" applyFill="1"/>
    <xf numFmtId="0" fontId="9" fillId="53" borderId="0" xfId="24" applyFill="1"/>
    <xf numFmtId="10" fontId="9" fillId="53" borderId="0" xfId="24" applyNumberFormat="1" applyFill="1"/>
    <xf numFmtId="0" fontId="9" fillId="0" borderId="32" xfId="24" applyBorder="1" applyAlignment="1">
      <alignment horizontal="right"/>
    </xf>
    <xf numFmtId="0" fontId="14" fillId="14" borderId="39" xfId="24" applyFont="1" applyFill="1" applyBorder="1"/>
    <xf numFmtId="0" fontId="14" fillId="24" borderId="39" xfId="24" applyFont="1" applyFill="1" applyBorder="1" applyAlignment="1">
      <alignment horizontal="center" vertical="center"/>
    </xf>
    <xf numFmtId="0" fontId="14" fillId="24" borderId="3" xfId="24" applyFont="1" applyFill="1" applyBorder="1" applyAlignment="1">
      <alignment horizontal="center" vertical="center"/>
    </xf>
    <xf numFmtId="1" fontId="9" fillId="0" borderId="274" xfId="24" applyNumberFormat="1" applyBorder="1" applyAlignment="1">
      <alignment horizontal="center" vertical="center"/>
    </xf>
    <xf numFmtId="0" fontId="65" fillId="24" borderId="103" xfId="24" applyFont="1" applyFill="1" applyBorder="1" applyAlignment="1">
      <alignment horizontal="center" vertical="center"/>
    </xf>
    <xf numFmtId="0" fontId="65" fillId="24" borderId="2" xfId="24" applyFont="1" applyFill="1" applyBorder="1" applyAlignment="1">
      <alignment horizontal="center" vertical="center"/>
    </xf>
    <xf numFmtId="1" fontId="9" fillId="0" borderId="273" xfId="24" applyNumberFormat="1" applyBorder="1" applyAlignment="1">
      <alignment horizontal="center" vertical="center"/>
    </xf>
    <xf numFmtId="0" fontId="9" fillId="24" borderId="39" xfId="24" applyFill="1" applyBorder="1" applyAlignment="1">
      <alignment horizontal="center" vertical="center"/>
    </xf>
    <xf numFmtId="1" fontId="9" fillId="0" borderId="276" xfId="24" applyNumberFormat="1" applyBorder="1" applyAlignment="1">
      <alignment horizontal="center" vertical="center"/>
    </xf>
    <xf numFmtId="1" fontId="9" fillId="0" borderId="277" xfId="24" applyNumberFormat="1" applyBorder="1" applyAlignment="1">
      <alignment horizontal="center" vertical="center"/>
    </xf>
    <xf numFmtId="0" fontId="48" fillId="11" borderId="52" xfId="0" applyFont="1" applyFill="1" applyBorder="1" applyAlignment="1">
      <alignment horizontal="center" vertical="center" wrapText="1"/>
    </xf>
    <xf numFmtId="2" fontId="0" fillId="24" borderId="0" xfId="24" applyNumberFormat="1" applyFont="1" applyFill="1" applyAlignment="1">
      <alignment horizontal="center" vertical="center"/>
    </xf>
    <xf numFmtId="10" fontId="0" fillId="24" borderId="0" xfId="24" applyNumberFormat="1" applyFont="1" applyFill="1"/>
    <xf numFmtId="10" fontId="0" fillId="53" borderId="0" xfId="24" applyNumberFormat="1" applyFont="1" applyFill="1"/>
    <xf numFmtId="4" fontId="14" fillId="27" borderId="1" xfId="16" applyNumberFormat="1" applyFont="1" applyFill="1" applyBorder="1" applyAlignment="1">
      <alignment horizontal="center"/>
    </xf>
    <xf numFmtId="179" fontId="0" fillId="0" borderId="81" xfId="0" applyNumberFormat="1" applyBorder="1" applyAlignment="1">
      <alignment horizontal="center"/>
    </xf>
    <xf numFmtId="179" fontId="14" fillId="0" borderId="219" xfId="0" applyNumberFormat="1" applyFont="1" applyBorder="1" applyAlignment="1">
      <alignment horizontal="center"/>
    </xf>
    <xf numFmtId="179" fontId="14" fillId="0" borderId="34" xfId="0" applyNumberFormat="1" applyFont="1" applyBorder="1" applyAlignment="1">
      <alignment horizontal="center"/>
    </xf>
    <xf numFmtId="179" fontId="14" fillId="0" borderId="220" xfId="0" applyNumberFormat="1" applyFont="1" applyBorder="1" applyAlignment="1">
      <alignment horizontal="center"/>
    </xf>
    <xf numFmtId="4" fontId="36" fillId="0" borderId="0" xfId="0" applyNumberFormat="1" applyFont="1"/>
    <xf numFmtId="0" fontId="14" fillId="14" borderId="79" xfId="0" applyFont="1" applyFill="1" applyBorder="1" applyAlignment="1">
      <alignment horizontal="center" vertical="center" wrapText="1"/>
    </xf>
    <xf numFmtId="0" fontId="14" fillId="14" borderId="12" xfId="0" applyFont="1" applyFill="1" applyBorder="1" applyAlignment="1">
      <alignment horizontal="center" vertical="center"/>
    </xf>
    <xf numFmtId="0" fontId="14" fillId="0" borderId="278" xfId="0" applyFont="1" applyBorder="1" applyAlignment="1">
      <alignment horizontal="center" vertical="center"/>
    </xf>
    <xf numFmtId="0" fontId="14" fillId="0" borderId="279" xfId="0" applyFont="1" applyBorder="1" applyAlignment="1">
      <alignment horizontal="center" vertical="center"/>
    </xf>
    <xf numFmtId="179" fontId="0" fillId="0" borderId="97" xfId="0" applyNumberFormat="1" applyBorder="1" applyAlignment="1">
      <alignment horizontal="center"/>
    </xf>
    <xf numFmtId="179" fontId="0" fillId="0" borderId="52" xfId="0" applyNumberFormat="1" applyBorder="1" applyAlignment="1">
      <alignment horizontal="center"/>
    </xf>
    <xf numFmtId="179" fontId="0" fillId="0" borderId="203" xfId="0" applyNumberFormat="1" applyBorder="1" applyAlignment="1">
      <alignment horizontal="center"/>
    </xf>
    <xf numFmtId="0" fontId="14" fillId="0" borderId="200" xfId="0" applyFont="1" applyBorder="1" applyAlignment="1">
      <alignment horizontal="center" vertical="center" wrapText="1"/>
    </xf>
    <xf numFmtId="179" fontId="14" fillId="0" borderId="280" xfId="0" applyNumberFormat="1" applyFont="1" applyBorder="1" applyAlignment="1">
      <alignment horizontal="center"/>
    </xf>
    <xf numFmtId="179" fontId="14" fillId="0" borderId="281" xfId="0" applyNumberFormat="1" applyFont="1" applyBorder="1" applyAlignment="1">
      <alignment horizontal="center"/>
    </xf>
    <xf numFmtId="179" fontId="14" fillId="0" borderId="282" xfId="0" applyNumberFormat="1" applyFont="1" applyBorder="1" applyAlignment="1">
      <alignment horizontal="center"/>
    </xf>
    <xf numFmtId="179" fontId="0" fillId="0" borderId="204" xfId="0" applyNumberFormat="1" applyBorder="1" applyAlignment="1">
      <alignment horizontal="center"/>
    </xf>
    <xf numFmtId="179" fontId="0" fillId="0" borderId="205" xfId="0" applyNumberFormat="1" applyBorder="1" applyAlignment="1">
      <alignment horizontal="center"/>
    </xf>
    <xf numFmtId="179" fontId="0" fillId="0" borderId="206" xfId="0" applyNumberFormat="1" applyBorder="1" applyAlignment="1">
      <alignment horizontal="center"/>
    </xf>
    <xf numFmtId="179" fontId="9" fillId="0" borderId="205" xfId="0" applyNumberFormat="1" applyFont="1" applyBorder="1" applyAlignment="1">
      <alignment horizontal="center"/>
    </xf>
    <xf numFmtId="179" fontId="0" fillId="0" borderId="70" xfId="0" applyNumberFormat="1" applyBorder="1" applyAlignment="1">
      <alignment horizontal="center"/>
    </xf>
    <xf numFmtId="179" fontId="0" fillId="0" borderId="222" xfId="0" applyNumberFormat="1" applyBorder="1" applyAlignment="1">
      <alignment horizontal="center"/>
    </xf>
    <xf numFmtId="179" fontId="9" fillId="0" borderId="52" xfId="0" applyNumberFormat="1" applyFont="1" applyBorder="1" applyAlignment="1">
      <alignment horizontal="center"/>
    </xf>
    <xf numFmtId="0" fontId="0" fillId="33" borderId="285" xfId="0" applyFill="1" applyBorder="1"/>
    <xf numFmtId="0" fontId="0" fillId="33" borderId="286" xfId="0" applyFill="1" applyBorder="1"/>
    <xf numFmtId="0" fontId="0" fillId="33" borderId="287" xfId="0" applyFill="1" applyBorder="1"/>
    <xf numFmtId="0" fontId="0" fillId="33" borderId="288" xfId="0" applyFill="1" applyBorder="1"/>
    <xf numFmtId="0" fontId="0" fillId="33" borderId="0" xfId="0" applyFill="1"/>
    <xf numFmtId="0" fontId="0" fillId="33" borderId="289" xfId="0" applyFill="1" applyBorder="1"/>
    <xf numFmtId="0" fontId="0" fillId="33" borderId="290" xfId="0" applyFill="1" applyBorder="1"/>
    <xf numFmtId="0" fontId="0" fillId="33" borderId="291" xfId="0" applyFill="1" applyBorder="1"/>
    <xf numFmtId="0" fontId="0" fillId="33" borderId="292" xfId="0" applyFill="1" applyBorder="1"/>
    <xf numFmtId="0" fontId="0" fillId="8" borderId="17" xfId="0" applyFill="1" applyBorder="1" applyAlignment="1">
      <alignment horizontal="center" vertical="center" wrapText="1"/>
    </xf>
    <xf numFmtId="2" fontId="9" fillId="0" borderId="273" xfId="24" applyNumberFormat="1" applyBorder="1" applyAlignment="1">
      <alignment horizontal="center" vertical="center" wrapText="1"/>
    </xf>
    <xf numFmtId="2" fontId="0" fillId="0" borderId="273" xfId="24" applyNumberFormat="1" applyFont="1" applyBorder="1" applyAlignment="1">
      <alignment horizontal="center" vertical="center" wrapText="1"/>
    </xf>
    <xf numFmtId="2" fontId="0" fillId="0" borderId="275" xfId="24" applyNumberFormat="1" applyFont="1" applyBorder="1" applyAlignment="1">
      <alignment horizontal="center" vertical="center"/>
    </xf>
    <xf numFmtId="2" fontId="9" fillId="0" borderId="272" xfId="24" applyNumberFormat="1" applyBorder="1" applyAlignment="1">
      <alignment horizontal="center" vertical="center"/>
    </xf>
    <xf numFmtId="2" fontId="0" fillId="0" borderId="272" xfId="24" applyNumberFormat="1" applyFont="1" applyBorder="1" applyAlignment="1">
      <alignment horizontal="center" vertical="center"/>
    </xf>
    <xf numFmtId="1" fontId="0" fillId="0" borderId="273" xfId="24" applyNumberFormat="1" applyFont="1" applyBorder="1" applyAlignment="1">
      <alignment horizontal="center" vertical="center"/>
    </xf>
    <xf numFmtId="2" fontId="9" fillId="0" borderId="273" xfId="24" applyNumberFormat="1" applyBorder="1" applyAlignment="1">
      <alignment horizontal="center" vertical="center"/>
    </xf>
    <xf numFmtId="2" fontId="0" fillId="0" borderId="273" xfId="24" applyNumberFormat="1" applyFont="1" applyBorder="1" applyAlignment="1">
      <alignment horizontal="center" vertical="center"/>
    </xf>
    <xf numFmtId="3" fontId="0" fillId="0" borderId="0" xfId="0" applyNumberFormat="1"/>
    <xf numFmtId="4" fontId="0" fillId="0" borderId="98" xfId="7" applyFont="1" applyFill="1" applyBorder="1" applyAlignment="1">
      <alignment horizontal="right" vertical="center" wrapText="1"/>
    </xf>
    <xf numFmtId="4" fontId="0" fillId="3" borderId="98" xfId="7" applyFont="1" applyBorder="1" applyAlignment="1">
      <alignment horizontal="right" vertical="center" wrapText="1"/>
    </xf>
    <xf numFmtId="0" fontId="0" fillId="12" borderId="98" xfId="10" applyFont="1" applyFill="1" applyBorder="1" applyAlignment="1">
      <alignment horizontal="right" vertical="center"/>
    </xf>
    <xf numFmtId="179" fontId="0" fillId="0" borderId="0" xfId="0" applyNumberFormat="1" applyAlignment="1">
      <alignment horizontal="center"/>
    </xf>
    <xf numFmtId="0" fontId="14" fillId="0" borderId="53" xfId="0" applyFont="1" applyBorder="1" applyAlignment="1">
      <alignment horizontal="center" vertical="center"/>
    </xf>
    <xf numFmtId="9" fontId="0" fillId="0" borderId="43" xfId="16" applyFont="1" applyFill="1" applyBorder="1"/>
    <xf numFmtId="9" fontId="14" fillId="0" borderId="53" xfId="0" applyNumberFormat="1" applyFont="1" applyBorder="1" applyAlignment="1">
      <alignment horizontal="center"/>
    </xf>
    <xf numFmtId="9" fontId="9" fillId="0" borderId="81" xfId="0" applyNumberFormat="1" applyFont="1" applyBorder="1" applyAlignment="1">
      <alignment horizontal="center"/>
    </xf>
    <xf numFmtId="9" fontId="0" fillId="0" borderId="79" xfId="16" applyFont="1" applyBorder="1"/>
    <xf numFmtId="0" fontId="14" fillId="0" borderId="293" xfId="0" applyFont="1" applyBorder="1" applyAlignment="1">
      <alignment horizontal="center"/>
    </xf>
    <xf numFmtId="179" fontId="14" fillId="0" borderId="293" xfId="0" applyNumberFormat="1" applyFont="1" applyBorder="1" applyAlignment="1">
      <alignment horizontal="center"/>
    </xf>
    <xf numFmtId="179" fontId="14" fillId="0" borderId="294" xfId="0" applyNumberFormat="1" applyFont="1" applyBorder="1" applyAlignment="1">
      <alignment horizontal="center"/>
    </xf>
    <xf numFmtId="179" fontId="14" fillId="0" borderId="295" xfId="0" applyNumberFormat="1" applyFont="1" applyBorder="1" applyAlignment="1">
      <alignment horizontal="center"/>
    </xf>
    <xf numFmtId="1" fontId="0" fillId="0" borderId="223" xfId="0" applyNumberFormat="1" applyBorder="1" applyAlignment="1">
      <alignment horizontal="center" vertical="center"/>
    </xf>
    <xf numFmtId="0" fontId="27" fillId="0" borderId="0" xfId="26" applyFont="1" applyAlignment="1">
      <alignment vertical="center"/>
    </xf>
    <xf numFmtId="0" fontId="50" fillId="55" borderId="0" xfId="0" applyFont="1" applyFill="1" applyAlignment="1">
      <alignment horizontal="left"/>
    </xf>
    <xf numFmtId="0" fontId="72" fillId="56" borderId="0" xfId="0" applyFont="1" applyFill="1" applyAlignment="1">
      <alignment horizontal="left"/>
    </xf>
    <xf numFmtId="0" fontId="50" fillId="55" borderId="0" xfId="0" applyFont="1" applyFill="1" applyAlignment="1">
      <alignment horizontal="left"/>
      <extLst>
        <ext xmlns:xfpb="http://schemas.microsoft.com/office/spreadsheetml/2022/featurepropertybag" uri="{C7286773-470A-42A8-94C5-96B5CB345126}">
          <xfpb:xfComplement i="0"/>
        </ext>
      </extLst>
    </xf>
    <xf numFmtId="0" fontId="72" fillId="56" borderId="0" xfId="0" applyFont="1" applyFill="1" applyAlignment="1">
      <alignment horizontal="left"/>
      <extLst>
        <ext xmlns:xfpb="http://schemas.microsoft.com/office/spreadsheetml/2022/featurepropertybag" uri="{C7286773-470A-42A8-94C5-96B5CB345126}">
          <xfpb:xfComplement i="0"/>
        </ext>
      </extLst>
    </xf>
    <xf numFmtId="2" fontId="77" fillId="46" borderId="0" xfId="16" applyNumberFormat="1" applyFont="1" applyFill="1" applyAlignment="1">
      <alignment horizontal="center"/>
    </xf>
    <xf numFmtId="2" fontId="9" fillId="24" borderId="0" xfId="24" applyNumberFormat="1" applyFill="1"/>
    <xf numFmtId="10" fontId="9" fillId="9" borderId="260" xfId="0" applyNumberFormat="1" applyFont="1" applyFill="1" applyBorder="1" applyAlignment="1">
      <alignment horizontal="center"/>
    </xf>
    <xf numFmtId="2" fontId="9" fillId="9" borderId="262" xfId="0" applyNumberFormat="1" applyFont="1" applyFill="1" applyBorder="1" applyAlignment="1">
      <alignment horizontal="center"/>
    </xf>
    <xf numFmtId="2" fontId="0" fillId="9" borderId="262" xfId="0" applyNumberFormat="1" applyFill="1" applyBorder="1" applyAlignment="1">
      <alignment horizontal="center"/>
    </xf>
    <xf numFmtId="0" fontId="14" fillId="9" borderId="258" xfId="0" applyFont="1" applyFill="1" applyBorder="1" applyAlignment="1">
      <alignment horizontal="center"/>
    </xf>
    <xf numFmtId="9" fontId="9" fillId="0" borderId="0" xfId="0" applyNumberFormat="1" applyFont="1" applyAlignment="1">
      <alignment horizontal="center"/>
    </xf>
    <xf numFmtId="172" fontId="34" fillId="7" borderId="45" xfId="16" applyNumberFormat="1" applyFont="1" applyFill="1" applyBorder="1" applyAlignment="1">
      <alignment horizontal="center"/>
    </xf>
    <xf numFmtId="0" fontId="0" fillId="57" borderId="264" xfId="0" applyFill="1" applyBorder="1"/>
    <xf numFmtId="0" fontId="14" fillId="57" borderId="302" xfId="0" applyFont="1" applyFill="1" applyBorder="1" applyAlignment="1">
      <alignment horizontal="center"/>
    </xf>
    <xf numFmtId="0" fontId="14" fillId="57" borderId="297" xfId="0" applyFont="1" applyFill="1" applyBorder="1" applyAlignment="1">
      <alignment horizontal="center"/>
    </xf>
    <xf numFmtId="0" fontId="14" fillId="57" borderId="298" xfId="0" applyFont="1" applyFill="1" applyBorder="1" applyAlignment="1">
      <alignment horizontal="center"/>
    </xf>
    <xf numFmtId="0" fontId="0" fillId="57" borderId="304" xfId="0" applyFill="1" applyBorder="1"/>
    <xf numFmtId="10" fontId="9" fillId="57" borderId="214" xfId="0" applyNumberFormat="1" applyFont="1" applyFill="1" applyBorder="1"/>
    <xf numFmtId="10" fontId="9" fillId="57" borderId="103" xfId="0" applyNumberFormat="1" applyFont="1" applyFill="1" applyBorder="1"/>
    <xf numFmtId="3" fontId="9" fillId="57" borderId="214" xfId="0" applyNumberFormat="1" applyFont="1" applyFill="1" applyBorder="1"/>
    <xf numFmtId="3" fontId="9" fillId="57" borderId="103" xfId="0" applyNumberFormat="1" applyFont="1" applyFill="1" applyBorder="1"/>
    <xf numFmtId="0" fontId="0" fillId="57" borderId="265" xfId="0" applyFill="1" applyBorder="1"/>
    <xf numFmtId="10" fontId="9" fillId="57" borderId="305" xfId="0" applyNumberFormat="1" applyFont="1" applyFill="1" applyBorder="1"/>
    <xf numFmtId="10" fontId="9" fillId="57" borderId="301" xfId="0" applyNumberFormat="1" applyFont="1" applyFill="1" applyBorder="1"/>
    <xf numFmtId="0" fontId="9" fillId="12" borderId="1" xfId="24" applyFill="1" applyBorder="1"/>
    <xf numFmtId="0" fontId="0" fillId="12" borderId="1" xfId="24" applyFont="1" applyFill="1" applyBorder="1"/>
    <xf numFmtId="0" fontId="9" fillId="0" borderId="306" xfId="24" applyBorder="1"/>
    <xf numFmtId="2" fontId="0" fillId="0" borderId="296" xfId="0" applyNumberFormat="1" applyBorder="1" applyAlignment="1">
      <alignment horizontal="center"/>
    </xf>
    <xf numFmtId="2" fontId="0" fillId="0" borderId="297" xfId="0" applyNumberFormat="1" applyBorder="1" applyAlignment="1">
      <alignment horizontal="center"/>
    </xf>
    <xf numFmtId="2" fontId="0" fillId="0" borderId="298" xfId="0" applyNumberFormat="1" applyBorder="1" applyAlignment="1">
      <alignment horizontal="center"/>
    </xf>
    <xf numFmtId="2" fontId="0" fillId="0" borderId="299" xfId="0" applyNumberFormat="1" applyBorder="1" applyAlignment="1">
      <alignment horizontal="center"/>
    </xf>
    <xf numFmtId="2" fontId="0" fillId="0" borderId="103" xfId="0" applyNumberFormat="1" applyBorder="1" applyAlignment="1">
      <alignment horizontal="center"/>
    </xf>
    <xf numFmtId="2" fontId="0" fillId="0" borderId="303" xfId="0" applyNumberFormat="1" applyBorder="1" applyAlignment="1">
      <alignment horizontal="center"/>
    </xf>
    <xf numFmtId="10" fontId="0" fillId="0" borderId="300" xfId="0" applyNumberFormat="1" applyBorder="1" applyAlignment="1">
      <alignment horizontal="center"/>
    </xf>
    <xf numFmtId="10" fontId="0" fillId="0" borderId="301" xfId="0" applyNumberFormat="1" applyBorder="1" applyAlignment="1">
      <alignment horizontal="center"/>
    </xf>
    <xf numFmtId="0" fontId="14" fillId="48" borderId="263" xfId="0" applyFont="1" applyFill="1" applyBorder="1" applyAlignment="1">
      <alignment horizontal="center"/>
    </xf>
    <xf numFmtId="9" fontId="9" fillId="0" borderId="0" xfId="24" applyNumberFormat="1"/>
    <xf numFmtId="10" fontId="9" fillId="57" borderId="303" xfId="0" applyNumberFormat="1" applyFont="1" applyFill="1" applyBorder="1"/>
    <xf numFmtId="3" fontId="9" fillId="57" borderId="303" xfId="0" applyNumberFormat="1" applyFont="1" applyFill="1" applyBorder="1"/>
    <xf numFmtId="10" fontId="9" fillId="57" borderId="266" xfId="0" applyNumberFormat="1" applyFont="1" applyFill="1" applyBorder="1"/>
    <xf numFmtId="0" fontId="9" fillId="23" borderId="1" xfId="24" applyFill="1" applyBorder="1"/>
    <xf numFmtId="0" fontId="0" fillId="23" borderId="1" xfId="24" applyFont="1" applyFill="1" applyBorder="1"/>
    <xf numFmtId="0" fontId="0" fillId="58" borderId="264" xfId="0" applyFill="1" applyBorder="1"/>
    <xf numFmtId="0" fontId="14" fillId="58" borderId="302" xfId="0" applyFont="1" applyFill="1" applyBorder="1" applyAlignment="1">
      <alignment horizontal="center"/>
    </xf>
    <xf numFmtId="0" fontId="14" fillId="58" borderId="297" xfId="0" applyFont="1" applyFill="1" applyBorder="1" applyAlignment="1">
      <alignment horizontal="center"/>
    </xf>
    <xf numFmtId="0" fontId="14" fillId="58" borderId="298" xfId="0" applyFont="1" applyFill="1" applyBorder="1" applyAlignment="1">
      <alignment horizontal="center"/>
    </xf>
    <xf numFmtId="0" fontId="0" fillId="58" borderId="304" xfId="0" applyFill="1" applyBorder="1"/>
    <xf numFmtId="0" fontId="0" fillId="58" borderId="265" xfId="0" applyFill="1" applyBorder="1"/>
    <xf numFmtId="2" fontId="0" fillId="0" borderId="301" xfId="0" applyNumberFormat="1" applyBorder="1" applyAlignment="1">
      <alignment horizontal="center"/>
    </xf>
    <xf numFmtId="0" fontId="9" fillId="0" borderId="310" xfId="24" applyBorder="1"/>
    <xf numFmtId="2" fontId="0" fillId="0" borderId="266" xfId="0" applyNumberFormat="1" applyBorder="1" applyAlignment="1">
      <alignment horizontal="center"/>
    </xf>
    <xf numFmtId="2" fontId="0" fillId="0" borderId="302" xfId="0" applyNumberFormat="1" applyBorder="1" applyAlignment="1">
      <alignment horizontal="center"/>
    </xf>
    <xf numFmtId="2" fontId="0" fillId="0" borderId="214" xfId="0" applyNumberFormat="1" applyBorder="1" applyAlignment="1">
      <alignment horizontal="center"/>
    </xf>
    <xf numFmtId="2" fontId="0" fillId="0" borderId="305" xfId="0" applyNumberFormat="1" applyBorder="1" applyAlignment="1">
      <alignment horizontal="center"/>
    </xf>
    <xf numFmtId="10" fontId="14" fillId="48" borderId="264" xfId="0" applyNumberFormat="1" applyFont="1" applyFill="1" applyBorder="1" applyAlignment="1">
      <alignment horizontal="left"/>
    </xf>
    <xf numFmtId="2" fontId="14" fillId="48" borderId="304" xfId="0" applyNumberFormat="1" applyFont="1" applyFill="1" applyBorder="1" applyAlignment="1">
      <alignment horizontal="left"/>
    </xf>
    <xf numFmtId="2" fontId="14" fillId="48" borderId="265" xfId="0" applyNumberFormat="1" applyFont="1" applyFill="1" applyBorder="1" applyAlignment="1">
      <alignment horizontal="left"/>
    </xf>
    <xf numFmtId="0" fontId="14" fillId="48" borderId="311" xfId="0" applyFont="1" applyFill="1" applyBorder="1" applyAlignment="1">
      <alignment horizontal="center"/>
    </xf>
    <xf numFmtId="0" fontId="14" fillId="48" borderId="261" xfId="0" applyFont="1" applyFill="1" applyBorder="1" applyAlignment="1">
      <alignment horizontal="center"/>
    </xf>
    <xf numFmtId="2" fontId="14" fillId="48" borderId="270" xfId="0" applyNumberFormat="1" applyFont="1" applyFill="1" applyBorder="1" applyAlignment="1">
      <alignment horizontal="left"/>
    </xf>
    <xf numFmtId="2" fontId="14" fillId="48" borderId="267" xfId="0" applyNumberFormat="1" applyFont="1" applyFill="1" applyBorder="1" applyAlignment="1">
      <alignment horizontal="left"/>
    </xf>
    <xf numFmtId="0" fontId="14" fillId="48" borderId="257" xfId="0" applyFont="1" applyFill="1" applyBorder="1" applyAlignment="1">
      <alignment horizontal="center"/>
    </xf>
    <xf numFmtId="10" fontId="0" fillId="0" borderId="296" xfId="0" applyNumberFormat="1" applyBorder="1" applyAlignment="1">
      <alignment horizontal="center"/>
    </xf>
    <xf numFmtId="10" fontId="0" fillId="0" borderId="297" xfId="0" applyNumberFormat="1" applyBorder="1" applyAlignment="1">
      <alignment horizontal="center"/>
    </xf>
    <xf numFmtId="10" fontId="0" fillId="0" borderId="298" xfId="0" applyNumberFormat="1" applyBorder="1" applyAlignment="1">
      <alignment horizontal="center"/>
    </xf>
    <xf numFmtId="10" fontId="0" fillId="0" borderId="299" xfId="0" applyNumberFormat="1" applyBorder="1" applyAlignment="1">
      <alignment horizontal="center"/>
    </xf>
    <xf numFmtId="10" fontId="0" fillId="0" borderId="103" xfId="0" applyNumberFormat="1" applyBorder="1" applyAlignment="1">
      <alignment horizontal="center"/>
    </xf>
    <xf numFmtId="10" fontId="0" fillId="0" borderId="303" xfId="0" applyNumberFormat="1" applyBorder="1" applyAlignment="1">
      <alignment horizontal="center"/>
    </xf>
    <xf numFmtId="2" fontId="0" fillId="0" borderId="312" xfId="0" applyNumberFormat="1" applyBorder="1" applyAlignment="1">
      <alignment horizontal="center"/>
    </xf>
    <xf numFmtId="2" fontId="0" fillId="0" borderId="104" xfId="0" applyNumberFormat="1" applyBorder="1" applyAlignment="1">
      <alignment horizontal="center"/>
    </xf>
    <xf numFmtId="2" fontId="0" fillId="0" borderId="313" xfId="0" applyNumberFormat="1" applyBorder="1" applyAlignment="1">
      <alignment horizontal="center"/>
    </xf>
    <xf numFmtId="2" fontId="14" fillId="48" borderId="267" xfId="0" applyNumberFormat="1" applyFont="1" applyFill="1" applyBorder="1" applyAlignment="1">
      <alignment horizontal="center"/>
    </xf>
    <xf numFmtId="10" fontId="14" fillId="48" borderId="267" xfId="0" applyNumberFormat="1" applyFont="1" applyFill="1" applyBorder="1" applyAlignment="1">
      <alignment horizontal="center"/>
    </xf>
    <xf numFmtId="10" fontId="9" fillId="58" borderId="214" xfId="0" applyNumberFormat="1" applyFont="1" applyFill="1" applyBorder="1"/>
    <xf numFmtId="10" fontId="9" fillId="58" borderId="103" xfId="0" applyNumberFormat="1" applyFont="1" applyFill="1" applyBorder="1"/>
    <xf numFmtId="10" fontId="9" fillId="58" borderId="303" xfId="0" applyNumberFormat="1" applyFont="1" applyFill="1" applyBorder="1"/>
    <xf numFmtId="3" fontId="9" fillId="58" borderId="214" xfId="0" applyNumberFormat="1" applyFont="1" applyFill="1" applyBorder="1"/>
    <xf numFmtId="3" fontId="9" fillId="58" borderId="103" xfId="0" applyNumberFormat="1" applyFont="1" applyFill="1" applyBorder="1"/>
    <xf numFmtId="3" fontId="9" fillId="58" borderId="303" xfId="0" applyNumberFormat="1" applyFont="1" applyFill="1" applyBorder="1"/>
    <xf numFmtId="10" fontId="9" fillId="58" borderId="305" xfId="0" applyNumberFormat="1" applyFont="1" applyFill="1" applyBorder="1"/>
    <xf numFmtId="10" fontId="9" fillId="58" borderId="301" xfId="0" applyNumberFormat="1" applyFont="1" applyFill="1" applyBorder="1"/>
    <xf numFmtId="10" fontId="9" fillId="58" borderId="266" xfId="0" applyNumberFormat="1" applyFont="1" applyFill="1" applyBorder="1"/>
    <xf numFmtId="0" fontId="0" fillId="0" borderId="306" xfId="24" applyFont="1" applyBorder="1"/>
    <xf numFmtId="9" fontId="0" fillId="0" borderId="0" xfId="16" applyFont="1" applyAlignment="1">
      <alignment horizontal="center" vertical="center"/>
    </xf>
    <xf numFmtId="0" fontId="14" fillId="17" borderId="87" xfId="0" applyFont="1" applyFill="1" applyBorder="1"/>
    <xf numFmtId="172" fontId="0" fillId="24" borderId="84" xfId="0" applyNumberFormat="1" applyFill="1" applyBorder="1" applyAlignment="1">
      <alignment horizontal="center"/>
    </xf>
    <xf numFmtId="0" fontId="14" fillId="17" borderId="58" xfId="0" applyFont="1" applyFill="1" applyBorder="1"/>
    <xf numFmtId="172" fontId="0" fillId="8" borderId="91" xfId="16" applyNumberFormat="1" applyFont="1" applyFill="1" applyBorder="1" applyAlignment="1">
      <alignment horizontal="center" vertical="center"/>
    </xf>
    <xf numFmtId="9" fontId="0" fillId="0" borderId="0" xfId="24" applyNumberFormat="1" applyFont="1"/>
    <xf numFmtId="0" fontId="0" fillId="9" borderId="1" xfId="24" applyFont="1" applyFill="1" applyBorder="1"/>
    <xf numFmtId="2" fontId="0" fillId="0" borderId="300" xfId="0" applyNumberFormat="1" applyBorder="1" applyAlignment="1">
      <alignment horizontal="center"/>
    </xf>
    <xf numFmtId="0" fontId="0" fillId="0" borderId="314" xfId="24" applyFont="1" applyBorder="1"/>
    <xf numFmtId="2" fontId="14" fillId="48" borderId="315" xfId="0" applyNumberFormat="1" applyFont="1" applyFill="1" applyBorder="1" applyAlignment="1">
      <alignment horizontal="center"/>
    </xf>
    <xf numFmtId="0" fontId="9" fillId="9" borderId="1" xfId="24" applyFill="1" applyBorder="1"/>
    <xf numFmtId="0" fontId="0" fillId="59" borderId="264" xfId="0" applyFill="1" applyBorder="1"/>
    <xf numFmtId="0" fontId="14" fillId="59" borderId="302" xfId="0" applyFont="1" applyFill="1" applyBorder="1" applyAlignment="1">
      <alignment horizontal="center"/>
    </xf>
    <xf numFmtId="0" fontId="14" fillId="59" borderId="297" xfId="0" applyFont="1" applyFill="1" applyBorder="1" applyAlignment="1">
      <alignment horizontal="center"/>
    </xf>
    <xf numFmtId="0" fontId="14" fillId="59" borderId="298" xfId="0" applyFont="1" applyFill="1" applyBorder="1" applyAlignment="1">
      <alignment horizontal="center"/>
    </xf>
    <xf numFmtId="0" fontId="0" fillId="59" borderId="304" xfId="0" applyFill="1" applyBorder="1"/>
    <xf numFmtId="10" fontId="9" fillId="59" borderId="214" xfId="0" applyNumberFormat="1" applyFont="1" applyFill="1" applyBorder="1"/>
    <xf numFmtId="10" fontId="9" fillId="59" borderId="103" xfId="0" applyNumberFormat="1" applyFont="1" applyFill="1" applyBorder="1"/>
    <xf numFmtId="10" fontId="9" fillId="59" borderId="303" xfId="0" applyNumberFormat="1" applyFont="1" applyFill="1" applyBorder="1"/>
    <xf numFmtId="3" fontId="9" fillId="59" borderId="214" xfId="0" applyNumberFormat="1" applyFont="1" applyFill="1" applyBorder="1"/>
    <xf numFmtId="3" fontId="9" fillId="59" borderId="103" xfId="0" applyNumberFormat="1" applyFont="1" applyFill="1" applyBorder="1"/>
    <xf numFmtId="3" fontId="9" fillId="59" borderId="303" xfId="0" applyNumberFormat="1" applyFont="1" applyFill="1" applyBorder="1"/>
    <xf numFmtId="0" fontId="0" fillId="59" borderId="265" xfId="0" applyFill="1" applyBorder="1"/>
    <xf numFmtId="10" fontId="9" fillId="59" borderId="305" xfId="0" applyNumberFormat="1" applyFont="1" applyFill="1" applyBorder="1"/>
    <xf numFmtId="10" fontId="9" fillId="59" borderId="301" xfId="0" applyNumberFormat="1" applyFont="1" applyFill="1" applyBorder="1"/>
    <xf numFmtId="10" fontId="9" fillId="59" borderId="266" xfId="0" applyNumberFormat="1" applyFont="1" applyFill="1" applyBorder="1"/>
    <xf numFmtId="179" fontId="0" fillId="24" borderId="85" xfId="0" applyNumberFormat="1" applyFill="1" applyBorder="1" applyAlignment="1">
      <alignment horizontal="center"/>
    </xf>
    <xf numFmtId="179" fontId="0" fillId="0" borderId="85" xfId="0" applyNumberFormat="1" applyBorder="1" applyAlignment="1">
      <alignment horizontal="center"/>
    </xf>
    <xf numFmtId="179" fontId="35" fillId="24" borderId="85" xfId="0" applyNumberFormat="1" applyFont="1" applyFill="1" applyBorder="1" applyAlignment="1">
      <alignment horizontal="center"/>
    </xf>
    <xf numFmtId="0" fontId="0" fillId="8" borderId="19" xfId="0" applyFill="1" applyBorder="1" applyAlignment="1">
      <alignment horizontal="center" vertical="center" wrapText="1"/>
    </xf>
    <xf numFmtId="0" fontId="35" fillId="0" borderId="0" xfId="0" applyFont="1"/>
    <xf numFmtId="9" fontId="0" fillId="17" borderId="84" xfId="16" applyFont="1" applyFill="1" applyBorder="1" applyAlignment="1">
      <alignment horizontal="center"/>
    </xf>
    <xf numFmtId="9" fontId="0" fillId="0" borderId="85" xfId="16" applyFont="1" applyBorder="1" applyAlignment="1">
      <alignment horizontal="center"/>
    </xf>
    <xf numFmtId="9" fontId="0" fillId="0" borderId="83" xfId="16" applyFont="1" applyBorder="1" applyAlignment="1">
      <alignment horizontal="center"/>
    </xf>
    <xf numFmtId="172" fontId="0" fillId="24" borderId="316" xfId="0" applyNumberFormat="1" applyFill="1" applyBorder="1" applyAlignment="1">
      <alignment horizontal="center"/>
    </xf>
    <xf numFmtId="180" fontId="0" fillId="0" borderId="0" xfId="0" applyNumberFormat="1"/>
    <xf numFmtId="180" fontId="0" fillId="17" borderId="84" xfId="0" applyNumberFormat="1" applyFill="1" applyBorder="1" applyAlignment="1">
      <alignment horizontal="center"/>
    </xf>
    <xf numFmtId="179" fontId="0" fillId="0" borderId="83" xfId="0" applyNumberFormat="1" applyBorder="1" applyAlignment="1">
      <alignment horizontal="center"/>
    </xf>
    <xf numFmtId="179" fontId="0" fillId="17" borderId="84" xfId="0" applyNumberFormat="1" applyFill="1" applyBorder="1" applyAlignment="1">
      <alignment horizontal="center"/>
    </xf>
    <xf numFmtId="179" fontId="0" fillId="32" borderId="85" xfId="0" applyNumberFormat="1" applyFill="1" applyBorder="1"/>
    <xf numFmtId="179" fontId="0" fillId="0" borderId="84" xfId="0" applyNumberFormat="1" applyBorder="1" applyAlignment="1">
      <alignment horizontal="center"/>
    </xf>
    <xf numFmtId="179" fontId="0" fillId="32" borderId="0" xfId="0" applyNumberFormat="1" applyFill="1"/>
    <xf numFmtId="179" fontId="0" fillId="0" borderId="316" xfId="0" applyNumberFormat="1" applyBorder="1" applyAlignment="1">
      <alignment horizontal="center"/>
    </xf>
    <xf numFmtId="179" fontId="0" fillId="32" borderId="83" xfId="0" applyNumberFormat="1" applyFill="1" applyBorder="1"/>
    <xf numFmtId="3" fontId="69" fillId="0" borderId="39" xfId="0" applyNumberFormat="1" applyFont="1" applyBorder="1" applyAlignment="1">
      <alignment horizontal="center" vertical="center"/>
    </xf>
    <xf numFmtId="3" fontId="69" fillId="0" borderId="129" xfId="0" applyNumberFormat="1" applyFont="1" applyBorder="1" applyAlignment="1">
      <alignment horizontal="center" vertical="center"/>
    </xf>
    <xf numFmtId="3" fontId="0" fillId="0" borderId="230" xfId="0" applyNumberFormat="1" applyBorder="1" applyAlignment="1">
      <alignment horizontal="center" vertical="center"/>
    </xf>
    <xf numFmtId="1" fontId="0" fillId="0" borderId="229" xfId="0" applyNumberFormat="1" applyBorder="1" applyAlignment="1">
      <alignment horizontal="center" vertical="center"/>
    </xf>
    <xf numFmtId="1" fontId="0" fillId="0" borderId="28" xfId="0" applyNumberFormat="1" applyBorder="1" applyAlignment="1">
      <alignment horizontal="center" vertical="center"/>
    </xf>
    <xf numFmtId="1" fontId="0" fillId="0" borderId="228" xfId="0" applyNumberFormat="1" applyBorder="1" applyAlignment="1">
      <alignment horizontal="center" vertical="center"/>
    </xf>
    <xf numFmtId="1" fontId="0" fillId="0" borderId="227" xfId="0" applyNumberFormat="1" applyBorder="1" applyAlignment="1">
      <alignment horizontal="center" vertical="center"/>
    </xf>
    <xf numFmtId="1" fontId="0" fillId="0" borderId="226" xfId="0" applyNumberFormat="1" applyBorder="1" applyAlignment="1">
      <alignment horizontal="center" vertical="center"/>
    </xf>
    <xf numFmtId="1" fontId="0" fillId="0" borderId="225" xfId="0" applyNumberFormat="1" applyBorder="1" applyAlignment="1">
      <alignment horizontal="center" vertical="center"/>
    </xf>
    <xf numFmtId="1" fontId="0" fillId="0" borderId="224" xfId="0" applyNumberFormat="1" applyBorder="1" applyAlignment="1">
      <alignment horizontal="center" vertical="center"/>
    </xf>
    <xf numFmtId="0" fontId="0" fillId="39" borderId="110" xfId="0" applyFill="1" applyBorder="1"/>
    <xf numFmtId="0" fontId="0" fillId="39" borderId="0" xfId="0" applyFill="1"/>
    <xf numFmtId="9" fontId="0" fillId="28" borderId="85" xfId="16" applyFont="1" applyFill="1" applyBorder="1" applyAlignment="1">
      <alignment horizontal="center"/>
    </xf>
    <xf numFmtId="168" fontId="0" fillId="0" borderId="136" xfId="16" applyNumberFormat="1" applyFont="1" applyBorder="1" applyAlignment="1">
      <alignment horizontal="center" vertical="center"/>
    </xf>
    <xf numFmtId="168" fontId="0" fillId="0" borderId="137" xfId="16" applyNumberFormat="1" applyFont="1" applyBorder="1" applyAlignment="1">
      <alignment horizontal="center" vertical="center"/>
    </xf>
    <xf numFmtId="168" fontId="34" fillId="0" borderId="39" xfId="16" applyNumberFormat="1" applyFont="1" applyBorder="1" applyAlignment="1">
      <alignment horizontal="center" vertical="center"/>
    </xf>
    <xf numFmtId="168" fontId="34" fillId="0" borderId="129" xfId="16" applyNumberFormat="1" applyFont="1" applyBorder="1" applyAlignment="1">
      <alignment horizontal="center" vertical="center"/>
    </xf>
    <xf numFmtId="3" fontId="60" fillId="0" borderId="135" xfId="0" applyNumberFormat="1" applyFont="1" applyBorder="1" applyAlignment="1">
      <alignment horizontal="center" vertical="center"/>
    </xf>
    <xf numFmtId="1" fontId="55" fillId="40" borderId="135" xfId="0" applyNumberFormat="1" applyFont="1" applyFill="1" applyBorder="1" applyAlignment="1">
      <alignment horizontal="center" vertical="center"/>
    </xf>
    <xf numFmtId="1" fontId="55" fillId="40" borderId="136" xfId="0" applyNumberFormat="1" applyFont="1" applyFill="1" applyBorder="1" applyAlignment="1">
      <alignment horizontal="center" vertical="center"/>
    </xf>
    <xf numFmtId="1" fontId="55" fillId="40" borderId="154" xfId="0" applyNumberFormat="1" applyFont="1" applyFill="1" applyBorder="1" applyAlignment="1">
      <alignment horizontal="center" vertical="center"/>
    </xf>
    <xf numFmtId="1" fontId="55" fillId="40" borderId="160" xfId="0" applyNumberFormat="1" applyFont="1" applyFill="1" applyBorder="1" applyAlignment="1">
      <alignment horizontal="center" vertical="center"/>
    </xf>
    <xf numFmtId="1" fontId="55" fillId="40" borderId="3" xfId="0" applyNumberFormat="1" applyFont="1" applyFill="1" applyBorder="1" applyAlignment="1">
      <alignment horizontal="center" vertical="center"/>
    </xf>
    <xf numFmtId="1" fontId="0" fillId="0" borderId="234" xfId="0" applyNumberFormat="1" applyBorder="1" applyAlignment="1">
      <alignment horizontal="center" vertical="center"/>
    </xf>
    <xf numFmtId="1" fontId="0" fillId="0" borderId="218" xfId="0" applyNumberFormat="1" applyBorder="1" applyAlignment="1">
      <alignment horizontal="center" vertical="center"/>
    </xf>
    <xf numFmtId="1" fontId="0" fillId="0" borderId="231" xfId="0" applyNumberFormat="1" applyBorder="1" applyAlignment="1">
      <alignment horizontal="center" vertical="center"/>
    </xf>
    <xf numFmtId="2" fontId="0" fillId="28" borderId="85" xfId="0" applyNumberFormat="1" applyFill="1" applyBorder="1" applyAlignment="1">
      <alignment horizontal="center"/>
    </xf>
    <xf numFmtId="2" fontId="0" fillId="28" borderId="84" xfId="0" applyNumberFormat="1" applyFill="1" applyBorder="1" applyAlignment="1">
      <alignment horizontal="center"/>
    </xf>
    <xf numFmtId="0" fontId="0" fillId="8" borderId="244" xfId="0" applyFill="1" applyBorder="1" applyAlignment="1">
      <alignment horizontal="center" vertical="center" wrapText="1"/>
    </xf>
    <xf numFmtId="0" fontId="28" fillId="32" borderId="244" xfId="0" applyFont="1" applyFill="1" applyBorder="1" applyAlignment="1">
      <alignment horizontal="center" vertical="center" wrapText="1"/>
    </xf>
    <xf numFmtId="0" fontId="0" fillId="0" borderId="17" xfId="0" applyBorder="1" applyAlignment="1">
      <alignment horizontal="center" vertical="center" wrapText="1"/>
    </xf>
    <xf numFmtId="0" fontId="0" fillId="0" borderId="244" xfId="0" applyBorder="1" applyAlignment="1">
      <alignment horizontal="center" vertical="center" wrapText="1"/>
    </xf>
    <xf numFmtId="0" fontId="0" fillId="8" borderId="23" xfId="0" applyFill="1" applyBorder="1" applyAlignment="1">
      <alignment horizontal="center" vertical="center" wrapText="1"/>
    </xf>
    <xf numFmtId="0" fontId="0" fillId="8" borderId="171" xfId="0" applyFill="1" applyBorder="1" applyAlignment="1">
      <alignment horizontal="center" vertical="center" wrapText="1"/>
    </xf>
    <xf numFmtId="0" fontId="0" fillId="8" borderId="168" xfId="0" applyFill="1" applyBorder="1" applyAlignment="1">
      <alignment horizontal="center" vertical="center" wrapText="1"/>
    </xf>
    <xf numFmtId="0" fontId="9" fillId="0" borderId="39" xfId="0" applyFont="1" applyBorder="1" applyAlignment="1">
      <alignment horizontal="center"/>
    </xf>
    <xf numFmtId="180" fontId="27" fillId="18" borderId="188" xfId="16" applyNumberFormat="1" applyFont="1" applyFill="1" applyBorder="1" applyAlignment="1">
      <alignment horizontal="center"/>
    </xf>
    <xf numFmtId="10" fontId="0" fillId="0" borderId="0" xfId="16" applyNumberFormat="1" applyFont="1" applyAlignment="1">
      <alignment horizontal="center" vertical="center"/>
    </xf>
    <xf numFmtId="9" fontId="0" fillId="0" borderId="92" xfId="16" applyFont="1" applyBorder="1" applyAlignment="1">
      <alignment horizontal="center"/>
    </xf>
    <xf numFmtId="9" fontId="0" fillId="0" borderId="91" xfId="16" applyFont="1" applyBorder="1" applyAlignment="1">
      <alignment horizontal="center"/>
    </xf>
    <xf numFmtId="166" fontId="0" fillId="0" borderId="85" xfId="0" applyNumberFormat="1" applyBorder="1" applyAlignment="1">
      <alignment horizontal="center"/>
    </xf>
    <xf numFmtId="9" fontId="0" fillId="17" borderId="85" xfId="16" applyFont="1" applyFill="1" applyBorder="1" applyAlignment="1">
      <alignment horizontal="center" vertical="center"/>
    </xf>
    <xf numFmtId="9" fontId="0" fillId="0" borderId="94" xfId="16" applyFont="1" applyBorder="1" applyAlignment="1">
      <alignment horizontal="center" vertical="center"/>
    </xf>
    <xf numFmtId="10" fontId="0" fillId="0" borderId="189" xfId="16" applyNumberFormat="1" applyFont="1" applyBorder="1" applyAlignment="1">
      <alignment horizontal="center"/>
    </xf>
    <xf numFmtId="10" fontId="0" fillId="0" borderId="84" xfId="16" applyNumberFormat="1" applyFont="1" applyBorder="1" applyAlignment="1">
      <alignment horizontal="center"/>
    </xf>
    <xf numFmtId="168" fontId="0" fillId="0" borderId="188" xfId="16" applyNumberFormat="1" applyFont="1" applyBorder="1" applyAlignment="1">
      <alignment horizontal="center"/>
    </xf>
    <xf numFmtId="168" fontId="0" fillId="0" borderId="83" xfId="16" applyNumberFormat="1" applyFont="1" applyBorder="1" applyAlignment="1">
      <alignment horizontal="center"/>
    </xf>
    <xf numFmtId="2" fontId="35" fillId="12" borderId="84" xfId="0" applyNumberFormat="1" applyFont="1" applyFill="1" applyBorder="1" applyAlignment="1">
      <alignment horizontal="center"/>
    </xf>
    <xf numFmtId="2" fontId="35" fillId="28" borderId="83" xfId="0" applyNumberFormat="1" applyFont="1" applyFill="1" applyBorder="1" applyAlignment="1">
      <alignment horizontal="center"/>
    </xf>
    <xf numFmtId="2" fontId="0" fillId="12" borderId="85" xfId="0" applyNumberFormat="1" applyFill="1" applyBorder="1" applyAlignment="1">
      <alignment horizontal="center" vertical="center"/>
    </xf>
    <xf numFmtId="9" fontId="0" fillId="0" borderId="89" xfId="16" applyFont="1" applyBorder="1" applyAlignment="1">
      <alignment horizontal="center"/>
    </xf>
    <xf numFmtId="9" fontId="0" fillId="0" borderId="188" xfId="16" applyFont="1" applyBorder="1" applyAlignment="1">
      <alignment horizontal="center"/>
    </xf>
    <xf numFmtId="176" fontId="77" fillId="46" borderId="0" xfId="16" applyNumberFormat="1" applyFont="1" applyFill="1" applyAlignment="1">
      <alignment horizontal="center"/>
    </xf>
    <xf numFmtId="3" fontId="60" fillId="0" borderId="136" xfId="0" applyNumberFormat="1" applyFont="1" applyBorder="1" applyAlignment="1">
      <alignment horizontal="center" vertical="center"/>
    </xf>
    <xf numFmtId="3" fontId="60" fillId="0" borderId="154" xfId="0" applyNumberFormat="1" applyFont="1" applyBorder="1" applyAlignment="1">
      <alignment horizontal="center" vertical="center"/>
    </xf>
    <xf numFmtId="0" fontId="24" fillId="12" borderId="0" xfId="0" applyFont="1" applyFill="1"/>
    <xf numFmtId="3" fontId="24" fillId="12" borderId="0" xfId="0" applyNumberFormat="1" applyFont="1" applyFill="1" applyAlignment="1">
      <alignment horizontal="center" vertical="center"/>
    </xf>
    <xf numFmtId="10" fontId="9" fillId="12" borderId="0" xfId="24" applyNumberFormat="1" applyFill="1"/>
    <xf numFmtId="9" fontId="9" fillId="23" borderId="0" xfId="24" applyNumberFormat="1" applyFill="1"/>
    <xf numFmtId="169" fontId="0" fillId="28" borderId="83" xfId="0" applyNumberFormat="1" applyFill="1" applyBorder="1" applyAlignment="1">
      <alignment horizontal="center"/>
    </xf>
    <xf numFmtId="0" fontId="14" fillId="0" borderId="323" xfId="0" applyFont="1" applyBorder="1" applyAlignment="1">
      <alignment horizontal="center" vertical="center"/>
    </xf>
    <xf numFmtId="0" fontId="9" fillId="0" borderId="324" xfId="0" applyFont="1" applyBorder="1" applyAlignment="1">
      <alignment horizontal="center" vertical="center"/>
    </xf>
    <xf numFmtId="0" fontId="9" fillId="0" borderId="325" xfId="0" applyFont="1" applyBorder="1" applyAlignment="1">
      <alignment horizontal="center" vertical="center"/>
    </xf>
    <xf numFmtId="0" fontId="14" fillId="0" borderId="326" xfId="0" applyFont="1" applyBorder="1" applyAlignment="1">
      <alignment horizontal="center" vertical="center"/>
    </xf>
    <xf numFmtId="0" fontId="9" fillId="0" borderId="327" xfId="0" applyFont="1" applyBorder="1" applyAlignment="1">
      <alignment horizontal="center" vertical="center"/>
    </xf>
    <xf numFmtId="0" fontId="9" fillId="0" borderId="328" xfId="0" applyFont="1" applyBorder="1" applyAlignment="1">
      <alignment horizontal="center" vertical="center"/>
    </xf>
    <xf numFmtId="0" fontId="14" fillId="0" borderId="329" xfId="0" applyFont="1" applyBorder="1" applyAlignment="1">
      <alignment horizontal="center" vertical="center"/>
    </xf>
    <xf numFmtId="179" fontId="0" fillId="0" borderId="89" xfId="0" applyNumberFormat="1" applyBorder="1" applyAlignment="1">
      <alignment horizontal="center"/>
    </xf>
    <xf numFmtId="179" fontId="0" fillId="0" borderId="44" xfId="0" applyNumberFormat="1" applyBorder="1" applyAlignment="1">
      <alignment horizontal="center"/>
    </xf>
    <xf numFmtId="179" fontId="0" fillId="32" borderId="89" xfId="0" applyNumberFormat="1" applyFill="1" applyBorder="1"/>
    <xf numFmtId="179" fontId="0" fillId="0" borderId="189" xfId="0" applyNumberFormat="1" applyBorder="1" applyAlignment="1">
      <alignment horizontal="center"/>
    </xf>
    <xf numFmtId="179" fontId="0" fillId="32" borderId="188" xfId="0" applyNumberFormat="1" applyFill="1" applyBorder="1"/>
    <xf numFmtId="179" fontId="0" fillId="0" borderId="332" xfId="0" applyNumberFormat="1" applyBorder="1" applyAlignment="1">
      <alignment horizontal="center"/>
    </xf>
    <xf numFmtId="0" fontId="48" fillId="23" borderId="61" xfId="0" applyFont="1" applyFill="1" applyBorder="1" applyAlignment="1">
      <alignment horizontal="center" vertical="center" wrapText="1"/>
    </xf>
    <xf numFmtId="0" fontId="89" fillId="0" borderId="52" xfId="0" applyFont="1" applyBorder="1" applyAlignment="1">
      <alignment vertical="center" wrapText="1"/>
    </xf>
    <xf numFmtId="179" fontId="9" fillId="0" borderId="89" xfId="0" applyNumberFormat="1" applyFont="1" applyBorder="1" applyAlignment="1">
      <alignment horizontal="center"/>
    </xf>
    <xf numFmtId="10" fontId="92" fillId="0" borderId="12" xfId="0" applyNumberFormat="1" applyFont="1" applyBorder="1" applyAlignment="1">
      <alignment horizontal="center" vertical="center" wrapText="1"/>
    </xf>
    <xf numFmtId="0" fontId="48" fillId="15" borderId="60" xfId="0" applyFont="1" applyFill="1" applyBorder="1" applyAlignment="1">
      <alignment horizontal="center" vertical="center"/>
    </xf>
    <xf numFmtId="0" fontId="48" fillId="11" borderId="60" xfId="0" applyFont="1" applyFill="1" applyBorder="1" applyAlignment="1">
      <alignment horizontal="left" vertical="center"/>
    </xf>
    <xf numFmtId="0" fontId="48" fillId="10" borderId="60" xfId="0" applyFont="1" applyFill="1" applyBorder="1" applyAlignment="1">
      <alignment horizontal="left" vertical="center"/>
    </xf>
    <xf numFmtId="0" fontId="48" fillId="23" borderId="61" xfId="0" applyFont="1" applyFill="1" applyBorder="1" applyAlignment="1">
      <alignment horizontal="left" vertical="center"/>
    </xf>
    <xf numFmtId="169" fontId="0" fillId="28" borderId="85" xfId="0" applyNumberFormat="1" applyFill="1" applyBorder="1" applyAlignment="1">
      <alignment horizontal="center"/>
    </xf>
    <xf numFmtId="1" fontId="9" fillId="0" borderId="0" xfId="24" applyNumberFormat="1"/>
    <xf numFmtId="1" fontId="0" fillId="0" borderId="0" xfId="24" applyNumberFormat="1" applyFont="1"/>
    <xf numFmtId="1" fontId="55" fillId="0" borderId="26" xfId="0" applyNumberFormat="1" applyFont="1" applyBorder="1" applyAlignment="1">
      <alignment horizontal="center" vertical="center"/>
    </xf>
    <xf numFmtId="3" fontId="55" fillId="8" borderId="26" xfId="0" applyNumberFormat="1" applyFont="1" applyFill="1" applyBorder="1" applyAlignment="1">
      <alignment horizontal="center" vertical="center"/>
    </xf>
    <xf numFmtId="4" fontId="6" fillId="0" borderId="1" xfId="29" applyNumberFormat="1" applyBorder="1" applyAlignment="1">
      <alignment horizontal="center"/>
    </xf>
    <xf numFmtId="4" fontId="6" fillId="0" borderId="37" xfId="29" applyNumberFormat="1" applyBorder="1" applyAlignment="1">
      <alignment horizontal="center"/>
    </xf>
    <xf numFmtId="4" fontId="6" fillId="0" borderId="28" xfId="29" applyNumberFormat="1" applyBorder="1" applyAlignment="1">
      <alignment horizontal="center"/>
    </xf>
    <xf numFmtId="1" fontId="55" fillId="0" borderId="167" xfId="0" applyNumberFormat="1" applyFont="1" applyBorder="1" applyAlignment="1">
      <alignment horizontal="center" vertical="center"/>
    </xf>
    <xf numFmtId="3" fontId="1" fillId="0" borderId="38" xfId="29" applyNumberFormat="1" applyFont="1" applyBorder="1" applyAlignment="1">
      <alignment horizontal="center"/>
    </xf>
    <xf numFmtId="4" fontId="6" fillId="0" borderId="38" xfId="29" applyNumberFormat="1" applyBorder="1" applyAlignment="1">
      <alignment horizontal="center"/>
    </xf>
    <xf numFmtId="4" fontId="6" fillId="0" borderId="242" xfId="29" applyNumberFormat="1" applyBorder="1" applyAlignment="1">
      <alignment horizontal="center"/>
    </xf>
    <xf numFmtId="1" fontId="55" fillId="0" borderId="336" xfId="0" applyNumberFormat="1" applyFont="1" applyBorder="1" applyAlignment="1">
      <alignment horizontal="center" vertical="center"/>
    </xf>
    <xf numFmtId="1" fontId="55" fillId="0" borderId="337" xfId="0" applyNumberFormat="1" applyFont="1" applyBorder="1" applyAlignment="1">
      <alignment horizontal="center" vertical="center"/>
    </xf>
    <xf numFmtId="1" fontId="55" fillId="0" borderId="338" xfId="0" applyNumberFormat="1" applyFont="1" applyBorder="1" applyAlignment="1">
      <alignment horizontal="center" vertical="center"/>
    </xf>
    <xf numFmtId="3" fontId="6" fillId="0" borderId="230" xfId="29" applyNumberFormat="1" applyBorder="1" applyAlignment="1">
      <alignment horizontal="center"/>
    </xf>
    <xf numFmtId="3" fontId="1" fillId="0" borderId="231" xfId="29" applyNumberFormat="1" applyFont="1" applyBorder="1" applyAlignment="1">
      <alignment horizontal="center"/>
    </xf>
    <xf numFmtId="4" fontId="6" fillId="0" borderId="230" xfId="29" applyNumberFormat="1" applyBorder="1" applyAlignment="1">
      <alignment horizontal="center"/>
    </xf>
    <xf numFmtId="4" fontId="6" fillId="0" borderId="231" xfId="29" applyNumberFormat="1" applyBorder="1" applyAlignment="1">
      <alignment horizontal="center"/>
    </xf>
    <xf numFmtId="4" fontId="6" fillId="0" borderId="235" xfId="29" applyNumberFormat="1" applyBorder="1" applyAlignment="1">
      <alignment horizontal="center"/>
    </xf>
    <xf numFmtId="4" fontId="6" fillId="0" borderId="236" xfId="29" applyNumberFormat="1" applyBorder="1" applyAlignment="1">
      <alignment horizontal="center"/>
    </xf>
    <xf numFmtId="4" fontId="6" fillId="0" borderId="239" xfId="29" applyNumberFormat="1" applyBorder="1" applyAlignment="1">
      <alignment horizontal="center"/>
    </xf>
    <xf numFmtId="181" fontId="0" fillId="0" borderId="0" xfId="0" applyNumberFormat="1"/>
    <xf numFmtId="180" fontId="0" fillId="0" borderId="85" xfId="0" applyNumberFormat="1" applyBorder="1" applyAlignment="1">
      <alignment horizontal="center"/>
    </xf>
    <xf numFmtId="180" fontId="0" fillId="17" borderId="85" xfId="0" applyNumberFormat="1" applyFill="1" applyBorder="1" applyAlignment="1">
      <alignment horizontal="center"/>
    </xf>
    <xf numFmtId="179" fontId="0" fillId="24" borderId="17" xfId="0" applyNumberFormat="1" applyFill="1" applyBorder="1" applyAlignment="1">
      <alignment horizontal="center"/>
    </xf>
    <xf numFmtId="179" fontId="9" fillId="24" borderId="17" xfId="0" applyNumberFormat="1" applyFont="1" applyFill="1" applyBorder="1" applyAlignment="1">
      <alignment horizontal="center"/>
    </xf>
    <xf numFmtId="179" fontId="9" fillId="8" borderId="45" xfId="0" applyNumberFormat="1" applyFont="1" applyFill="1" applyBorder="1" applyAlignment="1">
      <alignment horizontal="center"/>
    </xf>
    <xf numFmtId="179" fontId="34" fillId="8" borderId="45" xfId="16" applyNumberFormat="1" applyFont="1" applyFill="1" applyBorder="1" applyAlignment="1">
      <alignment horizontal="center"/>
    </xf>
    <xf numFmtId="0" fontId="51" fillId="10" borderId="53" xfId="0" applyFont="1" applyFill="1" applyBorder="1" applyAlignment="1">
      <alignment horizontal="center" vertical="center" wrapText="1"/>
    </xf>
    <xf numFmtId="0" fontId="51" fillId="11" borderId="53" xfId="0" applyFont="1" applyFill="1" applyBorder="1" applyAlignment="1">
      <alignment horizontal="center" vertical="center" wrapText="1"/>
    </xf>
    <xf numFmtId="0" fontId="51" fillId="23" borderId="334" xfId="0" applyFont="1" applyFill="1" applyBorder="1" applyAlignment="1">
      <alignment horizontal="center" vertical="center" wrapText="1"/>
    </xf>
    <xf numFmtId="0" fontId="48" fillId="10" borderId="60" xfId="0" applyFont="1" applyFill="1" applyBorder="1" applyAlignment="1">
      <alignment horizontal="center" vertical="top" wrapText="1"/>
    </xf>
    <xf numFmtId="0" fontId="48" fillId="11" borderId="60" xfId="0" applyFont="1" applyFill="1" applyBorder="1" applyAlignment="1">
      <alignment horizontal="center" vertical="top" wrapText="1"/>
    </xf>
    <xf numFmtId="0" fontId="48" fillId="23" borderId="60" xfId="0" applyFont="1" applyFill="1" applyBorder="1" applyAlignment="1">
      <alignment horizontal="center" vertical="top" wrapText="1"/>
    </xf>
    <xf numFmtId="3" fontId="83" fillId="47" borderId="0" xfId="0" applyNumberFormat="1" applyFont="1" applyFill="1" applyAlignment="1">
      <alignment horizontal="center" wrapText="1"/>
    </xf>
    <xf numFmtId="3" fontId="37" fillId="19" borderId="0" xfId="21" applyNumberFormat="1" applyFont="1" applyFill="1" applyAlignment="1">
      <alignment horizontal="center" vertical="center"/>
    </xf>
    <xf numFmtId="3" fontId="37" fillId="19" borderId="0" xfId="0" applyNumberFormat="1" applyFont="1" applyFill="1" applyAlignment="1">
      <alignment horizontal="center" vertical="center"/>
    </xf>
    <xf numFmtId="3" fontId="83" fillId="30" borderId="0" xfId="0" applyNumberFormat="1" applyFont="1" applyFill="1" applyAlignment="1">
      <alignment horizontal="center" wrapText="1"/>
    </xf>
    <xf numFmtId="3" fontId="37" fillId="30" borderId="0" xfId="21" applyNumberFormat="1" applyFont="1" applyFill="1" applyAlignment="1">
      <alignment horizontal="center" vertical="center"/>
    </xf>
    <xf numFmtId="3" fontId="37" fillId="30" borderId="0" xfId="0" applyNumberFormat="1" applyFont="1" applyFill="1" applyAlignment="1">
      <alignment horizontal="center" vertical="center"/>
    </xf>
    <xf numFmtId="1" fontId="83" fillId="30" borderId="0" xfId="0" applyNumberFormat="1" applyFont="1" applyFill="1" applyAlignment="1">
      <alignment horizontal="center" wrapText="1"/>
    </xf>
    <xf numFmtId="1" fontId="36" fillId="19" borderId="0" xfId="0" applyNumberFormat="1" applyFont="1" applyFill="1" applyAlignment="1">
      <alignment horizontal="center" vertical="center"/>
    </xf>
    <xf numFmtId="1" fontId="0" fillId="0" borderId="0" xfId="0" applyNumberFormat="1" applyAlignment="1">
      <alignment horizontal="center" vertical="center"/>
    </xf>
    <xf numFmtId="1" fontId="36" fillId="30" borderId="0" xfId="0" applyNumberFormat="1" applyFont="1" applyFill="1" applyAlignment="1">
      <alignment horizontal="center" vertical="center"/>
    </xf>
    <xf numFmtId="1" fontId="36" fillId="30" borderId="0" xfId="21" applyNumberFormat="1" applyFont="1" applyFill="1" applyAlignment="1">
      <alignment horizontal="center" vertical="center"/>
    </xf>
    <xf numFmtId="1" fontId="36" fillId="0" borderId="0" xfId="0" applyNumberFormat="1" applyFont="1" applyAlignment="1">
      <alignment horizontal="center" vertical="center"/>
    </xf>
    <xf numFmtId="1" fontId="27" fillId="0" borderId="0" xfId="0" applyNumberFormat="1" applyFont="1" applyAlignment="1">
      <alignment horizontal="center" vertical="center"/>
    </xf>
    <xf numFmtId="1" fontId="24" fillId="0" borderId="0" xfId="16" applyNumberFormat="1" applyFont="1" applyAlignment="1">
      <alignment horizontal="center" vertical="center"/>
    </xf>
    <xf numFmtId="1" fontId="84" fillId="0" borderId="256" xfId="0" applyNumberFormat="1" applyFont="1" applyBorder="1" applyAlignment="1">
      <alignment horizontal="center" wrapText="1"/>
    </xf>
    <xf numFmtId="1" fontId="24" fillId="0" borderId="0" xfId="0" applyNumberFormat="1" applyFont="1" applyAlignment="1">
      <alignment horizontal="center" vertical="center"/>
    </xf>
    <xf numFmtId="1" fontId="83" fillId="47" borderId="256" xfId="0" applyNumberFormat="1" applyFont="1" applyFill="1" applyBorder="1" applyAlignment="1">
      <alignment horizontal="center" wrapText="1"/>
    </xf>
    <xf numFmtId="1" fontId="83" fillId="47" borderId="0" xfId="0" applyNumberFormat="1" applyFont="1" applyFill="1" applyAlignment="1">
      <alignment horizontal="center" wrapText="1"/>
    </xf>
    <xf numFmtId="1" fontId="36" fillId="0" borderId="0" xfId="0" applyNumberFormat="1" applyFont="1"/>
    <xf numFmtId="1" fontId="83" fillId="0" borderId="0" xfId="0" applyNumberFormat="1" applyFont="1" applyAlignment="1">
      <alignment horizontal="center" wrapText="1"/>
    </xf>
    <xf numFmtId="1" fontId="83" fillId="17" borderId="0" xfId="0" applyNumberFormat="1" applyFont="1" applyFill="1" applyAlignment="1">
      <alignment horizontal="center" wrapText="1"/>
    </xf>
    <xf numFmtId="1" fontId="24" fillId="19" borderId="0" xfId="0" applyNumberFormat="1" applyFont="1" applyFill="1" applyAlignment="1">
      <alignment horizontal="center" vertical="center"/>
    </xf>
    <xf numFmtId="1" fontId="84" fillId="0" borderId="0" xfId="0" applyNumberFormat="1" applyFont="1" applyAlignment="1">
      <alignment horizontal="center" wrapText="1"/>
    </xf>
    <xf numFmtId="1" fontId="36" fillId="19" borderId="0" xfId="21" applyNumberFormat="1" applyFont="1" applyFill="1" applyAlignment="1">
      <alignment horizontal="center" vertical="center"/>
    </xf>
    <xf numFmtId="0" fontId="9" fillId="0" borderId="39" xfId="24" applyBorder="1"/>
    <xf numFmtId="1" fontId="0" fillId="54" borderId="39" xfId="24" applyNumberFormat="1" applyFont="1" applyFill="1" applyBorder="1"/>
    <xf numFmtId="1" fontId="9" fillId="54" borderId="39" xfId="24" applyNumberFormat="1" applyFill="1" applyBorder="1"/>
    <xf numFmtId="0" fontId="0" fillId="0" borderId="39" xfId="24" applyFont="1" applyBorder="1"/>
    <xf numFmtId="1" fontId="9" fillId="0" borderId="39" xfId="24" applyNumberFormat="1" applyBorder="1"/>
    <xf numFmtId="1" fontId="0" fillId="0" borderId="39" xfId="24" applyNumberFormat="1" applyFont="1" applyBorder="1"/>
    <xf numFmtId="0" fontId="9" fillId="0" borderId="32" xfId="24" applyBorder="1"/>
    <xf numFmtId="10" fontId="9" fillId="8" borderId="17" xfId="0" applyNumberFormat="1" applyFont="1" applyFill="1" applyBorder="1" applyAlignment="1">
      <alignment horizontal="center"/>
    </xf>
    <xf numFmtId="0" fontId="26" fillId="12" borderId="17" xfId="0" applyFont="1" applyFill="1" applyBorder="1" applyAlignment="1">
      <alignment horizontal="center"/>
    </xf>
    <xf numFmtId="0" fontId="9" fillId="28" borderId="17" xfId="0" applyFont="1" applyFill="1" applyBorder="1" applyAlignment="1">
      <alignment horizontal="center"/>
    </xf>
    <xf numFmtId="0" fontId="98" fillId="0" borderId="324" xfId="0" applyFont="1" applyBorder="1" applyAlignment="1">
      <alignment horizontal="center" vertical="center"/>
    </xf>
    <xf numFmtId="0" fontId="14" fillId="0" borderId="327" xfId="0" applyFont="1" applyBorder="1" applyAlignment="1">
      <alignment horizontal="center" vertical="center"/>
    </xf>
    <xf numFmtId="182" fontId="9" fillId="0" borderId="327" xfId="0" applyNumberFormat="1" applyFont="1" applyBorder="1" applyAlignment="1">
      <alignment horizontal="center" vertical="center"/>
    </xf>
    <xf numFmtId="182" fontId="0" fillId="0" borderId="328" xfId="0" applyNumberFormat="1" applyBorder="1" applyAlignment="1">
      <alignment horizontal="center" vertical="center"/>
    </xf>
    <xf numFmtId="182" fontId="0" fillId="0" borderId="327" xfId="0" applyNumberFormat="1" applyBorder="1" applyAlignment="1">
      <alignment horizontal="center" vertical="center"/>
    </xf>
    <xf numFmtId="182" fontId="9" fillId="0" borderId="330" xfId="0" applyNumberFormat="1" applyFont="1" applyBorder="1" applyAlignment="1">
      <alignment horizontal="center" vertical="center"/>
    </xf>
    <xf numFmtId="182" fontId="0" fillId="0" borderId="330" xfId="0" applyNumberFormat="1" applyBorder="1" applyAlignment="1">
      <alignment horizontal="center" vertical="center"/>
    </xf>
    <xf numFmtId="182" fontId="0" fillId="0" borderId="331" xfId="0" applyNumberFormat="1" applyBorder="1" applyAlignment="1">
      <alignment horizontal="center" vertical="center"/>
    </xf>
    <xf numFmtId="0" fontId="0" fillId="0" borderId="20" xfId="0" applyBorder="1" applyAlignment="1">
      <alignment horizontal="left" vertical="center" wrapText="1"/>
    </xf>
    <xf numFmtId="0" fontId="0" fillId="0" borderId="27" xfId="0" applyBorder="1" applyAlignment="1">
      <alignment horizontal="left" vertical="center" wrapText="1"/>
    </xf>
    <xf numFmtId="0" fontId="0" fillId="8" borderId="318" xfId="0" applyFill="1" applyBorder="1" applyAlignment="1">
      <alignment horizontal="left" vertical="center" wrapText="1"/>
    </xf>
    <xf numFmtId="0" fontId="0" fillId="8" borderId="244" xfId="0" applyFill="1" applyBorder="1" applyAlignment="1">
      <alignment horizontal="left" vertical="center" wrapText="1"/>
    </xf>
    <xf numFmtId="0" fontId="0" fillId="8" borderId="17" xfId="0" applyFill="1" applyBorder="1" applyAlignment="1">
      <alignment horizontal="left" vertical="center" wrapText="1"/>
    </xf>
    <xf numFmtId="0" fontId="0" fillId="0" borderId="0" xfId="0" applyAlignment="1">
      <alignment horizontal="left" vertical="center"/>
    </xf>
    <xf numFmtId="0" fontId="0" fillId="0" borderId="17" xfId="0" applyBorder="1" applyAlignment="1">
      <alignment horizontal="left" vertical="center"/>
    </xf>
    <xf numFmtId="0" fontId="0" fillId="0" borderId="318" xfId="0" applyBorder="1" applyAlignment="1">
      <alignment horizontal="left" vertical="center"/>
    </xf>
    <xf numFmtId="0" fontId="0" fillId="0" borderId="244" xfId="0" applyBorder="1" applyAlignment="1">
      <alignment horizontal="left" vertical="center"/>
    </xf>
    <xf numFmtId="0" fontId="0" fillId="0" borderId="244" xfId="0" applyBorder="1" applyAlignment="1">
      <alignment horizontal="left" vertical="center" wrapText="1"/>
    </xf>
    <xf numFmtId="0" fontId="0" fillId="8" borderId="114" xfId="0" applyFill="1" applyBorder="1" applyAlignment="1">
      <alignment horizontal="center"/>
    </xf>
    <xf numFmtId="10" fontId="0" fillId="8" borderId="133" xfId="0" applyNumberFormat="1" applyFill="1" applyBorder="1" applyAlignment="1">
      <alignment horizontal="center"/>
    </xf>
    <xf numFmtId="0" fontId="0" fillId="8" borderId="267" xfId="0" applyFill="1" applyBorder="1" applyAlignment="1">
      <alignment horizontal="center"/>
    </xf>
    <xf numFmtId="10" fontId="0" fillId="8" borderId="176" xfId="0" applyNumberFormat="1" applyFill="1" applyBorder="1" applyAlignment="1">
      <alignment horizontal="center"/>
    </xf>
    <xf numFmtId="0" fontId="102" fillId="0" borderId="0" xfId="0" applyFont="1" applyAlignment="1">
      <alignment vertical="top"/>
    </xf>
    <xf numFmtId="0" fontId="14" fillId="0" borderId="341" xfId="0" applyFont="1" applyBorder="1" applyAlignment="1">
      <alignment horizontal="center"/>
    </xf>
    <xf numFmtId="179" fontId="0" fillId="24" borderId="253" xfId="0" applyNumberFormat="1" applyFill="1" applyBorder="1" applyAlignment="1">
      <alignment horizontal="center"/>
    </xf>
    <xf numFmtId="2" fontId="0" fillId="24" borderId="341" xfId="0" applyNumberFormat="1" applyFill="1" applyBorder="1" applyAlignment="1">
      <alignment horizontal="center"/>
    </xf>
    <xf numFmtId="2" fontId="34" fillId="24" borderId="341" xfId="16" applyNumberFormat="1" applyFont="1" applyFill="1" applyBorder="1" applyAlignment="1">
      <alignment horizontal="center"/>
    </xf>
    <xf numFmtId="0" fontId="0" fillId="8" borderId="171" xfId="0" applyFill="1" applyBorder="1" applyAlignment="1">
      <alignment horizontal="left" vertical="center"/>
    </xf>
    <xf numFmtId="0" fontId="0" fillId="8" borderId="168" xfId="0" applyFill="1" applyBorder="1" applyAlignment="1">
      <alignment horizontal="left" vertical="center"/>
    </xf>
    <xf numFmtId="183" fontId="0" fillId="8" borderId="89" xfId="0" applyNumberFormat="1" applyFill="1" applyBorder="1" applyAlignment="1">
      <alignment horizontal="right" vertical="center"/>
    </xf>
    <xf numFmtId="183" fontId="0" fillId="17" borderId="89" xfId="0" applyNumberFormat="1" applyFill="1" applyBorder="1" applyAlignment="1">
      <alignment horizontal="center"/>
    </xf>
    <xf numFmtId="180" fontId="27" fillId="18" borderId="63" xfId="16" applyNumberFormat="1" applyFont="1" applyFill="1" applyBorder="1" applyAlignment="1">
      <alignment horizontal="center"/>
    </xf>
    <xf numFmtId="183" fontId="0" fillId="8" borderId="92" xfId="0" applyNumberFormat="1" applyFill="1" applyBorder="1" applyAlignment="1">
      <alignment horizontal="right" vertical="center"/>
    </xf>
    <xf numFmtId="0" fontId="0" fillId="0" borderId="39" xfId="0" applyBorder="1" applyAlignment="1">
      <alignment horizontal="center"/>
    </xf>
    <xf numFmtId="3" fontId="0" fillId="0" borderId="39" xfId="0" applyNumberFormat="1" applyBorder="1" applyAlignment="1">
      <alignment horizontal="center"/>
    </xf>
    <xf numFmtId="0" fontId="14" fillId="0" borderId="39" xfId="0" applyFont="1" applyBorder="1"/>
    <xf numFmtId="0" fontId="14" fillId="0" borderId="39" xfId="0" applyFont="1" applyBorder="1" applyAlignment="1">
      <alignment horizontal="center"/>
    </xf>
    <xf numFmtId="0" fontId="14" fillId="0" borderId="39" xfId="24" applyFont="1" applyBorder="1"/>
    <xf numFmtId="0" fontId="14" fillId="49" borderId="39" xfId="0" applyFont="1" applyFill="1" applyBorder="1"/>
    <xf numFmtId="10" fontId="14" fillId="60" borderId="39" xfId="0" applyNumberFormat="1" applyFont="1" applyFill="1" applyBorder="1" applyAlignment="1">
      <alignment horizontal="center"/>
    </xf>
    <xf numFmtId="0" fontId="0" fillId="0" borderId="39" xfId="0" applyBorder="1" applyAlignment="1">
      <alignment horizontal="center" vertical="center"/>
    </xf>
    <xf numFmtId="0" fontId="9" fillId="0" borderId="39" xfId="0" applyFont="1" applyBorder="1" applyAlignment="1">
      <alignment horizontal="center" vertical="center"/>
    </xf>
    <xf numFmtId="0" fontId="9" fillId="0" borderId="39" xfId="24" applyBorder="1" applyAlignment="1">
      <alignment horizontal="center" vertical="center"/>
    </xf>
    <xf numFmtId="0" fontId="0" fillId="49" borderId="296" xfId="0" applyFill="1" applyBorder="1" applyAlignment="1">
      <alignment horizontal="center"/>
    </xf>
    <xf numFmtId="0" fontId="0" fillId="49" borderId="297" xfId="0" applyFill="1" applyBorder="1" applyAlignment="1">
      <alignment horizontal="center"/>
    </xf>
    <xf numFmtId="0" fontId="0" fillId="49" borderId="298" xfId="0" applyFill="1" applyBorder="1" applyAlignment="1">
      <alignment horizontal="center"/>
    </xf>
    <xf numFmtId="1" fontId="0" fillId="0" borderId="103" xfId="0" applyNumberFormat="1" applyBorder="1" applyAlignment="1">
      <alignment horizontal="center"/>
    </xf>
    <xf numFmtId="1" fontId="0" fillId="0" borderId="303" xfId="0" applyNumberFormat="1" applyBorder="1" applyAlignment="1">
      <alignment horizontal="center"/>
    </xf>
    <xf numFmtId="1" fontId="0" fillId="0" borderId="301" xfId="0" applyNumberFormat="1" applyBorder="1" applyAlignment="1">
      <alignment horizontal="center"/>
    </xf>
    <xf numFmtId="1" fontId="0" fillId="0" borderId="266" xfId="0" applyNumberFormat="1" applyBorder="1" applyAlignment="1">
      <alignment horizontal="center"/>
    </xf>
    <xf numFmtId="1" fontId="0" fillId="0" borderId="214" xfId="0" applyNumberFormat="1" applyBorder="1" applyAlignment="1">
      <alignment horizontal="center"/>
    </xf>
    <xf numFmtId="1" fontId="0" fillId="0" borderId="305" xfId="0" applyNumberFormat="1" applyBorder="1" applyAlignment="1">
      <alignment horizontal="center"/>
    </xf>
    <xf numFmtId="0" fontId="0" fillId="49" borderId="299" xfId="0" applyFill="1" applyBorder="1" applyAlignment="1">
      <alignment horizontal="center"/>
    </xf>
    <xf numFmtId="0" fontId="0" fillId="49" borderId="300" xfId="0" applyFill="1" applyBorder="1" applyAlignment="1">
      <alignment horizontal="center"/>
    </xf>
    <xf numFmtId="0" fontId="57" fillId="51" borderId="2" xfId="0" applyFont="1" applyFill="1" applyBorder="1" applyAlignment="1">
      <alignment horizontal="left"/>
    </xf>
    <xf numFmtId="0" fontId="0" fillId="0" borderId="31" xfId="0" applyBorder="1" applyAlignment="1">
      <alignment horizontal="center"/>
    </xf>
    <xf numFmtId="0" fontId="0" fillId="0" borderId="32" xfId="0" applyBorder="1" applyAlignment="1">
      <alignment horizontal="center"/>
    </xf>
    <xf numFmtId="0" fontId="0" fillId="0" borderId="26" xfId="0" applyBorder="1" applyAlignment="1">
      <alignment horizontal="center"/>
    </xf>
    <xf numFmtId="0" fontId="0" fillId="52" borderId="31" xfId="0" applyFill="1" applyBorder="1" applyAlignment="1">
      <alignment horizontal="center"/>
    </xf>
    <xf numFmtId="0" fontId="0" fillId="52" borderId="342" xfId="0" applyFill="1" applyBorder="1" applyAlignment="1">
      <alignment horizontal="center"/>
    </xf>
    <xf numFmtId="0" fontId="0" fillId="0" borderId="166" xfId="0" applyBorder="1" applyAlignment="1">
      <alignment horizontal="center"/>
    </xf>
    <xf numFmtId="0" fontId="0" fillId="0" borderId="102" xfId="0" applyBorder="1" applyAlignment="1">
      <alignment horizontal="center"/>
    </xf>
    <xf numFmtId="0" fontId="9" fillId="0" borderId="39" xfId="24" applyBorder="1" applyAlignment="1">
      <alignment horizontal="center"/>
    </xf>
    <xf numFmtId="4" fontId="14" fillId="27" borderId="39" xfId="16" applyNumberFormat="1" applyFont="1" applyFill="1" applyBorder="1" applyAlignment="1">
      <alignment horizontal="center"/>
    </xf>
    <xf numFmtId="3" fontId="14" fillId="27" borderId="39" xfId="16" applyNumberFormat="1" applyFont="1" applyFill="1" applyBorder="1" applyAlignment="1">
      <alignment horizontal="center"/>
    </xf>
    <xf numFmtId="10" fontId="0" fillId="0" borderId="39" xfId="24" applyNumberFormat="1" applyFont="1" applyBorder="1"/>
    <xf numFmtId="0" fontId="14" fillId="52" borderId="103" xfId="0" applyFont="1" applyFill="1" applyBorder="1"/>
    <xf numFmtId="0" fontId="0" fillId="0" borderId="103" xfId="0" applyBorder="1"/>
    <xf numFmtId="3" fontId="0" fillId="0" borderId="103" xfId="0" applyNumberFormat="1" applyBorder="1"/>
    <xf numFmtId="0" fontId="36" fillId="0" borderId="0" xfId="0" applyFont="1" applyAlignment="1">
      <alignment horizontal="center" vertical="center"/>
    </xf>
    <xf numFmtId="179" fontId="14" fillId="24" borderId="17" xfId="0" applyNumberFormat="1" applyFont="1" applyFill="1" applyBorder="1" applyAlignment="1">
      <alignment horizontal="center"/>
    </xf>
    <xf numFmtId="179" fontId="14" fillId="24" borderId="253" xfId="0" applyNumberFormat="1" applyFont="1" applyFill="1" applyBorder="1" applyAlignment="1">
      <alignment horizontal="center"/>
    </xf>
    <xf numFmtId="3" fontId="1" fillId="43" borderId="1" xfId="30" applyNumberFormat="1" applyFont="1" applyFill="1" applyBorder="1" applyAlignment="1">
      <alignment horizontal="center" vertical="center"/>
    </xf>
    <xf numFmtId="3" fontId="1" fillId="43" borderId="37" xfId="30" applyNumberFormat="1" applyFont="1" applyFill="1" applyBorder="1" applyAlignment="1">
      <alignment horizontal="center" vertical="center"/>
    </xf>
    <xf numFmtId="3" fontId="1" fillId="0" borderId="39" xfId="29" applyNumberFormat="1" applyFont="1" applyBorder="1" applyAlignment="1">
      <alignment horizontal="center"/>
    </xf>
    <xf numFmtId="0" fontId="1" fillId="0" borderId="39" xfId="0" applyFont="1" applyBorder="1"/>
    <xf numFmtId="166" fontId="1" fillId="0" borderId="39" xfId="0" applyNumberFormat="1" applyFont="1" applyBorder="1" applyAlignment="1">
      <alignment horizontal="center"/>
    </xf>
    <xf numFmtId="166" fontId="1" fillId="0" borderId="0" xfId="0" applyNumberFormat="1" applyFont="1" applyAlignment="1">
      <alignment horizontal="center"/>
    </xf>
    <xf numFmtId="0" fontId="32" fillId="18" borderId="0" xfId="0" applyFont="1" applyFill="1"/>
    <xf numFmtId="0" fontId="9" fillId="0" borderId="2" xfId="0" applyFont="1" applyBorder="1" applyAlignment="1">
      <alignment horizontal="left" vertical="top" wrapText="1"/>
    </xf>
    <xf numFmtId="0" fontId="9" fillId="0" borderId="48" xfId="0" applyFont="1" applyBorder="1" applyAlignment="1">
      <alignment horizontal="left" vertical="top" wrapText="1"/>
    </xf>
    <xf numFmtId="0" fontId="0" fillId="0" borderId="210" xfId="0" applyBorder="1" applyAlignment="1">
      <alignment horizontal="left" vertical="top" wrapText="1"/>
    </xf>
    <xf numFmtId="0" fontId="9" fillId="0" borderId="39" xfId="0" applyFont="1" applyBorder="1" applyAlignment="1">
      <alignment horizontal="left" vertical="top" wrapText="1"/>
    </xf>
    <xf numFmtId="0" fontId="9" fillId="0" borderId="46" xfId="0" applyFont="1" applyBorder="1" applyAlignment="1">
      <alignment horizontal="left" vertical="top" wrapText="1"/>
    </xf>
    <xf numFmtId="0" fontId="0" fillId="0" borderId="211" xfId="0" applyBorder="1" applyAlignment="1">
      <alignment horizontal="left" vertical="top" wrapText="1"/>
    </xf>
    <xf numFmtId="0" fontId="0" fillId="0" borderId="212" xfId="0" applyBorder="1" applyAlignment="1">
      <alignment horizontal="left" vertical="top" wrapText="1"/>
    </xf>
    <xf numFmtId="0" fontId="0" fillId="0" borderId="213" xfId="0" applyBorder="1" applyAlignment="1">
      <alignment horizontal="left" vertical="top" wrapText="1"/>
    </xf>
    <xf numFmtId="0" fontId="48" fillId="31" borderId="207" xfId="0" applyFont="1" applyFill="1" applyBorder="1" applyAlignment="1">
      <alignment horizontal="center"/>
    </xf>
    <xf numFmtId="0" fontId="48" fillId="31" borderId="45" xfId="0" applyFont="1" applyFill="1" applyBorder="1" applyAlignment="1">
      <alignment horizontal="center"/>
    </xf>
    <xf numFmtId="0" fontId="64" fillId="8" borderId="45" xfId="0" applyFont="1" applyFill="1" applyBorder="1" applyAlignment="1">
      <alignment horizontal="center"/>
    </xf>
    <xf numFmtId="0" fontId="28" fillId="8" borderId="45" xfId="0" applyFont="1" applyFill="1" applyBorder="1" applyAlignment="1">
      <alignment horizontal="center"/>
    </xf>
    <xf numFmtId="0" fontId="64" fillId="8" borderId="47" xfId="0" applyFont="1" applyFill="1" applyBorder="1" applyAlignment="1">
      <alignment horizontal="center"/>
    </xf>
    <xf numFmtId="0" fontId="28" fillId="8" borderId="47" xfId="0" applyFont="1" applyFill="1" applyBorder="1" applyAlignment="1">
      <alignment horizontal="center"/>
    </xf>
    <xf numFmtId="0" fontId="51" fillId="15" borderId="59" xfId="0" applyFont="1" applyFill="1" applyBorder="1" applyAlignment="1">
      <alignment horizontal="center" vertical="center" wrapText="1"/>
    </xf>
    <xf numFmtId="0" fontId="51" fillId="15" borderId="61" xfId="0" applyFont="1" applyFill="1" applyBorder="1" applyAlignment="1">
      <alignment horizontal="center" vertical="center" wrapText="1"/>
    </xf>
    <xf numFmtId="0" fontId="64" fillId="8" borderId="50" xfId="0" applyFont="1" applyFill="1" applyBorder="1" applyAlignment="1">
      <alignment horizontal="center"/>
    </xf>
    <xf numFmtId="0" fontId="64" fillId="8" borderId="71" xfId="0" applyFont="1" applyFill="1" applyBorder="1" applyAlignment="1">
      <alignment horizontal="center"/>
    </xf>
    <xf numFmtId="0" fontId="64" fillId="8" borderId="51" xfId="0" applyFont="1" applyFill="1" applyBorder="1" applyAlignment="1">
      <alignment horizontal="center"/>
    </xf>
    <xf numFmtId="0" fontId="51" fillId="9" borderId="53" xfId="0" applyFont="1" applyFill="1" applyBorder="1" applyAlignment="1">
      <alignment horizontal="center" vertical="center"/>
    </xf>
    <xf numFmtId="0" fontId="48" fillId="5" borderId="45" xfId="0" applyFont="1" applyFill="1" applyBorder="1" applyAlignment="1">
      <alignment horizontal="center"/>
    </xf>
    <xf numFmtId="0" fontId="48" fillId="5" borderId="49" xfId="0" applyFont="1" applyFill="1" applyBorder="1" applyAlignment="1">
      <alignment horizontal="center"/>
    </xf>
    <xf numFmtId="0" fontId="9" fillId="0" borderId="148" xfId="0" applyFont="1" applyBorder="1" applyAlignment="1">
      <alignment horizontal="center" vertical="center" wrapText="1"/>
    </xf>
    <xf numFmtId="0" fontId="70" fillId="0" borderId="143" xfId="0" applyFont="1" applyBorder="1" applyAlignment="1">
      <alignment horizontal="center" vertical="center"/>
    </xf>
    <xf numFmtId="0" fontId="70" fillId="0" borderId="144" xfId="0" applyFont="1" applyBorder="1" applyAlignment="1">
      <alignment horizontal="center" vertical="center"/>
    </xf>
    <xf numFmtId="0" fontId="70" fillId="0" borderId="149" xfId="0" applyFont="1" applyBorder="1" applyAlignment="1">
      <alignment horizontal="center" vertical="center"/>
    </xf>
    <xf numFmtId="0" fontId="70" fillId="0" borderId="0" xfId="0" applyFont="1" applyAlignment="1">
      <alignment horizontal="center" vertical="center"/>
    </xf>
    <xf numFmtId="0" fontId="70" fillId="0" borderId="145" xfId="0" applyFont="1" applyBorder="1" applyAlignment="1">
      <alignment horizontal="center" vertical="center"/>
    </xf>
    <xf numFmtId="0" fontId="70" fillId="0" borderId="150" xfId="0" applyFont="1" applyBorder="1" applyAlignment="1">
      <alignment horizontal="center" vertical="center"/>
    </xf>
    <xf numFmtId="0" fontId="70" fillId="0" borderId="146" xfId="0" applyFont="1" applyBorder="1" applyAlignment="1">
      <alignment horizontal="center" vertical="center"/>
    </xf>
    <xf numFmtId="0" fontId="70" fillId="0" borderId="147" xfId="0" applyFont="1" applyBorder="1" applyAlignment="1">
      <alignment horizontal="center" vertical="center"/>
    </xf>
    <xf numFmtId="0" fontId="9" fillId="0" borderId="143" xfId="0" applyFont="1" applyBorder="1" applyAlignment="1">
      <alignment horizontal="center" vertical="center" wrapText="1"/>
    </xf>
    <xf numFmtId="0" fontId="9" fillId="0" borderId="144" xfId="0" applyFont="1" applyBorder="1" applyAlignment="1">
      <alignment horizontal="center" vertical="center" wrapText="1"/>
    </xf>
    <xf numFmtId="0" fontId="9" fillId="0" borderId="149" xfId="0" applyFont="1" applyBorder="1" applyAlignment="1">
      <alignment horizontal="center" vertical="center" wrapText="1"/>
    </xf>
    <xf numFmtId="0" fontId="0" fillId="0" borderId="0" xfId="0" applyAlignment="1">
      <alignment horizontal="center" vertical="center" wrapText="1"/>
    </xf>
    <xf numFmtId="0" fontId="9" fillId="0" borderId="145" xfId="0" applyFont="1" applyBorder="1" applyAlignment="1">
      <alignment horizontal="center" vertical="center" wrapText="1"/>
    </xf>
    <xf numFmtId="0" fontId="9" fillId="0" borderId="150" xfId="0" applyFont="1" applyBorder="1" applyAlignment="1">
      <alignment horizontal="center" vertical="center" wrapText="1"/>
    </xf>
    <xf numFmtId="0" fontId="9" fillId="0" borderId="146" xfId="0" applyFont="1" applyBorder="1" applyAlignment="1">
      <alignment horizontal="center" vertical="center" wrapText="1"/>
    </xf>
    <xf numFmtId="0" fontId="9" fillId="0" borderId="147" xfId="0" applyFont="1" applyBorder="1" applyAlignment="1">
      <alignment horizontal="center" vertical="center" wrapText="1"/>
    </xf>
    <xf numFmtId="0" fontId="28" fillId="32" borderId="45" xfId="0" applyFont="1" applyFill="1" applyBorder="1" applyAlignment="1">
      <alignment horizontal="center"/>
    </xf>
    <xf numFmtId="0" fontId="28" fillId="32" borderId="49" xfId="0" applyFont="1" applyFill="1" applyBorder="1" applyAlignment="1">
      <alignment horizontal="center"/>
    </xf>
    <xf numFmtId="0" fontId="47" fillId="18" borderId="10" xfId="0" applyFont="1" applyFill="1" applyBorder="1" applyAlignment="1">
      <alignment horizontal="center"/>
    </xf>
    <xf numFmtId="0" fontId="47" fillId="18" borderId="0" xfId="0" applyFont="1" applyFill="1" applyAlignment="1">
      <alignment horizontal="center"/>
    </xf>
    <xf numFmtId="0" fontId="47" fillId="18" borderId="12" xfId="0" applyFont="1" applyFill="1" applyBorder="1" applyAlignment="1">
      <alignment horizontal="center"/>
    </xf>
    <xf numFmtId="0" fontId="10" fillId="8" borderId="114" xfId="0" applyFont="1" applyFill="1" applyBorder="1" applyAlignment="1">
      <alignment horizontal="center" vertical="center" wrapText="1"/>
    </xf>
    <xf numFmtId="0" fontId="10" fillId="8" borderId="111" xfId="0" applyFont="1" applyFill="1" applyBorder="1" applyAlignment="1">
      <alignment horizontal="center" vertical="center" wrapText="1"/>
    </xf>
    <xf numFmtId="168" fontId="46" fillId="12" borderId="115" xfId="16" applyNumberFormat="1" applyFont="1" applyFill="1" applyBorder="1" applyAlignment="1">
      <alignment horizontal="center" vertical="center"/>
    </xf>
    <xf numFmtId="168" fontId="46" fillId="12" borderId="133" xfId="16" applyNumberFormat="1" applyFont="1" applyFill="1" applyBorder="1" applyAlignment="1">
      <alignment horizontal="center" vertical="center"/>
    </xf>
    <xf numFmtId="168" fontId="46" fillId="12" borderId="112" xfId="16" applyNumberFormat="1" applyFont="1" applyFill="1" applyBorder="1" applyAlignment="1">
      <alignment horizontal="center" vertical="center"/>
    </xf>
    <xf numFmtId="168" fontId="46" fillId="12" borderId="134" xfId="16" applyNumberFormat="1" applyFont="1" applyFill="1" applyBorder="1" applyAlignment="1">
      <alignment horizontal="center" vertical="center"/>
    </xf>
    <xf numFmtId="168" fontId="46" fillId="12" borderId="113" xfId="16" applyNumberFormat="1" applyFont="1" applyFill="1" applyBorder="1" applyAlignment="1">
      <alignment horizontal="center" vertical="center"/>
    </xf>
    <xf numFmtId="168" fontId="46" fillId="12" borderId="110" xfId="16" applyNumberFormat="1" applyFont="1" applyFill="1" applyBorder="1" applyAlignment="1">
      <alignment horizontal="center" vertical="center"/>
    </xf>
    <xf numFmtId="168" fontId="10" fillId="0" borderId="114" xfId="16" applyNumberFormat="1" applyFont="1" applyBorder="1" applyAlignment="1">
      <alignment horizontal="center" vertical="center" wrapText="1"/>
    </xf>
    <xf numFmtId="168" fontId="10" fillId="0" borderId="217" xfId="16" applyNumberFormat="1" applyFont="1" applyBorder="1" applyAlignment="1">
      <alignment horizontal="center" vertical="center" wrapText="1"/>
    </xf>
    <xf numFmtId="168" fontId="10" fillId="0" borderId="111" xfId="16" applyNumberFormat="1" applyFont="1" applyBorder="1" applyAlignment="1">
      <alignment horizontal="center" vertical="center" wrapText="1"/>
    </xf>
    <xf numFmtId="168" fontId="10" fillId="0" borderId="215" xfId="16" applyNumberFormat="1" applyFont="1" applyBorder="1" applyAlignment="1">
      <alignment horizontal="center" vertical="center" wrapText="1"/>
    </xf>
    <xf numFmtId="9" fontId="46" fillId="12" borderId="216" xfId="16" applyFont="1" applyFill="1" applyBorder="1" applyAlignment="1">
      <alignment horizontal="center" vertical="center"/>
    </xf>
    <xf numFmtId="9" fontId="46" fillId="12" borderId="187" xfId="16" applyFont="1" applyFill="1" applyBorder="1" applyAlignment="1">
      <alignment horizontal="center" vertical="center"/>
    </xf>
    <xf numFmtId="167" fontId="94" fillId="12" borderId="114" xfId="0" applyNumberFormat="1" applyFont="1" applyFill="1" applyBorder="1" applyAlignment="1">
      <alignment horizontal="center" vertical="center"/>
    </xf>
    <xf numFmtId="167" fontId="94" fillId="12" borderId="111" xfId="0" applyNumberFormat="1" applyFont="1" applyFill="1" applyBorder="1" applyAlignment="1">
      <alignment horizontal="center" vertical="center"/>
    </xf>
    <xf numFmtId="167" fontId="94" fillId="12" borderId="315" xfId="0" applyNumberFormat="1" applyFont="1" applyFill="1" applyBorder="1" applyAlignment="1">
      <alignment horizontal="center" vertical="center"/>
    </xf>
    <xf numFmtId="0" fontId="9" fillId="8" borderId="184" xfId="0" applyFont="1" applyFill="1" applyBorder="1" applyAlignment="1">
      <alignment horizontal="center" vertical="center" wrapText="1"/>
    </xf>
    <xf numFmtId="0" fontId="0" fillId="8" borderId="185" xfId="0" applyFill="1" applyBorder="1" applyAlignment="1">
      <alignment horizontal="center" vertical="center" wrapText="1"/>
    </xf>
    <xf numFmtId="0" fontId="0" fillId="8" borderId="186" xfId="0" applyFill="1" applyBorder="1" applyAlignment="1">
      <alignment horizontal="center" vertical="center" wrapText="1"/>
    </xf>
    <xf numFmtId="0" fontId="9" fillId="8" borderId="181" xfId="0" applyFont="1" applyFill="1" applyBorder="1" applyAlignment="1">
      <alignment horizontal="center" vertical="center" wrapText="1"/>
    </xf>
    <xf numFmtId="0" fontId="0" fillId="8" borderId="182" xfId="0" applyFill="1" applyBorder="1" applyAlignment="1">
      <alignment horizontal="center" vertical="center" wrapText="1"/>
    </xf>
    <xf numFmtId="0" fontId="0" fillId="8" borderId="183" xfId="0" applyFill="1" applyBorder="1" applyAlignment="1">
      <alignment horizontal="center" vertical="center" wrapText="1"/>
    </xf>
    <xf numFmtId="9" fontId="46" fillId="12" borderId="177" xfId="16" applyFont="1" applyFill="1" applyBorder="1" applyAlignment="1">
      <alignment horizontal="center" vertical="center"/>
    </xf>
    <xf numFmtId="0" fontId="28" fillId="32" borderId="112" xfId="0" applyFont="1" applyFill="1" applyBorder="1" applyAlignment="1">
      <alignment horizontal="center"/>
    </xf>
    <xf numFmtId="0" fontId="28" fillId="32" borderId="126" xfId="0" applyFont="1" applyFill="1" applyBorder="1" applyAlignment="1">
      <alignment horizontal="center"/>
    </xf>
    <xf numFmtId="0" fontId="28" fillId="32" borderId="134" xfId="0" applyFont="1" applyFill="1" applyBorder="1" applyAlignment="1">
      <alignment horizontal="center"/>
    </xf>
    <xf numFmtId="0" fontId="35" fillId="8" borderId="172" xfId="0" applyFont="1" applyFill="1" applyBorder="1" applyAlignment="1">
      <alignment horizontal="center" vertical="center" wrapText="1"/>
    </xf>
    <xf numFmtId="0" fontId="0" fillId="8" borderId="173" xfId="0" applyFill="1" applyBorder="1" applyAlignment="1">
      <alignment horizontal="center" vertical="center" wrapText="1"/>
    </xf>
    <xf numFmtId="0" fontId="0" fillId="8" borderId="174" xfId="0" applyFill="1" applyBorder="1" applyAlignment="1">
      <alignment horizontal="center" vertical="center" wrapText="1"/>
    </xf>
    <xf numFmtId="0" fontId="48" fillId="5" borderId="126" xfId="0" applyFont="1" applyFill="1" applyBorder="1" applyAlignment="1">
      <alignment horizontal="center"/>
    </xf>
    <xf numFmtId="0" fontId="48" fillId="5" borderId="175" xfId="0" applyFont="1" applyFill="1" applyBorder="1" applyAlignment="1">
      <alignment horizontal="center"/>
    </xf>
    <xf numFmtId="0" fontId="48" fillId="5" borderId="252" xfId="0" applyFont="1" applyFill="1" applyBorder="1" applyAlignment="1">
      <alignment horizontal="center"/>
    </xf>
    <xf numFmtId="0" fontId="48" fillId="5" borderId="17" xfId="0" applyFont="1" applyFill="1" applyBorder="1" applyAlignment="1">
      <alignment horizontal="center"/>
    </xf>
    <xf numFmtId="0" fontId="47" fillId="18" borderId="58" xfId="0" applyFont="1" applyFill="1" applyBorder="1" applyAlignment="1">
      <alignment horizontal="center"/>
    </xf>
    <xf numFmtId="0" fontId="47" fillId="18" borderId="62" xfId="0" applyFont="1" applyFill="1" applyBorder="1" applyAlignment="1">
      <alignment horizontal="center"/>
    </xf>
    <xf numFmtId="0" fontId="47" fillId="18" borderId="63" xfId="0" applyFont="1" applyFill="1" applyBorder="1" applyAlignment="1">
      <alignment horizontal="center"/>
    </xf>
    <xf numFmtId="0" fontId="14" fillId="8" borderId="20" xfId="16" applyNumberFormat="1" applyFont="1" applyFill="1" applyBorder="1" applyAlignment="1">
      <alignment horizontal="left" vertical="center"/>
    </xf>
    <xf numFmtId="0" fontId="14" fillId="8" borderId="19" xfId="16" applyNumberFormat="1" applyFont="1" applyFill="1" applyBorder="1" applyAlignment="1">
      <alignment horizontal="left" vertical="center"/>
    </xf>
    <xf numFmtId="0" fontId="94" fillId="12" borderId="0" xfId="0" applyFont="1" applyFill="1" applyAlignment="1">
      <alignment horizontal="center" vertical="center" wrapText="1"/>
    </xf>
    <xf numFmtId="0" fontId="94" fillId="12" borderId="126" xfId="0" applyFont="1" applyFill="1" applyBorder="1" applyAlignment="1">
      <alignment horizontal="center" vertical="center" wrapText="1"/>
    </xf>
    <xf numFmtId="0" fontId="9" fillId="8" borderId="20" xfId="0" applyFont="1" applyFill="1" applyBorder="1" applyAlignment="1">
      <alignment horizontal="center" vertical="center" wrapText="1"/>
    </xf>
    <xf numFmtId="0" fontId="0" fillId="8" borderId="19" xfId="0" applyFill="1" applyBorder="1" applyAlignment="1">
      <alignment horizontal="center" vertical="center" wrapText="1"/>
    </xf>
    <xf numFmtId="0" fontId="48" fillId="5" borderId="27" xfId="0" applyFont="1" applyFill="1" applyBorder="1" applyAlignment="1">
      <alignment horizontal="center"/>
    </xf>
    <xf numFmtId="0" fontId="48" fillId="5" borderId="21" xfId="0" applyFont="1" applyFill="1" applyBorder="1" applyAlignment="1">
      <alignment horizontal="center"/>
    </xf>
    <xf numFmtId="0" fontId="48" fillId="5" borderId="22" xfId="0" applyFont="1" applyFill="1" applyBorder="1" applyAlignment="1">
      <alignment horizontal="center"/>
    </xf>
    <xf numFmtId="0" fontId="22" fillId="0" borderId="319" xfId="0" applyFont="1" applyBorder="1" applyAlignment="1">
      <alignment horizontal="center" vertical="center" wrapText="1"/>
    </xf>
    <xf numFmtId="0" fontId="22" fillId="0" borderId="317" xfId="0" applyFont="1" applyBorder="1" applyAlignment="1">
      <alignment horizontal="center" vertical="center" wrapText="1"/>
    </xf>
    <xf numFmtId="0" fontId="22" fillId="0" borderId="0" xfId="0" applyFont="1" applyAlignment="1">
      <alignment horizontal="center" vertical="center" wrapText="1"/>
    </xf>
    <xf numFmtId="0" fontId="22" fillId="0" borderId="339" xfId="0" applyFont="1" applyBorder="1" applyAlignment="1">
      <alignment horizontal="center" vertical="center" wrapText="1"/>
    </xf>
    <xf numFmtId="0" fontId="22" fillId="0" borderId="21" xfId="0" applyFont="1" applyBorder="1" applyAlignment="1">
      <alignment horizontal="center" vertical="center" wrapText="1"/>
    </xf>
    <xf numFmtId="0" fontId="22" fillId="0" borderId="22" xfId="0" applyFont="1" applyBorder="1" applyAlignment="1">
      <alignment horizontal="center" vertical="center" wrapText="1"/>
    </xf>
    <xf numFmtId="0" fontId="35" fillId="8" borderId="112" xfId="0" applyFont="1" applyFill="1" applyBorder="1" applyAlignment="1">
      <alignment horizontal="center" vertical="center" wrapText="1"/>
    </xf>
    <xf numFmtId="0" fontId="35" fillId="8" borderId="126" xfId="0" applyFont="1" applyFill="1" applyBorder="1" applyAlignment="1">
      <alignment horizontal="center" vertical="center" wrapText="1"/>
    </xf>
    <xf numFmtId="0" fontId="35" fillId="8" borderId="134" xfId="0" applyFont="1" applyFill="1" applyBorder="1" applyAlignment="1">
      <alignment horizontal="center" vertical="center" wrapText="1"/>
    </xf>
    <xf numFmtId="0" fontId="9" fillId="8" borderId="178" xfId="0" applyFont="1" applyFill="1" applyBorder="1" applyAlignment="1">
      <alignment horizontal="center" vertical="center" wrapText="1"/>
    </xf>
    <xf numFmtId="0" fontId="0" fillId="8" borderId="179" xfId="0" applyFill="1" applyBorder="1" applyAlignment="1">
      <alignment horizontal="center" vertical="center" wrapText="1"/>
    </xf>
    <xf numFmtId="0" fontId="0" fillId="8" borderId="180" xfId="0" applyFill="1" applyBorder="1" applyAlignment="1">
      <alignment horizontal="center" vertical="center" wrapText="1"/>
    </xf>
    <xf numFmtId="0" fontId="14" fillId="8" borderId="340" xfId="16" applyNumberFormat="1" applyFont="1" applyFill="1" applyBorder="1" applyAlignment="1">
      <alignment horizontal="left" vertical="center"/>
    </xf>
    <xf numFmtId="0" fontId="14" fillId="8" borderId="319" xfId="16" applyNumberFormat="1" applyFont="1" applyFill="1" applyBorder="1" applyAlignment="1">
      <alignment horizontal="left" vertical="center"/>
    </xf>
    <xf numFmtId="0" fontId="14" fillId="8" borderId="27" xfId="16" applyNumberFormat="1" applyFont="1" applyFill="1" applyBorder="1" applyAlignment="1">
      <alignment horizontal="left" vertical="center"/>
    </xf>
    <xf numFmtId="0" fontId="14" fillId="8" borderId="21" xfId="16" applyNumberFormat="1" applyFont="1" applyFill="1" applyBorder="1" applyAlignment="1">
      <alignment horizontal="left" vertical="center"/>
    </xf>
    <xf numFmtId="9" fontId="9" fillId="8" borderId="317" xfId="16" applyFont="1" applyFill="1" applyBorder="1" applyAlignment="1">
      <alignment horizontal="center" vertical="center"/>
    </xf>
    <xf numFmtId="9" fontId="9" fillId="8" borderId="22" xfId="16" applyFont="1" applyFill="1" applyBorder="1" applyAlignment="1">
      <alignment horizontal="center" vertical="center"/>
    </xf>
    <xf numFmtId="0" fontId="94" fillId="0" borderId="115" xfId="0" applyFont="1" applyBorder="1" applyAlignment="1">
      <alignment horizontal="center" vertical="center" wrapText="1"/>
    </xf>
    <xf numFmtId="0" fontId="94" fillId="0" borderId="169" xfId="0" applyFont="1" applyBorder="1" applyAlignment="1">
      <alignment horizontal="center" vertical="center" wrapText="1"/>
    </xf>
    <xf numFmtId="0" fontId="94" fillId="0" borderId="170" xfId="0" applyFont="1" applyBorder="1" applyAlignment="1">
      <alignment horizontal="center" vertical="center" wrapText="1"/>
    </xf>
    <xf numFmtId="0" fontId="94" fillId="0" borderId="113" xfId="0" applyFont="1" applyBorder="1" applyAlignment="1">
      <alignment horizontal="center" vertical="center" wrapText="1"/>
    </xf>
    <xf numFmtId="0" fontId="94" fillId="0" borderId="0" xfId="0" applyFont="1" applyAlignment="1">
      <alignment horizontal="center" vertical="center" wrapText="1"/>
    </xf>
    <xf numFmtId="0" fontId="94" fillId="0" borderId="12" xfId="0" applyFont="1" applyBorder="1" applyAlignment="1">
      <alignment horizontal="center" vertical="center" wrapText="1"/>
    </xf>
    <xf numFmtId="0" fontId="94" fillId="0" borderId="112" xfId="0" applyFont="1" applyBorder="1" applyAlignment="1">
      <alignment horizontal="center" vertical="center" wrapText="1"/>
    </xf>
    <xf numFmtId="0" fontId="94" fillId="0" borderId="126" xfId="0" applyFont="1" applyBorder="1" applyAlignment="1">
      <alignment horizontal="center" vertical="center" wrapText="1"/>
    </xf>
    <xf numFmtId="0" fontId="94" fillId="0" borderId="175" xfId="0" applyFont="1" applyBorder="1" applyAlignment="1">
      <alignment horizontal="center" vertical="center" wrapText="1"/>
    </xf>
    <xf numFmtId="0" fontId="48" fillId="5" borderId="168" xfId="0" applyFont="1" applyFill="1" applyBorder="1" applyAlignment="1">
      <alignment horizontal="center"/>
    </xf>
    <xf numFmtId="0" fontId="48" fillId="5" borderId="109" xfId="0" applyFont="1" applyFill="1" applyBorder="1" applyAlignment="1">
      <alignment horizontal="center"/>
    </xf>
    <xf numFmtId="0" fontId="9" fillId="0" borderId="17" xfId="0" applyFont="1" applyBorder="1" applyAlignment="1">
      <alignment horizontal="left"/>
    </xf>
    <xf numFmtId="0" fontId="22" fillId="0" borderId="252" xfId="0" applyFont="1" applyBorder="1" applyAlignment="1">
      <alignment horizontal="center" wrapText="1"/>
    </xf>
    <xf numFmtId="0" fontId="22" fillId="0" borderId="20" xfId="0" applyFont="1" applyBorder="1" applyAlignment="1">
      <alignment horizontal="center" wrapText="1"/>
    </xf>
    <xf numFmtId="0" fontId="48" fillId="5" borderId="255" xfId="0" applyFont="1" applyFill="1" applyBorder="1" applyAlignment="1">
      <alignment horizontal="center"/>
    </xf>
    <xf numFmtId="0" fontId="14" fillId="0" borderId="18" xfId="0" applyFont="1" applyBorder="1" applyAlignment="1">
      <alignment horizontal="center"/>
    </xf>
    <xf numFmtId="0" fontId="14" fillId="0" borderId="19" xfId="0" applyFont="1" applyBorder="1" applyAlignment="1">
      <alignment horizontal="center"/>
    </xf>
    <xf numFmtId="0" fontId="9" fillId="0" borderId="17" xfId="0" applyFont="1" applyBorder="1" applyAlignment="1">
      <alignment horizontal="left" vertical="center"/>
    </xf>
    <xf numFmtId="0" fontId="48" fillId="5" borderId="115" xfId="0" applyFont="1" applyFill="1" applyBorder="1" applyAlignment="1">
      <alignment horizontal="center"/>
    </xf>
    <xf numFmtId="0" fontId="48" fillId="5" borderId="169" xfId="0" applyFont="1" applyFill="1" applyBorder="1" applyAlignment="1">
      <alignment horizontal="center"/>
    </xf>
    <xf numFmtId="0" fontId="48" fillId="5" borderId="170" xfId="0" applyFont="1" applyFill="1" applyBorder="1" applyAlignment="1">
      <alignment horizontal="center"/>
    </xf>
    <xf numFmtId="0" fontId="48" fillId="5" borderId="10" xfId="0" applyFont="1" applyFill="1" applyBorder="1" applyAlignment="1">
      <alignment horizontal="center"/>
    </xf>
    <xf numFmtId="0" fontId="48" fillId="5" borderId="0" xfId="0" applyFont="1" applyFill="1" applyAlignment="1">
      <alignment horizontal="center"/>
    </xf>
    <xf numFmtId="0" fontId="48" fillId="5" borderId="110" xfId="0" applyFont="1" applyFill="1" applyBorder="1" applyAlignment="1">
      <alignment horizontal="center"/>
    </xf>
    <xf numFmtId="0" fontId="28" fillId="32" borderId="125" xfId="0" applyFont="1" applyFill="1" applyBorder="1" applyAlignment="1">
      <alignment horizontal="center"/>
    </xf>
    <xf numFmtId="0" fontId="28" fillId="32" borderId="109" xfId="0" applyFont="1" applyFill="1" applyBorder="1" applyAlignment="1">
      <alignment horizontal="center"/>
    </xf>
    <xf numFmtId="0" fontId="28" fillId="32" borderId="176" xfId="0" applyFont="1" applyFill="1" applyBorder="1" applyAlignment="1">
      <alignment horizontal="center"/>
    </xf>
    <xf numFmtId="0" fontId="10" fillId="0" borderId="248" xfId="0" applyFont="1" applyBorder="1" applyAlignment="1">
      <alignment horizontal="center" vertical="center"/>
    </xf>
    <xf numFmtId="0" fontId="10" fillId="0" borderId="56" xfId="0" applyFont="1" applyBorder="1" applyAlignment="1">
      <alignment horizontal="center" vertical="center"/>
    </xf>
    <xf numFmtId="0" fontId="10" fillId="0" borderId="249" xfId="0" applyFont="1" applyBorder="1" applyAlignment="1">
      <alignment horizontal="center" vertical="center"/>
    </xf>
    <xf numFmtId="0" fontId="28" fillId="32" borderId="27" xfId="0" applyFont="1" applyFill="1" applyBorder="1" applyAlignment="1">
      <alignment horizontal="center"/>
    </xf>
    <xf numFmtId="0" fontId="28" fillId="32" borderId="21" xfId="0" applyFont="1" applyFill="1" applyBorder="1" applyAlignment="1">
      <alignment horizontal="center"/>
    </xf>
    <xf numFmtId="0" fontId="28" fillId="32" borderId="20" xfId="0" applyFont="1" applyFill="1" applyBorder="1" applyAlignment="1">
      <alignment horizontal="center"/>
    </xf>
    <xf numFmtId="0" fontId="28" fillId="32" borderId="18" xfId="0" applyFont="1" applyFill="1" applyBorder="1" applyAlignment="1">
      <alignment horizontal="center"/>
    </xf>
    <xf numFmtId="14" fontId="14" fillId="0" borderId="20" xfId="0" applyNumberFormat="1" applyFont="1" applyBorder="1" applyAlignment="1">
      <alignment horizontal="center"/>
    </xf>
    <xf numFmtId="14" fontId="14" fillId="0" borderId="19" xfId="0" applyNumberFormat="1" applyFont="1" applyBorder="1" applyAlignment="1">
      <alignment horizontal="center"/>
    </xf>
    <xf numFmtId="0" fontId="9" fillId="0" borderId="17" xfId="0" quotePrefix="1" applyFont="1" applyBorder="1" applyAlignment="1">
      <alignment horizontal="left"/>
    </xf>
    <xf numFmtId="0" fontId="68" fillId="8" borderId="17" xfId="0" applyFont="1" applyFill="1" applyBorder="1" applyAlignment="1">
      <alignment horizontal="center" vertical="center" wrapText="1"/>
    </xf>
    <xf numFmtId="0" fontId="68" fillId="8" borderId="20" xfId="0" applyFont="1" applyFill="1" applyBorder="1" applyAlignment="1">
      <alignment horizontal="center" vertical="center" wrapText="1"/>
    </xf>
    <xf numFmtId="0" fontId="48" fillId="31" borderId="23" xfId="0" applyFont="1" applyFill="1" applyBorder="1" applyAlignment="1">
      <alignment horizontal="center" vertical="center" wrapText="1"/>
    </xf>
    <xf numFmtId="0" fontId="48" fillId="31" borderId="17" xfId="0" applyFont="1" applyFill="1" applyBorder="1" applyAlignment="1">
      <alignment horizontal="center" vertical="center" wrapText="1"/>
    </xf>
    <xf numFmtId="0" fontId="48" fillId="31" borderId="244" xfId="0" applyFont="1" applyFill="1" applyBorder="1" applyAlignment="1">
      <alignment horizontal="center" vertical="center" wrapText="1"/>
    </xf>
    <xf numFmtId="0" fontId="48" fillId="31" borderId="253" xfId="0" applyFont="1" applyFill="1" applyBorder="1" applyAlignment="1">
      <alignment horizontal="center" vertical="center" wrapText="1"/>
    </xf>
    <xf numFmtId="0" fontId="48" fillId="5" borderId="40" xfId="0" applyFont="1" applyFill="1" applyBorder="1" applyAlignment="1">
      <alignment horizontal="center"/>
    </xf>
    <xf numFmtId="0" fontId="48" fillId="5" borderId="41" xfId="0" applyFont="1" applyFill="1" applyBorder="1" applyAlignment="1">
      <alignment horizontal="center"/>
    </xf>
    <xf numFmtId="0" fontId="48" fillId="5" borderId="42" xfId="0" applyFont="1" applyFill="1" applyBorder="1" applyAlignment="1">
      <alignment horizontal="center"/>
    </xf>
    <xf numFmtId="0" fontId="14" fillId="8" borderId="20" xfId="16" applyNumberFormat="1" applyFont="1" applyFill="1" applyBorder="1" applyAlignment="1">
      <alignment horizontal="left"/>
    </xf>
    <xf numFmtId="0" fontId="14" fillId="8" borderId="19" xfId="16" applyNumberFormat="1" applyFont="1" applyFill="1" applyBorder="1" applyAlignment="1">
      <alignment horizontal="left"/>
    </xf>
    <xf numFmtId="0" fontId="28" fillId="32" borderId="19" xfId="0" applyFont="1" applyFill="1" applyBorder="1" applyAlignment="1">
      <alignment horizontal="center"/>
    </xf>
    <xf numFmtId="0" fontId="47" fillId="18" borderId="43" xfId="0" applyFont="1" applyFill="1" applyBorder="1" applyAlignment="1">
      <alignment horizontal="center"/>
    </xf>
    <xf numFmtId="0" fontId="47" fillId="18" borderId="44" xfId="0" applyFont="1" applyFill="1" applyBorder="1" applyAlignment="1">
      <alignment horizontal="center"/>
    </xf>
    <xf numFmtId="0" fontId="9" fillId="8" borderId="319" xfId="0" applyFont="1" applyFill="1" applyBorder="1" applyAlignment="1">
      <alignment horizontal="center" vertical="center" wrapText="1"/>
    </xf>
    <xf numFmtId="0" fontId="0" fillId="8" borderId="317" xfId="0" applyFill="1" applyBorder="1" applyAlignment="1">
      <alignment horizontal="center" vertical="center" wrapText="1"/>
    </xf>
    <xf numFmtId="0" fontId="9" fillId="8" borderId="18" xfId="0" applyFont="1" applyFill="1" applyBorder="1" applyAlignment="1">
      <alignment horizontal="center" vertical="center" wrapText="1"/>
    </xf>
    <xf numFmtId="0" fontId="0" fillId="8" borderId="20" xfId="0" applyFill="1" applyBorder="1" applyAlignment="1">
      <alignment horizontal="center" vertical="center" wrapText="1"/>
    </xf>
    <xf numFmtId="0" fontId="9" fillId="0" borderId="50" xfId="0" applyFont="1" applyBorder="1" applyAlignment="1">
      <alignment horizontal="left"/>
    </xf>
    <xf numFmtId="0" fontId="9" fillId="0" borderId="51" xfId="0" applyFont="1" applyBorder="1" applyAlignment="1">
      <alignment horizontal="left"/>
    </xf>
    <xf numFmtId="0" fontId="9" fillId="0" borderId="50" xfId="0" applyFont="1" applyBorder="1" applyAlignment="1">
      <alignment horizontal="left" indent="1"/>
    </xf>
    <xf numFmtId="0" fontId="9" fillId="0" borderId="51" xfId="0" applyFont="1" applyBorder="1" applyAlignment="1">
      <alignment horizontal="left" indent="1"/>
    </xf>
    <xf numFmtId="0" fontId="9" fillId="0" borderId="208" xfId="0" applyFont="1" applyBorder="1" applyAlignment="1">
      <alignment horizontal="center" vertical="center" wrapText="1"/>
    </xf>
    <xf numFmtId="0" fontId="70" fillId="0" borderId="10" xfId="0" applyFont="1" applyBorder="1" applyAlignment="1">
      <alignment horizontal="center" vertical="center"/>
    </xf>
    <xf numFmtId="0" fontId="70" fillId="0" borderId="209" xfId="0" applyFont="1" applyBorder="1" applyAlignment="1">
      <alignment horizontal="center" vertical="center"/>
    </xf>
    <xf numFmtId="0" fontId="28" fillId="32" borderId="207" xfId="0" applyFont="1" applyFill="1" applyBorder="1" applyAlignment="1">
      <alignment horizontal="center"/>
    </xf>
    <xf numFmtId="0" fontId="9" fillId="0" borderId="143" xfId="0" applyFont="1" applyBorder="1" applyAlignment="1">
      <alignment horizontal="center" vertical="center"/>
    </xf>
    <xf numFmtId="0" fontId="9" fillId="0" borderId="144" xfId="0" applyFont="1"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0" fontId="9" fillId="0" borderId="145" xfId="0" applyFont="1" applyBorder="1" applyAlignment="1">
      <alignment horizontal="center" vertical="center"/>
    </xf>
    <xf numFmtId="0" fontId="0" fillId="0" borderId="209" xfId="0" applyBorder="1" applyAlignment="1">
      <alignment horizontal="center" vertical="center"/>
    </xf>
    <xf numFmtId="0" fontId="9" fillId="0" borderId="146" xfId="0" applyFont="1" applyBorder="1" applyAlignment="1">
      <alignment horizontal="center" vertical="center"/>
    </xf>
    <xf numFmtId="0" fontId="9" fillId="0" borderId="147" xfId="0" applyFont="1" applyBorder="1" applyAlignment="1">
      <alignment horizontal="center" vertical="center"/>
    </xf>
    <xf numFmtId="0" fontId="48" fillId="5" borderId="207" xfId="0" applyFont="1" applyFill="1" applyBorder="1" applyAlignment="1">
      <alignment horizontal="center"/>
    </xf>
    <xf numFmtId="0" fontId="28" fillId="32" borderId="18" xfId="0" applyFont="1" applyFill="1" applyBorder="1" applyAlignment="1">
      <alignment horizontal="center" vertical="center" wrapText="1"/>
    </xf>
    <xf numFmtId="0" fontId="28" fillId="32" borderId="254" xfId="0" applyFont="1" applyFill="1" applyBorder="1" applyAlignment="1">
      <alignment horizontal="center" vertical="center" wrapText="1"/>
    </xf>
    <xf numFmtId="0" fontId="0" fillId="8" borderId="254" xfId="0" applyFill="1" applyBorder="1" applyAlignment="1">
      <alignment horizontal="center" vertical="center" wrapText="1"/>
    </xf>
    <xf numFmtId="0" fontId="9" fillId="8" borderId="27" xfId="0" applyFont="1" applyFill="1" applyBorder="1" applyAlignment="1">
      <alignment horizontal="center" vertical="center" wrapText="1"/>
    </xf>
    <xf numFmtId="0" fontId="0" fillId="8" borderId="22" xfId="0" applyFill="1" applyBorder="1" applyAlignment="1">
      <alignment horizontal="center" vertical="center" wrapText="1"/>
    </xf>
    <xf numFmtId="0" fontId="14" fillId="0" borderId="50" xfId="0" applyFont="1" applyBorder="1" applyAlignment="1">
      <alignment horizontal="left"/>
    </xf>
    <xf numFmtId="0" fontId="14" fillId="0" borderId="51" xfId="0" applyFont="1" applyBorder="1" applyAlignment="1">
      <alignment horizontal="left"/>
    </xf>
    <xf numFmtId="0" fontId="0" fillId="0" borderId="50" xfId="0" applyBorder="1" applyAlignment="1">
      <alignment horizontal="left"/>
    </xf>
    <xf numFmtId="0" fontId="0" fillId="0" borderId="51" xfId="0" applyBorder="1" applyAlignment="1">
      <alignment horizontal="left"/>
    </xf>
    <xf numFmtId="0" fontId="9" fillId="16" borderId="50" xfId="0" applyFont="1" applyFill="1" applyBorder="1" applyAlignment="1">
      <alignment horizontal="left"/>
    </xf>
    <xf numFmtId="0" fontId="9" fillId="16" borderId="51" xfId="0" applyFont="1" applyFill="1" applyBorder="1" applyAlignment="1">
      <alignment horizontal="left"/>
    </xf>
    <xf numFmtId="0" fontId="14" fillId="0" borderId="59" xfId="0" applyFont="1" applyBorder="1" applyAlignment="1">
      <alignment horizontal="center"/>
    </xf>
    <xf numFmtId="0" fontId="14" fillId="0" borderId="60" xfId="0" applyFont="1" applyBorder="1" applyAlignment="1">
      <alignment horizontal="center"/>
    </xf>
    <xf numFmtId="0" fontId="14" fillId="0" borderId="61" xfId="0" applyFont="1" applyBorder="1" applyAlignment="1">
      <alignment horizontal="center"/>
    </xf>
    <xf numFmtId="0" fontId="32" fillId="18" borderId="43" xfId="0" applyFont="1" applyFill="1" applyBorder="1" applyAlignment="1">
      <alignment horizontal="left"/>
    </xf>
    <xf numFmtId="0" fontId="32" fillId="18" borderId="0" xfId="0" applyFont="1" applyFill="1" applyAlignment="1">
      <alignment horizontal="left"/>
    </xf>
    <xf numFmtId="0" fontId="32" fillId="5" borderId="58" xfId="0" applyFont="1" applyFill="1" applyBorder="1" applyAlignment="1">
      <alignment horizontal="left"/>
    </xf>
    <xf numFmtId="0" fontId="32" fillId="5" borderId="62" xfId="0" applyFont="1" applyFill="1" applyBorder="1" applyAlignment="1">
      <alignment horizontal="left"/>
    </xf>
    <xf numFmtId="0" fontId="0" fillId="33" borderId="55" xfId="0" applyFill="1" applyBorder="1" applyAlignment="1">
      <alignment horizontal="center"/>
    </xf>
    <xf numFmtId="0" fontId="0" fillId="33" borderId="57" xfId="0" applyFill="1" applyBorder="1" applyAlignment="1">
      <alignment horizontal="center"/>
    </xf>
    <xf numFmtId="0" fontId="0" fillId="33" borderId="58" xfId="0" applyFill="1" applyBorder="1" applyAlignment="1">
      <alignment horizontal="center"/>
    </xf>
    <xf numFmtId="0" fontId="0" fillId="33" borderId="63" xfId="0" applyFill="1" applyBorder="1" applyAlignment="1">
      <alignment horizontal="center"/>
    </xf>
    <xf numFmtId="0" fontId="10" fillId="0" borderId="53" xfId="0" applyFont="1" applyBorder="1" applyAlignment="1">
      <alignment horizontal="center" vertical="center"/>
    </xf>
    <xf numFmtId="0" fontId="32" fillId="5" borderId="58" xfId="0" applyFont="1" applyFill="1" applyBorder="1" applyAlignment="1">
      <alignment horizontal="center"/>
    </xf>
    <xf numFmtId="0" fontId="32" fillId="5" borderId="62" xfId="0" applyFont="1" applyFill="1" applyBorder="1" applyAlignment="1">
      <alignment horizontal="center"/>
    </xf>
    <xf numFmtId="0" fontId="32" fillId="5" borderId="63" xfId="0" applyFont="1" applyFill="1" applyBorder="1" applyAlignment="1">
      <alignment horizontal="center"/>
    </xf>
    <xf numFmtId="0" fontId="32" fillId="18" borderId="59" xfId="0" applyFont="1" applyFill="1" applyBorder="1" applyAlignment="1">
      <alignment horizontal="center"/>
    </xf>
    <xf numFmtId="0" fontId="32" fillId="18" borderId="60" xfId="0" applyFont="1" applyFill="1" applyBorder="1" applyAlignment="1">
      <alignment horizontal="center"/>
    </xf>
    <xf numFmtId="0" fontId="32" fillId="18" borderId="61" xfId="0" applyFont="1" applyFill="1" applyBorder="1" applyAlignment="1">
      <alignment horizontal="center"/>
    </xf>
    <xf numFmtId="0" fontId="47" fillId="5" borderId="55" xfId="0" applyFont="1" applyFill="1" applyBorder="1" applyAlignment="1">
      <alignment horizontal="center"/>
    </xf>
    <xf numFmtId="0" fontId="47" fillId="5" borderId="56" xfId="0" applyFont="1" applyFill="1" applyBorder="1" applyAlignment="1">
      <alignment horizontal="center"/>
    </xf>
    <xf numFmtId="0" fontId="47" fillId="5" borderId="57" xfId="0" applyFont="1" applyFill="1" applyBorder="1" applyAlignment="1">
      <alignment horizontal="center"/>
    </xf>
    <xf numFmtId="0" fontId="32" fillId="18" borderId="58" xfId="0" applyFont="1" applyFill="1" applyBorder="1" applyAlignment="1">
      <alignment horizontal="center"/>
    </xf>
    <xf numFmtId="0" fontId="32" fillId="18" borderId="62" xfId="0" applyFont="1" applyFill="1" applyBorder="1" applyAlignment="1">
      <alignment horizontal="center"/>
    </xf>
    <xf numFmtId="0" fontId="32" fillId="18" borderId="63" xfId="0" applyFont="1" applyFill="1" applyBorder="1" applyAlignment="1">
      <alignment horizontal="center"/>
    </xf>
    <xf numFmtId="0" fontId="32" fillId="5" borderId="59" xfId="0" applyFont="1" applyFill="1" applyBorder="1" applyAlignment="1">
      <alignment horizontal="center"/>
    </xf>
    <xf numFmtId="0" fontId="32" fillId="5" borderId="60" xfId="0" applyFont="1" applyFill="1" applyBorder="1" applyAlignment="1">
      <alignment horizontal="center"/>
    </xf>
    <xf numFmtId="0" fontId="32" fillId="5" borderId="61" xfId="0" applyFont="1" applyFill="1" applyBorder="1" applyAlignment="1">
      <alignment horizontal="center"/>
    </xf>
    <xf numFmtId="0" fontId="0" fillId="33" borderId="59" xfId="0" applyFill="1" applyBorder="1" applyAlignment="1">
      <alignment horizontal="center"/>
    </xf>
    <xf numFmtId="0" fontId="0" fillId="33" borderId="61" xfId="0" applyFill="1" applyBorder="1" applyAlignment="1">
      <alignment horizontal="center"/>
    </xf>
    <xf numFmtId="0" fontId="9" fillId="0" borderId="59" xfId="11" applyFont="1" applyBorder="1" applyAlignment="1" applyProtection="1">
      <alignment horizontal="left" vertical="center" wrapText="1"/>
    </xf>
    <xf numFmtId="0" fontId="9" fillId="0" borderId="60" xfId="11" applyFont="1" applyBorder="1" applyAlignment="1" applyProtection="1">
      <alignment horizontal="left" vertical="center" wrapText="1"/>
    </xf>
    <xf numFmtId="0" fontId="9" fillId="0" borderId="61" xfId="11" applyFont="1" applyBorder="1" applyAlignment="1" applyProtection="1">
      <alignment horizontal="left" vertical="center" wrapText="1"/>
    </xf>
    <xf numFmtId="0" fontId="45" fillId="0" borderId="69" xfId="0" applyFont="1" applyBorder="1" applyAlignment="1">
      <alignment horizontal="center"/>
    </xf>
    <xf numFmtId="0" fontId="45" fillId="0" borderId="70" xfId="0" applyFont="1" applyBorder="1" applyAlignment="1">
      <alignment horizontal="center"/>
    </xf>
    <xf numFmtId="0" fontId="45" fillId="0" borderId="219" xfId="0" applyFont="1" applyBorder="1" applyAlignment="1">
      <alignment horizontal="center"/>
    </xf>
    <xf numFmtId="0" fontId="45" fillId="0" borderId="220" xfId="0" applyFont="1" applyBorder="1" applyAlignment="1">
      <alignment horizontal="center"/>
    </xf>
    <xf numFmtId="10" fontId="14" fillId="0" borderId="34" xfId="16" applyNumberFormat="1" applyFont="1" applyBorder="1" applyAlignment="1">
      <alignment horizontal="center"/>
    </xf>
    <xf numFmtId="10" fontId="14" fillId="0" borderId="220" xfId="16" applyNumberFormat="1" applyFont="1" applyBorder="1" applyAlignment="1">
      <alignment horizontal="center"/>
    </xf>
    <xf numFmtId="0" fontId="9" fillId="0" borderId="69" xfId="0" applyFont="1" applyBorder="1" applyAlignment="1">
      <alignment horizontal="center" vertical="center" wrapText="1"/>
    </xf>
    <xf numFmtId="0" fontId="9" fillId="0" borderId="71" xfId="0" applyFont="1" applyBorder="1" applyAlignment="1">
      <alignment horizontal="center" vertical="center" wrapText="1"/>
    </xf>
    <xf numFmtId="0" fontId="9" fillId="0" borderId="70" xfId="0" applyFont="1" applyBorder="1" applyAlignment="1">
      <alignment horizontal="center" vertical="center" wrapText="1"/>
    </xf>
    <xf numFmtId="10" fontId="14" fillId="0" borderId="69" xfId="16" applyNumberFormat="1" applyFont="1" applyBorder="1" applyAlignment="1">
      <alignment horizontal="center"/>
    </xf>
    <xf numFmtId="10" fontId="14" fillId="0" borderId="71" xfId="16" applyNumberFormat="1" applyFont="1" applyBorder="1" applyAlignment="1">
      <alignment horizontal="center"/>
    </xf>
    <xf numFmtId="10" fontId="14" fillId="0" borderId="70" xfId="16" applyNumberFormat="1" applyFont="1" applyBorder="1" applyAlignment="1">
      <alignment horizontal="center"/>
    </xf>
    <xf numFmtId="0" fontId="32" fillId="5" borderId="55" xfId="0" applyFont="1" applyFill="1" applyBorder="1" applyAlignment="1">
      <alignment horizontal="left"/>
    </xf>
    <xf numFmtId="0" fontId="32" fillId="5" borderId="56" xfId="0" applyFont="1" applyFill="1" applyBorder="1" applyAlignment="1">
      <alignment horizontal="left"/>
    </xf>
    <xf numFmtId="0" fontId="32" fillId="5" borderId="57" xfId="0" applyFont="1" applyFill="1" applyBorder="1" applyAlignment="1">
      <alignment horizontal="left"/>
    </xf>
    <xf numFmtId="0" fontId="14" fillId="0" borderId="221" xfId="0" applyFont="1" applyBorder="1" applyAlignment="1">
      <alignment horizontal="center"/>
    </xf>
    <xf numFmtId="0" fontId="14" fillId="0" borderId="143" xfId="0" applyFont="1" applyBorder="1" applyAlignment="1">
      <alignment horizontal="center"/>
    </xf>
    <xf numFmtId="0" fontId="14" fillId="0" borderId="222" xfId="0" applyFont="1" applyBorder="1" applyAlignment="1">
      <alignment horizontal="center"/>
    </xf>
    <xf numFmtId="10" fontId="14" fillId="0" borderId="221" xfId="16" applyNumberFormat="1" applyFont="1" applyBorder="1" applyAlignment="1">
      <alignment horizontal="center"/>
    </xf>
    <xf numFmtId="10" fontId="14" fillId="0" borderId="143" xfId="16" applyNumberFormat="1" applyFont="1" applyBorder="1" applyAlignment="1">
      <alignment horizontal="center"/>
    </xf>
    <xf numFmtId="10" fontId="14" fillId="0" borderId="222" xfId="16" applyNumberFormat="1" applyFont="1" applyBorder="1" applyAlignment="1">
      <alignment horizontal="center"/>
    </xf>
    <xf numFmtId="0" fontId="32" fillId="5" borderId="58" xfId="0" applyFont="1" applyFill="1" applyBorder="1" applyAlignment="1">
      <alignment horizontal="center" vertical="center"/>
    </xf>
    <xf numFmtId="0" fontId="32" fillId="5" borderId="62" xfId="0" applyFont="1" applyFill="1" applyBorder="1" applyAlignment="1">
      <alignment horizontal="center" vertical="center"/>
    </xf>
    <xf numFmtId="0" fontId="32" fillId="5" borderId="63" xfId="0" applyFont="1" applyFill="1" applyBorder="1" applyAlignment="1">
      <alignment horizontal="center" vertical="center"/>
    </xf>
    <xf numFmtId="0" fontId="10" fillId="0" borderId="58" xfId="0" applyFont="1" applyBorder="1" applyAlignment="1">
      <alignment horizontal="center" vertical="center"/>
    </xf>
    <xf numFmtId="0" fontId="10" fillId="0" borderId="63" xfId="0" applyFont="1" applyBorder="1" applyAlignment="1">
      <alignment horizontal="center" vertical="center"/>
    </xf>
    <xf numFmtId="0" fontId="9" fillId="0" borderId="53" xfId="0" applyFont="1" applyBorder="1" applyAlignment="1">
      <alignment horizontal="center" vertical="center" wrapText="1"/>
    </xf>
    <xf numFmtId="0" fontId="0" fillId="0" borderId="53" xfId="0" applyBorder="1" applyAlignment="1">
      <alignment horizontal="center" vertical="center" wrapText="1"/>
    </xf>
    <xf numFmtId="0" fontId="35" fillId="0" borderId="284" xfId="0" applyFont="1" applyBorder="1" applyAlignment="1">
      <alignment horizontal="center" vertical="center" wrapText="1"/>
    </xf>
    <xf numFmtId="0" fontId="0" fillId="0" borderId="283" xfId="0" applyBorder="1" applyAlignment="1">
      <alignment horizontal="center" vertical="center" wrapText="1"/>
    </xf>
    <xf numFmtId="0" fontId="10" fillId="0" borderId="77" xfId="0" applyFont="1" applyBorder="1" applyAlignment="1">
      <alignment horizontal="center" vertical="center"/>
    </xf>
    <xf numFmtId="0" fontId="10" fillId="0" borderId="79" xfId="0" applyFont="1" applyBorder="1" applyAlignment="1">
      <alignment horizontal="center" vertical="center"/>
    </xf>
    <xf numFmtId="0" fontId="35" fillId="0" borderId="77" xfId="0" applyFont="1" applyBorder="1" applyAlignment="1">
      <alignment horizontal="center" vertical="center" wrapText="1"/>
    </xf>
    <xf numFmtId="0" fontId="35" fillId="0" borderId="79" xfId="0" applyFont="1" applyBorder="1" applyAlignment="1">
      <alignment horizontal="center" vertical="center" wrapText="1"/>
    </xf>
    <xf numFmtId="0" fontId="14" fillId="0" borderId="69" xfId="0" applyFont="1" applyBorder="1" applyAlignment="1">
      <alignment horizontal="center"/>
    </xf>
    <xf numFmtId="0" fontId="14" fillId="0" borderId="71" xfId="0" applyFont="1" applyBorder="1" applyAlignment="1">
      <alignment horizontal="center"/>
    </xf>
    <xf numFmtId="0" fontId="14" fillId="0" borderId="70" xfId="0" applyFont="1" applyBorder="1" applyAlignment="1">
      <alignment horizontal="center"/>
    </xf>
    <xf numFmtId="0" fontId="14" fillId="14" borderId="59" xfId="0" applyFont="1" applyFill="1" applyBorder="1" applyAlignment="1">
      <alignment horizontal="center"/>
    </xf>
    <xf numFmtId="0" fontId="14" fillId="14" borderId="60" xfId="0" applyFont="1" applyFill="1" applyBorder="1" applyAlignment="1">
      <alignment horizontal="center"/>
    </xf>
    <xf numFmtId="0" fontId="14" fillId="14" borderId="61" xfId="0" applyFont="1" applyFill="1" applyBorder="1" applyAlignment="1">
      <alignment horizontal="center"/>
    </xf>
    <xf numFmtId="0" fontId="0" fillId="0" borderId="321" xfId="0" applyBorder="1" applyAlignment="1">
      <alignment horizontal="center" vertical="center" wrapText="1"/>
    </xf>
    <xf numFmtId="0" fontId="0" fillId="0" borderId="322" xfId="0" applyBorder="1" applyAlignment="1">
      <alignment horizontal="center" vertical="center" wrapText="1"/>
    </xf>
    <xf numFmtId="0" fontId="14" fillId="24" borderId="64" xfId="0" applyFont="1" applyFill="1" applyBorder="1" applyAlignment="1">
      <alignment horizontal="center"/>
    </xf>
    <xf numFmtId="0" fontId="14" fillId="24" borderId="65" xfId="0" applyFont="1" applyFill="1" applyBorder="1" applyAlignment="1">
      <alignment horizontal="center"/>
    </xf>
    <xf numFmtId="0" fontId="0" fillId="0" borderId="64" xfId="0" applyBorder="1" applyAlignment="1">
      <alignment horizontal="center" vertical="center" wrapText="1"/>
    </xf>
    <xf numFmtId="0" fontId="0" fillId="0" borderId="65" xfId="0" applyBorder="1" applyAlignment="1">
      <alignment horizontal="center" vertical="center" wrapText="1"/>
    </xf>
    <xf numFmtId="0" fontId="9" fillId="0" borderId="320" xfId="0" applyFont="1" applyBorder="1" applyAlignment="1">
      <alignment horizontal="center" vertical="center" wrapText="1"/>
    </xf>
    <xf numFmtId="0" fontId="0" fillId="0" borderId="63" xfId="0" applyBorder="1" applyAlignment="1">
      <alignment horizontal="center" vertical="center"/>
    </xf>
    <xf numFmtId="0" fontId="14" fillId="24" borderId="66" xfId="0" applyFont="1" applyFill="1" applyBorder="1" applyAlignment="1">
      <alignment horizontal="center"/>
    </xf>
    <xf numFmtId="0" fontId="14" fillId="24" borderId="67" xfId="0" applyFont="1" applyFill="1" applyBorder="1" applyAlignment="1">
      <alignment horizontal="center"/>
    </xf>
    <xf numFmtId="0" fontId="14" fillId="24" borderId="68" xfId="0" applyFont="1" applyFill="1" applyBorder="1" applyAlignment="1">
      <alignment horizontal="center"/>
    </xf>
    <xf numFmtId="0" fontId="32" fillId="5" borderId="43" xfId="0" applyFont="1" applyFill="1" applyBorder="1" applyAlignment="1">
      <alignment horizontal="center"/>
    </xf>
    <xf numFmtId="0" fontId="32" fillId="5" borderId="0" xfId="0" applyFont="1" applyFill="1" applyAlignment="1">
      <alignment horizontal="center"/>
    </xf>
    <xf numFmtId="0" fontId="32" fillId="5" borderId="44" xfId="0" applyFont="1" applyFill="1" applyBorder="1" applyAlignment="1">
      <alignment horizontal="center"/>
    </xf>
    <xf numFmtId="0" fontId="47" fillId="5" borderId="0" xfId="0" applyFont="1" applyFill="1" applyAlignment="1">
      <alignment horizontal="center"/>
    </xf>
    <xf numFmtId="0" fontId="32" fillId="18" borderId="43" xfId="0" applyFont="1" applyFill="1" applyBorder="1" applyAlignment="1">
      <alignment horizontal="center"/>
    </xf>
    <xf numFmtId="0" fontId="32" fillId="18" borderId="0" xfId="0" applyFont="1" applyFill="1" applyAlignment="1">
      <alignment horizontal="center"/>
    </xf>
    <xf numFmtId="0" fontId="47" fillId="5" borderId="60" xfId="0" applyFont="1" applyFill="1" applyBorder="1" applyAlignment="1">
      <alignment horizontal="center"/>
    </xf>
    <xf numFmtId="0" fontId="47" fillId="5" borderId="61" xfId="0" applyFont="1" applyFill="1" applyBorder="1" applyAlignment="1">
      <alignment horizontal="center"/>
    </xf>
    <xf numFmtId="0" fontId="0" fillId="7" borderId="43" xfId="0" applyFill="1" applyBorder="1" applyAlignment="1">
      <alignment horizontal="center"/>
    </xf>
    <xf numFmtId="0" fontId="0" fillId="7" borderId="0" xfId="0" applyFill="1" applyAlignment="1">
      <alignment horizontal="center"/>
    </xf>
    <xf numFmtId="0" fontId="0" fillId="7" borderId="44" xfId="0" applyFill="1" applyBorder="1" applyAlignment="1">
      <alignment horizontal="center"/>
    </xf>
    <xf numFmtId="0" fontId="0" fillId="7" borderId="58" xfId="0" applyFill="1" applyBorder="1" applyAlignment="1">
      <alignment horizontal="center"/>
    </xf>
    <xf numFmtId="0" fontId="0" fillId="7" borderId="62" xfId="0" applyFill="1" applyBorder="1" applyAlignment="1">
      <alignment horizontal="center"/>
    </xf>
    <xf numFmtId="0" fontId="0" fillId="7" borderId="63" xfId="0" applyFill="1" applyBorder="1" applyAlignment="1">
      <alignment horizontal="center"/>
    </xf>
    <xf numFmtId="0" fontId="91" fillId="8" borderId="28" xfId="11" applyFont="1" applyFill="1" applyBorder="1" applyAlignment="1" applyProtection="1">
      <alignment horizontal="center" vertical="center"/>
    </xf>
    <xf numFmtId="0" fontId="71" fillId="8" borderId="29" xfId="0" applyFont="1" applyFill="1" applyBorder="1" applyAlignment="1">
      <alignment horizontal="center" vertical="center"/>
    </xf>
    <xf numFmtId="0" fontId="71" fillId="8" borderId="31" xfId="0" applyFont="1" applyFill="1" applyBorder="1" applyAlignment="1">
      <alignment horizontal="center" vertical="center"/>
    </xf>
    <xf numFmtId="0" fontId="71" fillId="8" borderId="32" xfId="0" applyFont="1" applyFill="1" applyBorder="1" applyAlignment="1">
      <alignment horizontal="center" vertical="center"/>
    </xf>
    <xf numFmtId="0" fontId="46" fillId="7" borderId="0" xfId="0" applyFont="1" applyFill="1" applyAlignment="1">
      <alignment horizontal="center" vertical="center"/>
    </xf>
    <xf numFmtId="0" fontId="9" fillId="0" borderId="59" xfId="0" applyFont="1" applyBorder="1" applyAlignment="1">
      <alignment horizontal="left" vertical="center" wrapText="1"/>
    </xf>
    <xf numFmtId="0" fontId="0" fillId="0" borderId="60" xfId="0" applyBorder="1" applyAlignment="1">
      <alignment horizontal="left" vertical="center" wrapText="1"/>
    </xf>
    <xf numFmtId="0" fontId="0" fillId="0" borderId="61" xfId="0" applyBorder="1" applyAlignment="1">
      <alignment horizontal="left" vertical="center" wrapText="1"/>
    </xf>
    <xf numFmtId="0" fontId="99" fillId="31" borderId="55" xfId="0" applyFont="1" applyFill="1" applyBorder="1" applyAlignment="1">
      <alignment horizontal="center" vertical="center"/>
    </xf>
    <xf numFmtId="0" fontId="99" fillId="31" borderId="56" xfId="0" applyFont="1" applyFill="1" applyBorder="1" applyAlignment="1">
      <alignment horizontal="center" vertical="center"/>
    </xf>
    <xf numFmtId="0" fontId="99" fillId="31" borderId="57" xfId="0" applyFont="1" applyFill="1" applyBorder="1" applyAlignment="1">
      <alignment horizontal="center" vertical="center"/>
    </xf>
    <xf numFmtId="0" fontId="99" fillId="31" borderId="58" xfId="0" applyFont="1" applyFill="1" applyBorder="1" applyAlignment="1">
      <alignment horizontal="center" vertical="center"/>
    </xf>
    <xf numFmtId="0" fontId="99" fillId="31" borderId="62" xfId="0" applyFont="1" applyFill="1" applyBorder="1" applyAlignment="1">
      <alignment horizontal="center" vertical="center"/>
    </xf>
    <xf numFmtId="0" fontId="99" fillId="31" borderId="63" xfId="0" applyFont="1" applyFill="1" applyBorder="1" applyAlignment="1">
      <alignment horizontal="center" vertical="center"/>
    </xf>
    <xf numFmtId="0" fontId="89" fillId="0" borderId="96" xfId="0" applyFont="1" applyBorder="1" applyAlignment="1">
      <alignment horizontal="center" vertical="center" wrapText="1"/>
    </xf>
    <xf numFmtId="0" fontId="89" fillId="0" borderId="333" xfId="0" applyFont="1" applyBorder="1" applyAlignment="1">
      <alignment horizontal="center" vertical="center" wrapText="1"/>
    </xf>
    <xf numFmtId="0" fontId="89" fillId="0" borderId="97" xfId="0" applyFont="1" applyBorder="1" applyAlignment="1">
      <alignment horizontal="center" vertical="center" wrapText="1"/>
    </xf>
    <xf numFmtId="0" fontId="28" fillId="32" borderId="86" xfId="0" applyFont="1" applyFill="1" applyBorder="1" applyAlignment="1">
      <alignment horizontal="center"/>
    </xf>
    <xf numFmtId="0" fontId="28" fillId="32" borderId="0" xfId="0" applyFont="1" applyFill="1" applyAlignment="1">
      <alignment horizontal="center"/>
    </xf>
    <xf numFmtId="0" fontId="89" fillId="0" borderId="52" xfId="0" applyFont="1" applyBorder="1" applyAlignment="1">
      <alignment horizontal="center" vertical="center" wrapText="1"/>
    </xf>
    <xf numFmtId="0" fontId="51" fillId="5" borderId="52" xfId="0" applyFont="1" applyFill="1" applyBorder="1" applyAlignment="1">
      <alignment horizontal="center"/>
    </xf>
    <xf numFmtId="0" fontId="28" fillId="5" borderId="199" xfId="26" applyFont="1" applyFill="1" applyBorder="1" applyAlignment="1">
      <alignment horizontal="center" vertical="center"/>
    </xf>
    <xf numFmtId="0" fontId="28" fillId="5" borderId="200" xfId="26" applyFont="1" applyFill="1" applyBorder="1" applyAlignment="1">
      <alignment horizontal="center" vertical="center"/>
    </xf>
    <xf numFmtId="0" fontId="28" fillId="5" borderId="201" xfId="26" applyFont="1" applyFill="1" applyBorder="1" applyAlignment="1">
      <alignment horizontal="center" vertical="center"/>
    </xf>
    <xf numFmtId="0" fontId="73" fillId="0" borderId="52" xfId="0" applyFont="1" applyBorder="1" applyAlignment="1">
      <alignment horizontal="center" vertical="center" wrapText="1"/>
    </xf>
    <xf numFmtId="0" fontId="73" fillId="0" borderId="203" xfId="0" applyFont="1" applyBorder="1" applyAlignment="1">
      <alignment horizontal="center" vertical="center" wrapText="1"/>
    </xf>
    <xf numFmtId="0" fontId="73" fillId="0" borderId="205" xfId="0" applyFont="1" applyBorder="1" applyAlignment="1">
      <alignment horizontal="center" vertical="center" wrapText="1"/>
    </xf>
    <xf numFmtId="0" fontId="73" fillId="0" borderId="206" xfId="0" applyFont="1" applyBorder="1" applyAlignment="1">
      <alignment horizontal="center" vertical="center" wrapText="1"/>
    </xf>
    <xf numFmtId="0" fontId="0" fillId="44" borderId="202" xfId="0" applyFill="1" applyBorder="1" applyAlignment="1">
      <alignment horizontal="center" vertical="center" wrapText="1"/>
    </xf>
    <xf numFmtId="0" fontId="0" fillId="44" borderId="204" xfId="0" applyFill="1" applyBorder="1" applyAlignment="1">
      <alignment horizontal="center" vertical="center" wrapText="1"/>
    </xf>
    <xf numFmtId="0" fontId="0" fillId="39" borderId="202" xfId="0" applyFill="1" applyBorder="1" applyAlignment="1">
      <alignment horizontal="center" vertical="center" wrapText="1"/>
    </xf>
    <xf numFmtId="0" fontId="0" fillId="45" borderId="202" xfId="0" applyFill="1" applyBorder="1" applyAlignment="1">
      <alignment horizontal="center" vertical="center" wrapText="1"/>
    </xf>
    <xf numFmtId="2" fontId="0" fillId="0" borderId="0" xfId="26" applyNumberFormat="1" applyFont="1" applyAlignment="1">
      <alignment horizontal="center"/>
    </xf>
    <xf numFmtId="0" fontId="17" fillId="18" borderId="98" xfId="1" applyFill="1" applyBorder="1" applyAlignment="1">
      <alignment horizontal="center" vertical="center" readingOrder="1"/>
    </xf>
    <xf numFmtId="0" fontId="54" fillId="18" borderId="98" xfId="26" applyFont="1" applyFill="1" applyBorder="1" applyAlignment="1">
      <alignment horizontal="center"/>
    </xf>
    <xf numFmtId="0" fontId="0" fillId="0" borderId="0" xfId="26" applyFont="1" applyAlignment="1">
      <alignment horizontal="center"/>
    </xf>
    <xf numFmtId="0" fontId="28" fillId="5" borderId="121" xfId="26" applyFont="1" applyFill="1" applyBorder="1" applyAlignment="1">
      <alignment horizontal="center" vertical="center"/>
    </xf>
    <xf numFmtId="0" fontId="28" fillId="5" borderId="24" xfId="26" applyFont="1" applyFill="1" applyBorder="1" applyAlignment="1">
      <alignment horizontal="center" vertical="center"/>
    </xf>
    <xf numFmtId="0" fontId="28" fillId="5" borderId="25" xfId="26" applyFont="1" applyFill="1" applyBorder="1" applyAlignment="1">
      <alignment horizontal="center" vertical="center"/>
    </xf>
    <xf numFmtId="0" fontId="30" fillId="0" borderId="122" xfId="26" applyFont="1" applyBorder="1" applyAlignment="1">
      <alignment horizontal="center" vertical="center" wrapText="1"/>
    </xf>
    <xf numFmtId="0" fontId="30" fillId="0" borderId="123" xfId="26" applyFont="1" applyBorder="1" applyAlignment="1">
      <alignment horizontal="center" vertical="center" wrapText="1"/>
    </xf>
    <xf numFmtId="0" fontId="30" fillId="0" borderId="124" xfId="26" applyFont="1" applyBorder="1" applyAlignment="1">
      <alignment horizontal="center" vertical="center" wrapText="1"/>
    </xf>
    <xf numFmtId="0" fontId="0" fillId="39" borderId="193" xfId="0" applyFill="1" applyBorder="1" applyAlignment="1">
      <alignment horizontal="center"/>
    </xf>
    <xf numFmtId="0" fontId="0" fillId="39" borderId="194" xfId="0" applyFill="1" applyBorder="1" applyAlignment="1">
      <alignment horizontal="center"/>
    </xf>
    <xf numFmtId="0" fontId="0" fillId="39" borderId="140" xfId="0" applyFill="1" applyBorder="1" applyAlignment="1">
      <alignment horizontal="center"/>
    </xf>
    <xf numFmtId="0" fontId="0" fillId="39" borderId="132" xfId="0" applyFill="1" applyBorder="1" applyAlignment="1">
      <alignment horizontal="center"/>
    </xf>
    <xf numFmtId="0" fontId="66" fillId="0" borderId="104" xfId="29" applyFont="1" applyBorder="1" applyAlignment="1">
      <alignment horizontal="center" vertical="center"/>
    </xf>
    <xf numFmtId="0" fontId="66" fillId="0" borderId="106" xfId="29" applyFont="1" applyBorder="1" applyAlignment="1">
      <alignment horizontal="center" vertical="center"/>
    </xf>
    <xf numFmtId="0" fontId="56" fillId="36" borderId="0" xfId="0" applyFont="1" applyFill="1" applyAlignment="1">
      <alignment horizontal="left" vertical="center"/>
    </xf>
    <xf numFmtId="0" fontId="56" fillId="36" borderId="126" xfId="0" applyFont="1" applyFill="1" applyBorder="1" applyAlignment="1">
      <alignment horizontal="left" vertical="center"/>
    </xf>
    <xf numFmtId="0" fontId="57" fillId="0" borderId="104" xfId="0" applyFont="1" applyBorder="1" applyAlignment="1">
      <alignment horizontal="center" vertical="center"/>
    </xf>
    <xf numFmtId="0" fontId="57" fillId="0" borderId="107" xfId="0" applyFont="1" applyBorder="1" applyAlignment="1">
      <alignment horizontal="center" vertical="center"/>
    </xf>
    <xf numFmtId="0" fontId="57" fillId="0" borderId="106" xfId="0" applyFont="1" applyBorder="1" applyAlignment="1">
      <alignment horizontal="center" vertical="center"/>
    </xf>
    <xf numFmtId="0" fontId="14" fillId="0" borderId="113" xfId="0" applyFont="1" applyBorder="1" applyAlignment="1">
      <alignment horizontal="center" vertical="center" wrapText="1"/>
    </xf>
    <xf numFmtId="0" fontId="57" fillId="0" borderId="114" xfId="0" applyFont="1" applyBorder="1" applyAlignment="1">
      <alignment horizontal="center" vertical="center" wrapText="1"/>
    </xf>
    <xf numFmtId="0" fontId="57" fillId="0" borderId="111" xfId="0" applyFont="1" applyBorder="1" applyAlignment="1">
      <alignment horizontal="center" vertical="center" wrapText="1"/>
    </xf>
    <xf numFmtId="0" fontId="62" fillId="28" borderId="113" xfId="0" applyFont="1" applyFill="1" applyBorder="1" applyAlignment="1">
      <alignment horizontal="center"/>
    </xf>
    <xf numFmtId="0" fontId="62" fillId="28" borderId="0" xfId="0" applyFont="1" applyFill="1" applyAlignment="1">
      <alignment horizontal="center"/>
    </xf>
    <xf numFmtId="0" fontId="62" fillId="28" borderId="125" xfId="0" applyFont="1" applyFill="1" applyBorder="1" applyAlignment="1">
      <alignment horizontal="center"/>
    </xf>
    <xf numFmtId="0" fontId="62" fillId="28" borderId="109" xfId="0" applyFont="1" applyFill="1" applyBorder="1" applyAlignment="1">
      <alignment horizontal="center"/>
    </xf>
    <xf numFmtId="0" fontId="62" fillId="28" borderId="176" xfId="0" applyFont="1" applyFill="1" applyBorder="1" applyAlignment="1">
      <alignment horizontal="center"/>
    </xf>
    <xf numFmtId="0" fontId="55" fillId="12" borderId="193" xfId="0" applyFont="1" applyFill="1" applyBorder="1" applyAlignment="1">
      <alignment horizontal="center"/>
    </xf>
    <xf numFmtId="0" fontId="55" fillId="12" borderId="194" xfId="0" applyFont="1" applyFill="1" applyBorder="1" applyAlignment="1">
      <alignment horizontal="center"/>
    </xf>
    <xf numFmtId="0" fontId="55" fillId="12" borderId="335" xfId="0" applyFont="1" applyFill="1" applyBorder="1" applyAlignment="1">
      <alignment horizontal="center"/>
    </xf>
    <xf numFmtId="0" fontId="55" fillId="12" borderId="161" xfId="0" applyFont="1" applyFill="1" applyBorder="1" applyAlignment="1">
      <alignment horizontal="center"/>
    </xf>
    <xf numFmtId="0" fontId="55" fillId="39" borderId="193" xfId="0" applyFont="1" applyFill="1" applyBorder="1" applyAlignment="1">
      <alignment horizontal="center"/>
    </xf>
    <xf numFmtId="0" fontId="55" fillId="39" borderId="194" xfId="0" applyFont="1" applyFill="1" applyBorder="1" applyAlignment="1">
      <alignment horizontal="center"/>
    </xf>
    <xf numFmtId="0" fontId="55" fillId="39" borderId="140" xfId="0" applyFont="1" applyFill="1" applyBorder="1" applyAlignment="1">
      <alignment horizontal="center"/>
    </xf>
    <xf numFmtId="0" fontId="55" fillId="39" borderId="161" xfId="0" applyFont="1" applyFill="1" applyBorder="1" applyAlignment="1">
      <alignment horizontal="center"/>
    </xf>
    <xf numFmtId="0" fontId="57" fillId="0" borderId="111" xfId="0" applyFont="1" applyBorder="1" applyAlignment="1">
      <alignment horizontal="center" vertical="center"/>
    </xf>
    <xf numFmtId="0" fontId="57" fillId="0" borderId="114" xfId="0" applyFont="1" applyBorder="1" applyAlignment="1">
      <alignment horizontal="center" vertical="center"/>
    </xf>
    <xf numFmtId="0" fontId="57" fillId="0" borderId="195" xfId="0" applyFont="1" applyBorder="1" applyAlignment="1">
      <alignment horizontal="center" vertical="center"/>
    </xf>
    <xf numFmtId="0" fontId="57" fillId="0" borderId="151" xfId="0" applyFont="1" applyBorder="1" applyAlignment="1">
      <alignment horizontal="center" vertical="center"/>
    </xf>
    <xf numFmtId="0" fontId="57" fillId="0" borderId="103" xfId="0" applyFont="1" applyBorder="1" applyAlignment="1">
      <alignment horizontal="center" vertical="center"/>
    </xf>
    <xf numFmtId="0" fontId="93" fillId="45" borderId="114" xfId="0" applyFont="1" applyFill="1" applyBorder="1" applyAlignment="1">
      <alignment horizontal="center" vertical="center" wrapText="1"/>
    </xf>
    <xf numFmtId="0" fontId="93" fillId="45" borderId="267" xfId="0" applyFont="1" applyFill="1" applyBorder="1" applyAlignment="1">
      <alignment horizontal="center" vertical="center" wrapText="1"/>
    </xf>
    <xf numFmtId="0" fontId="28" fillId="18" borderId="0" xfId="24" applyFont="1" applyFill="1" applyAlignment="1">
      <alignment horizontal="center"/>
    </xf>
    <xf numFmtId="0" fontId="24" fillId="12" borderId="1" xfId="24" applyFont="1" applyFill="1" applyBorder="1" applyAlignment="1">
      <alignment horizontal="center"/>
    </xf>
    <xf numFmtId="0" fontId="28" fillId="18" borderId="0" xfId="24" applyFont="1" applyFill="1" applyAlignment="1">
      <alignment horizontal="center" vertical="center"/>
    </xf>
    <xf numFmtId="0" fontId="9" fillId="0" borderId="28" xfId="24" applyBorder="1" applyAlignment="1">
      <alignment horizontal="center" vertical="center" wrapText="1"/>
    </xf>
    <xf numFmtId="0" fontId="9" fillId="0" borderId="5" xfId="24" applyBorder="1" applyAlignment="1">
      <alignment horizontal="center" vertical="center" wrapText="1"/>
    </xf>
    <xf numFmtId="0" fontId="9" fillId="0" borderId="29" xfId="24" applyBorder="1" applyAlignment="1">
      <alignment horizontal="center" vertical="center" wrapText="1"/>
    </xf>
    <xf numFmtId="0" fontId="9" fillId="0" borderId="6" xfId="24" applyBorder="1" applyAlignment="1">
      <alignment horizontal="center" vertical="center" wrapText="1"/>
    </xf>
    <xf numFmtId="0" fontId="9" fillId="0" borderId="0" xfId="24" applyAlignment="1">
      <alignment horizontal="center" vertical="center" wrapText="1"/>
    </xf>
    <xf numFmtId="0" fontId="9" fillId="0" borderId="30" xfId="24" applyBorder="1" applyAlignment="1">
      <alignment horizontal="center" vertical="center" wrapText="1"/>
    </xf>
    <xf numFmtId="0" fontId="9" fillId="0" borderId="31" xfId="24" applyBorder="1" applyAlignment="1">
      <alignment horizontal="center" vertical="center" wrapText="1"/>
    </xf>
    <xf numFmtId="0" fontId="9" fillId="0" borderId="26" xfId="24" applyBorder="1" applyAlignment="1">
      <alignment horizontal="center" vertical="center" wrapText="1"/>
    </xf>
    <xf numFmtId="0" fontId="9" fillId="0" borderId="32" xfId="24" applyBorder="1" applyAlignment="1">
      <alignment horizontal="center" vertical="center" wrapText="1"/>
    </xf>
    <xf numFmtId="0" fontId="24" fillId="23" borderId="1" xfId="24" applyFont="1" applyFill="1" applyBorder="1" applyAlignment="1">
      <alignment horizontal="center"/>
    </xf>
    <xf numFmtId="0" fontId="75" fillId="18" borderId="0" xfId="24" applyFont="1" applyFill="1" applyAlignment="1">
      <alignment horizontal="center" vertical="center"/>
    </xf>
    <xf numFmtId="10" fontId="0" fillId="0" borderId="307" xfId="0" applyNumberFormat="1" applyBorder="1" applyAlignment="1">
      <alignment horizontal="center"/>
    </xf>
    <xf numFmtId="10" fontId="0" fillId="0" borderId="308" xfId="0" applyNumberFormat="1" applyBorder="1" applyAlignment="1">
      <alignment horizontal="center"/>
    </xf>
    <xf numFmtId="10" fontId="0" fillId="0" borderId="262" xfId="0" applyNumberFormat="1" applyBorder="1" applyAlignment="1">
      <alignment horizontal="center"/>
    </xf>
    <xf numFmtId="10" fontId="0" fillId="0" borderId="309" xfId="0" applyNumberFormat="1" applyBorder="1" applyAlignment="1">
      <alignment horizontal="center"/>
    </xf>
    <xf numFmtId="0" fontId="78" fillId="7" borderId="0" xfId="0" applyFont="1" applyFill="1" applyAlignment="1">
      <alignment horizontal="center"/>
    </xf>
    <xf numFmtId="0" fontId="14" fillId="48" borderId="125" xfId="0" applyFont="1" applyFill="1" applyBorder="1" applyAlignment="1">
      <alignment horizontal="center"/>
    </xf>
    <xf numFmtId="0" fontId="14" fillId="48" borderId="176" xfId="0" applyFont="1" applyFill="1" applyBorder="1" applyAlignment="1">
      <alignment horizontal="center"/>
    </xf>
    <xf numFmtId="10" fontId="0" fillId="0" borderId="260" xfId="0" applyNumberFormat="1" applyBorder="1" applyAlignment="1">
      <alignment horizontal="center"/>
    </xf>
    <xf numFmtId="10" fontId="0" fillId="0" borderId="269" xfId="0" applyNumberFormat="1" applyBorder="1" applyAlignment="1">
      <alignment horizontal="center"/>
    </xf>
    <xf numFmtId="0" fontId="14" fillId="39" borderId="114" xfId="0" applyFont="1" applyFill="1" applyBorder="1" applyAlignment="1">
      <alignment horizontal="center" vertical="center" wrapText="1"/>
    </xf>
    <xf numFmtId="0" fontId="14" fillId="39" borderId="267" xfId="0" applyFont="1" applyFill="1" applyBorder="1" applyAlignment="1">
      <alignment horizontal="center" vertical="center" wrapText="1"/>
    </xf>
    <xf numFmtId="0" fontId="59" fillId="18" borderId="0" xfId="24" applyFont="1" applyFill="1" applyAlignment="1">
      <alignment horizontal="left"/>
    </xf>
    <xf numFmtId="0" fontId="24" fillId="9" borderId="1" xfId="24" applyFont="1" applyFill="1" applyBorder="1" applyAlignment="1">
      <alignment horizontal="center"/>
    </xf>
    <xf numFmtId="0" fontId="93" fillId="44" borderId="114" xfId="0" applyFont="1" applyFill="1" applyBorder="1" applyAlignment="1">
      <alignment horizontal="center" vertical="center" wrapText="1"/>
    </xf>
    <xf numFmtId="0" fontId="93" fillId="44" borderId="111" xfId="0" applyFont="1" applyFill="1" applyBorder="1" applyAlignment="1">
      <alignment horizontal="center" vertical="center" wrapText="1"/>
    </xf>
    <xf numFmtId="0" fontId="93" fillId="44" borderId="315" xfId="0" applyFont="1" applyFill="1" applyBorder="1" applyAlignment="1">
      <alignment horizontal="center" vertical="center" wrapText="1"/>
    </xf>
    <xf numFmtId="0" fontId="27" fillId="9" borderId="0" xfId="24" applyFont="1" applyFill="1" applyAlignment="1">
      <alignment horizontal="center"/>
    </xf>
    <xf numFmtId="9" fontId="9" fillId="0" borderId="39" xfId="24" applyNumberFormat="1" applyBorder="1" applyAlignment="1">
      <alignment horizontal="center" vertical="center"/>
    </xf>
    <xf numFmtId="0" fontId="9" fillId="0" borderId="39" xfId="24"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10" fillId="0" borderId="0" xfId="24" applyFont="1" applyAlignment="1">
      <alignment horizontal="center" vertical="center"/>
    </xf>
    <xf numFmtId="0" fontId="88" fillId="0" borderId="37" xfId="0" applyFont="1" applyBorder="1" applyAlignment="1">
      <alignment horizontal="center"/>
    </xf>
    <xf numFmtId="0" fontId="88" fillId="0" borderId="1" xfId="0" applyFont="1" applyBorder="1" applyAlignment="1">
      <alignment horizontal="center"/>
    </xf>
    <xf numFmtId="0" fontId="88" fillId="0" borderId="38" xfId="0" applyFont="1" applyBorder="1" applyAlignment="1">
      <alignment horizontal="center"/>
    </xf>
    <xf numFmtId="0" fontId="0" fillId="0" borderId="37" xfId="24" applyFont="1" applyBorder="1" applyAlignment="1">
      <alignment horizontal="center"/>
    </xf>
    <xf numFmtId="0" fontId="0" fillId="0" borderId="38" xfId="24" applyFont="1" applyBorder="1" applyAlignment="1">
      <alignment horizontal="center"/>
    </xf>
    <xf numFmtId="0" fontId="44" fillId="0" borderId="0" xfId="0" applyFont="1" applyAlignment="1">
      <alignment horizontal="center"/>
    </xf>
    <xf numFmtId="0" fontId="10" fillId="0" borderId="0" xfId="0" applyFont="1" applyAlignment="1">
      <alignment horizontal="center"/>
    </xf>
    <xf numFmtId="0" fontId="40" fillId="0" borderId="0" xfId="0" applyFont="1" applyAlignment="1">
      <alignment horizontal="center"/>
    </xf>
    <xf numFmtId="0" fontId="36" fillId="19" borderId="0" xfId="0" applyFont="1" applyFill="1" applyAlignment="1">
      <alignment horizontal="center"/>
    </xf>
    <xf numFmtId="4" fontId="36" fillId="19" borderId="0" xfId="0" applyNumberFormat="1" applyFont="1" applyFill="1" applyAlignment="1">
      <alignment horizontal="center"/>
    </xf>
    <xf numFmtId="0" fontId="36" fillId="0" borderId="0" xfId="0" applyFont="1" applyAlignment="1">
      <alignment horizontal="center"/>
    </xf>
    <xf numFmtId="0" fontId="24" fillId="0" borderId="0" xfId="0" applyFont="1" applyAlignment="1">
      <alignment horizontal="center"/>
    </xf>
    <xf numFmtId="0" fontId="14" fillId="0" borderId="3" xfId="0" applyFont="1" applyBorder="1" applyAlignment="1">
      <alignment horizontal="center"/>
    </xf>
    <xf numFmtId="0" fontId="14" fillId="0" borderId="2" xfId="0" applyFont="1" applyBorder="1" applyAlignment="1">
      <alignment horizontal="center"/>
    </xf>
    <xf numFmtId="0" fontId="14" fillId="0" borderId="28" xfId="0" applyFont="1" applyBorder="1" applyAlignment="1">
      <alignment horizontal="center"/>
    </xf>
    <xf numFmtId="0" fontId="14" fillId="0" borderId="5" xfId="0" applyFont="1" applyBorder="1" applyAlignment="1">
      <alignment horizontal="center"/>
    </xf>
    <xf numFmtId="0" fontId="14" fillId="0" borderId="29" xfId="0" applyFont="1" applyBorder="1" applyAlignment="1">
      <alignment horizontal="center"/>
    </xf>
    <xf numFmtId="0" fontId="0" fillId="0" borderId="10" xfId="0" applyBorder="1" applyAlignment="1"/>
    <xf numFmtId="0" fontId="0" fillId="0" borderId="0" xfId="0" applyAlignment="1"/>
  </cellXfs>
  <cellStyles count="52">
    <cellStyle name="blp_title_header_row_left" xfId="1" xr:uid="{00000000-0005-0000-0000-000000000000}"/>
    <cellStyle name="Comma" xfId="34" builtinId="3"/>
    <cellStyle name="Comma 2" xfId="35" xr:uid="{250CCCD1-1103-471C-8F67-28668C41273B}"/>
    <cellStyle name="Currency 2" xfId="36" xr:uid="{BA6EAB8D-C1CD-4A02-88DE-6CC341D4CA2B}"/>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footer_italic" xfId="8" xr:uid="{00000000-0005-0000-0000-000007000000}"/>
    <cellStyle name="fa_row_header_bold 2" xfId="9" xr:uid="{00000000-0005-0000-0000-000008000000}"/>
    <cellStyle name="fa_row_header_standard 2" xfId="10" xr:uid="{00000000-0005-0000-0000-000009000000}"/>
    <cellStyle name="Hyperlink" xfId="11" builtinId="8"/>
    <cellStyle name="Hyperlink 2" xfId="37" xr:uid="{B843041F-A503-4C96-BD66-D8C345087356}"/>
    <cellStyle name="Moneda 2" xfId="12" xr:uid="{00000000-0005-0000-0000-00000B000000}"/>
    <cellStyle name="Moneda 2 2" xfId="13" xr:uid="{00000000-0005-0000-0000-00000C000000}"/>
    <cellStyle name="Moneda 2 2 2" xfId="38" xr:uid="{A9F7DBD9-ECB5-422D-B7FE-D1B81682ACB6}"/>
    <cellStyle name="Moneda 2 3" xfId="39" xr:uid="{0C246A0F-791B-4607-A943-329328C0E596}"/>
    <cellStyle name="Normal" xfId="0" builtinId="0"/>
    <cellStyle name="Normal 2" xfId="14" xr:uid="{00000000-0005-0000-0000-00000E000000}"/>
    <cellStyle name="Normal 2 2" xfId="15" xr:uid="{00000000-0005-0000-0000-00000F000000}"/>
    <cellStyle name="Normal 2 2 2" xfId="40" xr:uid="{94E1BC16-B16C-4484-ACB2-5710E7AEA3B0}"/>
    <cellStyle name="Normal 2 3" xfId="20" xr:uid="{00000000-0005-0000-0000-000010000000}"/>
    <cellStyle name="Normal 2 3 2" xfId="27" xr:uid="{6A4611F8-31D7-4EA6-B27B-70EB4E34E8FD}"/>
    <cellStyle name="Normal 2 3 2 2" xfId="41" xr:uid="{454887D3-74AB-4AF1-BBD0-DF8801A2EB29}"/>
    <cellStyle name="Normal 2 3 3" xfId="42" xr:uid="{1D2B9301-9BE6-4F5D-9C24-C0022117C6D0}"/>
    <cellStyle name="Normal 2 4" xfId="21" xr:uid="{DBC68614-B0BC-4348-8A0D-C96562B201CF}"/>
    <cellStyle name="Normal 2 4 2" xfId="43" xr:uid="{FEBD1272-D238-4497-B9D3-512A1FB16813}"/>
    <cellStyle name="Normal 2 5" xfId="44" xr:uid="{1BF92F8E-9171-4EBF-8B8C-C7217657C418}"/>
    <cellStyle name="Normal 3" xfId="24" xr:uid="{371B90F0-6B8E-40BF-8358-D28B574437C9}"/>
    <cellStyle name="Normal 3 2" xfId="26" xr:uid="{41BD78A2-6B23-4ADD-839D-9D86F14E11A2}"/>
    <cellStyle name="Normal 3 3" xfId="29" xr:uid="{4CBFF9A4-05AD-4A91-8AF0-FA0B5B39E2EC}"/>
    <cellStyle name="Normal 3 3 2" xfId="45" xr:uid="{7E6A0CC1-E15D-46E5-A3B8-CBBD78C4A62B}"/>
    <cellStyle name="Normal 5" xfId="30" xr:uid="{E3BE1569-E214-4855-8BF5-B868B88B5743}"/>
    <cellStyle name="Normal 5 2" xfId="46" xr:uid="{99B159A1-99BF-4DDF-8B3D-BB9EB0370852}"/>
    <cellStyle name="Normal 9" xfId="33" xr:uid="{CACD4D4E-2C7F-4816-9692-26D0FDD559DC}"/>
    <cellStyle name="Normal 9 2" xfId="47" xr:uid="{B5DAD1E5-6D73-4D9C-B8CF-8EE443B57F4A}"/>
    <cellStyle name="Per cent" xfId="16" builtinId="5"/>
    <cellStyle name="Porcentaje 2" xfId="17" xr:uid="{00000000-0005-0000-0000-000012000000}"/>
    <cellStyle name="Porcentaje 2 2" xfId="18" xr:uid="{00000000-0005-0000-0000-000013000000}"/>
    <cellStyle name="Porcentaje 2 2 2" xfId="25" xr:uid="{924DB8B0-6B9C-4A78-9CB6-7EC8F42C7C6B}"/>
    <cellStyle name="Porcentaje 2 3" xfId="23" xr:uid="{1FF2580F-E450-433A-8AB5-6E1CABCA8FC9}"/>
    <cellStyle name="Porcentaje 2 4" xfId="28" xr:uid="{3D812F63-E4F6-4F6D-A613-EF79E76ACE35}"/>
    <cellStyle name="Porcentaje 2 4 2" xfId="48" xr:uid="{8D83B5F9-426F-4401-956F-5DA3E4127E9E}"/>
    <cellStyle name="Porcentaje 3" xfId="19" xr:uid="{00000000-0005-0000-0000-000014000000}"/>
    <cellStyle name="Porcentaje 3 2" xfId="22" xr:uid="{59E732CE-B697-4AF7-8CEE-0C42EB60E78B}"/>
    <cellStyle name="Porcentaje 3 3" xfId="49" xr:uid="{F17C7133-BCEB-4370-9EAE-E23FD9116BB9}"/>
    <cellStyle name="Porcentaje 4 2" xfId="32" xr:uid="{C6A0E8B8-33DC-4334-89A4-99FF669E5EA8}"/>
    <cellStyle name="Porcentaje 4 2 2" xfId="50" xr:uid="{948E83AC-AC0A-4602-A5E5-32AC5BD247C3}"/>
    <cellStyle name="Porcentaje 5" xfId="31" xr:uid="{F07CEC0B-CE59-4BBC-A0C7-9B77A84167BF}"/>
    <cellStyle name="Porcentaje 5 2" xfId="51" xr:uid="{66478510-4C55-45DE-9C72-033D8A055FFA}"/>
  </cellStyles>
  <dxfs count="40">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rgb="FFFF0000"/>
        </patternFill>
      </fill>
    </dxf>
  </dxfs>
  <tableStyles count="1" defaultTableStyle="TableStyleMedium9" defaultPivotStyle="PivotStyleLight16">
    <tableStyle name="Invisible" pivot="0" table="0" count="0" xr9:uid="{7B8256E5-5961-45BC-8E74-75040304E975}"/>
  </tableStyles>
  <colors>
    <mruColors>
      <color rgb="FF1F497D"/>
      <color rgb="FFE838D3"/>
      <color rgb="FFCCECFF"/>
      <color rgb="FF339966"/>
      <color rgb="FFE8E8E8"/>
      <color rgb="FFC5D9F1"/>
      <color rgb="FF1B7087"/>
      <color rgb="FF3174C5"/>
      <color rgb="FF63CB97"/>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22/10/relationships/richValueRel" Target="richData/richValueRel.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sheetMetadata" Target="metadata.xml"/><Relationship Id="rId23" Type="http://schemas.microsoft.com/office/2017/10/relationships/person" Target="persons/person.xml"/><Relationship Id="rId28"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microsoft.com/office/2017/06/relationships/rdRichValueTypes" Target="richData/rdRichValueType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layout>
        <c:manualLayout>
          <c:xMode val="edge"/>
          <c:yMode val="edge"/>
          <c:x val="0.27920227997778813"/>
          <c:y val="2.04581756876328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5-4C49-84C7-5728DDC218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5-4C49-84C7-5728DDC218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95-4C49-84C7-5728DDC218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95-4C49-84C7-5728DDC218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Segments!$C$18:$C$21</c:f>
              <c:strCache>
                <c:ptCount val="4"/>
                <c:pt idx="0">
                  <c:v>NEXT Online</c:v>
                </c:pt>
                <c:pt idx="1">
                  <c:v>NEXT Retail</c:v>
                </c:pt>
                <c:pt idx="2">
                  <c:v>NEXT Finance</c:v>
                </c:pt>
                <c:pt idx="3">
                  <c:v>Other</c:v>
                </c:pt>
              </c:strCache>
            </c:strRef>
          </c:cat>
          <c:val>
            <c:numRef>
              <c:f>Segments!$D$18:$D$21</c:f>
              <c:numCache>
                <c:formatCode>[$£-809]#,##0</c:formatCode>
                <c:ptCount val="4"/>
                <c:pt idx="0">
                  <c:v>2901.4</c:v>
                </c:pt>
                <c:pt idx="1">
                  <c:v>1843.6999999999998</c:v>
                </c:pt>
                <c:pt idx="2">
                  <c:v>292.7</c:v>
                </c:pt>
                <c:pt idx="3">
                  <c:v>453.20000000000005</c:v>
                </c:pt>
              </c:numCache>
            </c:numRef>
          </c:val>
          <c:extLst>
            <c:ext xmlns:c16="http://schemas.microsoft.com/office/drawing/2014/chart" uri="{C3380CC4-5D6E-409C-BE32-E72D297353CC}">
              <c16:uniqueId val="{00000001-CF53-4579-B1F0-E5091D7574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9F-49D6-9FC9-334380BCC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9F-49D6-9FC9-334380BCCA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C0-4978-822B-C231DBE6DF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C0-4978-822B-C231DBE6DFF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4C0-4978-822B-C231DBE6DF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Segments!$C$5:$C$10</c:f>
              <c:strCache>
                <c:ptCount val="5"/>
                <c:pt idx="0">
                  <c:v>United Kingdom</c:v>
                </c:pt>
                <c:pt idx="1">
                  <c:v>Rest of Europe</c:v>
                </c:pt>
                <c:pt idx="2">
                  <c:v>Middle East</c:v>
                </c:pt>
                <c:pt idx="3">
                  <c:v>Asia</c:v>
                </c:pt>
                <c:pt idx="4">
                  <c:v>Rest of world</c:v>
                </c:pt>
              </c:strCache>
            </c:strRef>
          </c:cat>
          <c:val>
            <c:numRef>
              <c:f>Segments!$D$5:$D$10</c:f>
              <c:numCache>
                <c:formatCode>[$£-809]#,##0</c:formatCode>
                <c:ptCount val="5"/>
                <c:pt idx="0">
                  <c:v>4600.6000000000004</c:v>
                </c:pt>
                <c:pt idx="1">
                  <c:v>521.9</c:v>
                </c:pt>
                <c:pt idx="2">
                  <c:v>255</c:v>
                </c:pt>
                <c:pt idx="3">
                  <c:v>41.9</c:v>
                </c:pt>
                <c:pt idx="4">
                  <c:v>71.599999999999994</c:v>
                </c:pt>
              </c:numCache>
            </c:numRef>
          </c:val>
          <c:extLst>
            <c:ext xmlns:c16="http://schemas.microsoft.com/office/drawing/2014/chart" uri="{C3380CC4-5D6E-409C-BE32-E72D297353CC}">
              <c16:uniqueId val="{00000001-C3B0-4A61-A0D4-9A0AF729159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pt-PT" sz="1600" b="1"/>
              <a:t>Total PPE &amp; Software by category </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8.271112914207393E-2"/>
          <c:y val="0.10847579172614827"/>
          <c:w val="0.89138584348563898"/>
          <c:h val="0.72460372528514894"/>
        </c:manualLayout>
      </c:layout>
      <c:lineChart>
        <c:grouping val="standard"/>
        <c:varyColors val="0"/>
        <c:ser>
          <c:idx val="0"/>
          <c:order val="0"/>
          <c:tx>
            <c:strRef>
              <c:f>Segments!$C$71</c:f>
              <c:strCache>
                <c:ptCount val="1"/>
                <c:pt idx="0">
                  <c:v>NEXT Online</c:v>
                </c:pt>
              </c:strCache>
            </c:strRef>
          </c:tx>
          <c:spPr>
            <a:ln w="28575" cap="rnd">
              <a:solidFill>
                <a:schemeClr val="accent1"/>
              </a:solidFill>
              <a:round/>
            </a:ln>
            <a:effectLst/>
          </c:spPr>
          <c:marker>
            <c:symbol val="none"/>
          </c:marker>
          <c:cat>
            <c:numRef>
              <c:f>Segments!$D$61:$I$61</c:f>
              <c:numCache>
                <c:formatCode>General</c:formatCode>
                <c:ptCount val="6"/>
                <c:pt idx="0">
                  <c:v>2018</c:v>
                </c:pt>
                <c:pt idx="1">
                  <c:v>2019</c:v>
                </c:pt>
                <c:pt idx="2">
                  <c:v>2020</c:v>
                </c:pt>
                <c:pt idx="3">
                  <c:v>2021</c:v>
                </c:pt>
                <c:pt idx="4">
                  <c:v>2022</c:v>
                </c:pt>
                <c:pt idx="5">
                  <c:v>2023</c:v>
                </c:pt>
              </c:numCache>
            </c:numRef>
          </c:cat>
          <c:val>
            <c:numRef>
              <c:f>Segments!$D$62:$I$62</c:f>
              <c:numCache>
                <c:formatCode>[$£-809]#,##0</c:formatCode>
                <c:ptCount val="6"/>
                <c:pt idx="0">
                  <c:v>95</c:v>
                </c:pt>
                <c:pt idx="1">
                  <c:v>127.9</c:v>
                </c:pt>
                <c:pt idx="2">
                  <c:v>238.9</c:v>
                </c:pt>
                <c:pt idx="3">
                  <c:v>336.6</c:v>
                </c:pt>
                <c:pt idx="4">
                  <c:v>445.1</c:v>
                </c:pt>
                <c:pt idx="5">
                  <c:v>481.3</c:v>
                </c:pt>
              </c:numCache>
            </c:numRef>
          </c:val>
          <c:smooth val="0"/>
          <c:extLst>
            <c:ext xmlns:c16="http://schemas.microsoft.com/office/drawing/2014/chart" uri="{C3380CC4-5D6E-409C-BE32-E72D297353CC}">
              <c16:uniqueId val="{00000000-E96C-447D-A765-2997A136AF95}"/>
            </c:ext>
          </c:extLst>
        </c:ser>
        <c:ser>
          <c:idx val="1"/>
          <c:order val="1"/>
          <c:tx>
            <c:strRef>
              <c:f>Segments!$C$72</c:f>
              <c:strCache>
                <c:ptCount val="1"/>
                <c:pt idx="0">
                  <c:v>NEXT Retail</c:v>
                </c:pt>
              </c:strCache>
            </c:strRef>
          </c:tx>
          <c:spPr>
            <a:ln w="28575" cap="rnd">
              <a:solidFill>
                <a:schemeClr val="accent2"/>
              </a:solidFill>
              <a:round/>
            </a:ln>
            <a:effectLst/>
          </c:spPr>
          <c:marker>
            <c:symbol val="none"/>
          </c:marker>
          <c:cat>
            <c:numRef>
              <c:f>Segments!$D$61:$I$61</c:f>
              <c:numCache>
                <c:formatCode>General</c:formatCode>
                <c:ptCount val="6"/>
                <c:pt idx="0">
                  <c:v>2018</c:v>
                </c:pt>
                <c:pt idx="1">
                  <c:v>2019</c:v>
                </c:pt>
                <c:pt idx="2">
                  <c:v>2020</c:v>
                </c:pt>
                <c:pt idx="3">
                  <c:v>2021</c:v>
                </c:pt>
                <c:pt idx="4">
                  <c:v>2022</c:v>
                </c:pt>
                <c:pt idx="5">
                  <c:v>2023</c:v>
                </c:pt>
              </c:numCache>
            </c:numRef>
          </c:cat>
          <c:val>
            <c:numRef>
              <c:f>Segments!$D$63:$I$63</c:f>
              <c:numCache>
                <c:formatCode>[$£-809]#,##0</c:formatCode>
                <c:ptCount val="6"/>
                <c:pt idx="0">
                  <c:v>383.40000000000003</c:v>
                </c:pt>
                <c:pt idx="1">
                  <c:v>345.4</c:v>
                </c:pt>
                <c:pt idx="2">
                  <c:v>239.9</c:v>
                </c:pt>
                <c:pt idx="3">
                  <c:v>213.2</c:v>
                </c:pt>
                <c:pt idx="4">
                  <c:v>205.7</c:v>
                </c:pt>
                <c:pt idx="5">
                  <c:v>210.6</c:v>
                </c:pt>
              </c:numCache>
            </c:numRef>
          </c:val>
          <c:smooth val="0"/>
          <c:extLst>
            <c:ext xmlns:c16="http://schemas.microsoft.com/office/drawing/2014/chart" uri="{C3380CC4-5D6E-409C-BE32-E72D297353CC}">
              <c16:uniqueId val="{00000001-E96C-447D-A765-2997A136AF95}"/>
            </c:ext>
          </c:extLst>
        </c:ser>
        <c:dLbls>
          <c:showLegendKey val="0"/>
          <c:showVal val="0"/>
          <c:showCatName val="0"/>
          <c:showSerName val="0"/>
          <c:showPercent val="0"/>
          <c:showBubbleSize val="0"/>
        </c:dLbls>
        <c:smooth val="0"/>
        <c:axId val="347507103"/>
        <c:axId val="347507583"/>
      </c:lineChart>
      <c:catAx>
        <c:axId val="34750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347507583"/>
        <c:crosses val="autoZero"/>
        <c:auto val="1"/>
        <c:lblAlgn val="ctr"/>
        <c:lblOffset val="100"/>
        <c:noMultiLvlLbl val="0"/>
      </c:catAx>
      <c:valAx>
        <c:axId val="347507583"/>
        <c:scaling>
          <c:orientation val="minMax"/>
        </c:scaling>
        <c:delete val="0"/>
        <c:axPos val="l"/>
        <c:majorGridlines>
          <c:spPr>
            <a:ln w="9525" cap="flat" cmpd="sng" algn="ctr">
              <a:solidFill>
                <a:schemeClr val="tx1">
                  <a:lumMod val="15000"/>
                  <a:lumOff val="85000"/>
                </a:schemeClr>
              </a:solidFill>
              <a:round/>
            </a:ln>
            <a:effectLst/>
          </c:spPr>
        </c:majorGridlines>
        <c:numFmt formatCode="[$£-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347507103"/>
        <c:crosses val="autoZero"/>
        <c:crossBetween val="between"/>
      </c:valAx>
      <c:spPr>
        <a:noFill/>
        <a:ln>
          <a:noFill/>
        </a:ln>
        <a:effectLst/>
      </c:spPr>
    </c:plotArea>
    <c:legend>
      <c:legendPos val="b"/>
      <c:layout>
        <c:manualLayout>
          <c:xMode val="edge"/>
          <c:yMode val="edge"/>
          <c:x val="0.24597936987517868"/>
          <c:y val="0.88929456290531395"/>
          <c:w val="0.4913411422091758"/>
          <c:h val="0.1060685830869472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pt-PT" sz="1600" b="1"/>
              <a:t>Total Right-of-use</a:t>
            </a:r>
            <a:r>
              <a:rPr lang="pt-PT" sz="1600" b="1" baseline="0"/>
              <a:t> assets</a:t>
            </a:r>
            <a:r>
              <a:rPr lang="pt-PT" sz="1600" b="1" i="0" u="none" strike="noStrike" kern="1200" spc="0" baseline="0">
                <a:solidFill>
                  <a:sysClr val="windowText" lastClr="000000">
                    <a:lumMod val="65000"/>
                    <a:lumOff val="35000"/>
                  </a:sysClr>
                </a:solidFill>
              </a:rPr>
              <a:t> by category</a:t>
            </a:r>
            <a:endParaRPr lang="pt-PT"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8.2511291552339203E-2"/>
          <c:y val="0.10806866574682855"/>
          <c:w val="0.89164826513885587"/>
          <c:h val="0.7267199817928951"/>
        </c:manualLayout>
      </c:layout>
      <c:lineChart>
        <c:grouping val="standard"/>
        <c:varyColors val="0"/>
        <c:ser>
          <c:idx val="0"/>
          <c:order val="0"/>
          <c:tx>
            <c:strRef>
              <c:f>Segments!$C$71</c:f>
              <c:strCache>
                <c:ptCount val="1"/>
                <c:pt idx="0">
                  <c:v>NEXT Online</c:v>
                </c:pt>
              </c:strCache>
            </c:strRef>
          </c:tx>
          <c:spPr>
            <a:ln w="28575" cap="rnd">
              <a:solidFill>
                <a:schemeClr val="accent1"/>
              </a:solidFill>
              <a:round/>
            </a:ln>
            <a:effectLst/>
          </c:spPr>
          <c:marker>
            <c:symbol val="none"/>
          </c:marker>
          <c:cat>
            <c:numRef>
              <c:f>Segments!$F$70:$I$70</c:f>
              <c:numCache>
                <c:formatCode>General</c:formatCode>
                <c:ptCount val="4"/>
                <c:pt idx="0">
                  <c:v>2020</c:v>
                </c:pt>
                <c:pt idx="1">
                  <c:v>2021</c:v>
                </c:pt>
                <c:pt idx="2">
                  <c:v>2022</c:v>
                </c:pt>
                <c:pt idx="3">
                  <c:v>2023</c:v>
                </c:pt>
              </c:numCache>
            </c:numRef>
          </c:cat>
          <c:val>
            <c:numRef>
              <c:f>Segments!$F$71:$I$71</c:f>
              <c:numCache>
                <c:formatCode>[$£-809]#,##0</c:formatCode>
                <c:ptCount val="4"/>
                <c:pt idx="0">
                  <c:v>111.3</c:v>
                </c:pt>
                <c:pt idx="1">
                  <c:v>94.9</c:v>
                </c:pt>
                <c:pt idx="2">
                  <c:v>132.80000000000001</c:v>
                </c:pt>
                <c:pt idx="3">
                  <c:v>153.1</c:v>
                </c:pt>
              </c:numCache>
            </c:numRef>
          </c:val>
          <c:smooth val="0"/>
          <c:extLst>
            <c:ext xmlns:c16="http://schemas.microsoft.com/office/drawing/2014/chart" uri="{C3380CC4-5D6E-409C-BE32-E72D297353CC}">
              <c16:uniqueId val="{00000000-677E-4D39-8369-293E250BC417}"/>
            </c:ext>
          </c:extLst>
        </c:ser>
        <c:ser>
          <c:idx val="1"/>
          <c:order val="1"/>
          <c:tx>
            <c:strRef>
              <c:f>Segments!$C$72</c:f>
              <c:strCache>
                <c:ptCount val="1"/>
                <c:pt idx="0">
                  <c:v>NEXT Retail</c:v>
                </c:pt>
              </c:strCache>
            </c:strRef>
          </c:tx>
          <c:spPr>
            <a:ln w="28575" cap="rnd">
              <a:solidFill>
                <a:schemeClr val="accent2"/>
              </a:solidFill>
              <a:round/>
            </a:ln>
            <a:effectLst/>
          </c:spPr>
          <c:marker>
            <c:symbol val="none"/>
          </c:marker>
          <c:cat>
            <c:numRef>
              <c:f>Segments!$F$70:$I$70</c:f>
              <c:numCache>
                <c:formatCode>General</c:formatCode>
                <c:ptCount val="4"/>
                <c:pt idx="0">
                  <c:v>2020</c:v>
                </c:pt>
                <c:pt idx="1">
                  <c:v>2021</c:v>
                </c:pt>
                <c:pt idx="2">
                  <c:v>2022</c:v>
                </c:pt>
                <c:pt idx="3">
                  <c:v>2023</c:v>
                </c:pt>
              </c:numCache>
            </c:numRef>
          </c:cat>
          <c:val>
            <c:numRef>
              <c:f>Segments!$F$72:$I$72</c:f>
              <c:numCache>
                <c:formatCode>[$£-809]#,##0</c:formatCode>
                <c:ptCount val="4"/>
                <c:pt idx="0">
                  <c:v>593</c:v>
                </c:pt>
                <c:pt idx="1">
                  <c:v>534.6</c:v>
                </c:pt>
                <c:pt idx="2">
                  <c:v>521</c:v>
                </c:pt>
                <c:pt idx="3">
                  <c:v>488.7</c:v>
                </c:pt>
              </c:numCache>
            </c:numRef>
          </c:val>
          <c:smooth val="0"/>
          <c:extLst>
            <c:ext xmlns:c16="http://schemas.microsoft.com/office/drawing/2014/chart" uri="{C3380CC4-5D6E-409C-BE32-E72D297353CC}">
              <c16:uniqueId val="{00000001-677E-4D39-8369-293E250BC417}"/>
            </c:ext>
          </c:extLst>
        </c:ser>
        <c:dLbls>
          <c:showLegendKey val="0"/>
          <c:showVal val="0"/>
          <c:showCatName val="0"/>
          <c:showSerName val="0"/>
          <c:showPercent val="0"/>
          <c:showBubbleSize val="0"/>
        </c:dLbls>
        <c:smooth val="0"/>
        <c:axId val="347507103"/>
        <c:axId val="347507583"/>
      </c:lineChart>
      <c:catAx>
        <c:axId val="34750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347507583"/>
        <c:crosses val="autoZero"/>
        <c:auto val="1"/>
        <c:lblAlgn val="ctr"/>
        <c:lblOffset val="100"/>
        <c:noMultiLvlLbl val="0"/>
      </c:catAx>
      <c:valAx>
        <c:axId val="347507583"/>
        <c:scaling>
          <c:orientation val="minMax"/>
        </c:scaling>
        <c:delete val="0"/>
        <c:axPos val="l"/>
        <c:majorGridlines>
          <c:spPr>
            <a:ln w="9525" cap="flat" cmpd="sng" algn="ctr">
              <a:solidFill>
                <a:schemeClr val="tx1">
                  <a:lumMod val="15000"/>
                  <a:lumOff val="85000"/>
                </a:schemeClr>
              </a:solidFill>
              <a:round/>
            </a:ln>
            <a:effectLst/>
          </c:spPr>
        </c:majorGridlines>
        <c:numFmt formatCode="[$£-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347507103"/>
        <c:crosses val="autoZero"/>
        <c:crossBetween val="between"/>
      </c:valAx>
      <c:spPr>
        <a:noFill/>
        <a:ln>
          <a:noFill/>
        </a:ln>
        <a:effectLst/>
      </c:spPr>
    </c:plotArea>
    <c:legend>
      <c:legendPos val="b"/>
      <c:layout>
        <c:manualLayout>
          <c:xMode val="edge"/>
          <c:yMode val="edge"/>
          <c:x val="0.26945654137520508"/>
          <c:y val="0.91843143588809417"/>
          <c:w val="0.46004169060550959"/>
          <c:h val="6.6820273624084908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pt-PT" sz="1600" b="1"/>
              <a:t>Total</a:t>
            </a:r>
            <a:r>
              <a:rPr lang="pt-PT" sz="1600" b="1" baseline="0"/>
              <a:t> CAPEX including software</a:t>
            </a:r>
            <a:r>
              <a:rPr lang="pt-PT" sz="1600" b="1" i="0" u="none" strike="noStrike" kern="1200" spc="0" baseline="0">
                <a:solidFill>
                  <a:sysClr val="windowText" lastClr="000000">
                    <a:lumMod val="65000"/>
                    <a:lumOff val="35000"/>
                  </a:sysClr>
                </a:solidFill>
              </a:rPr>
              <a:t> by category</a:t>
            </a:r>
            <a:endParaRPr lang="pt-PT" sz="1600" b="1" baseline="0"/>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8.2316245019435089E-2"/>
          <c:y val="0.10777866542075537"/>
          <c:w val="0.89190439529778576"/>
          <c:h val="0.72269345284173048"/>
        </c:manualLayout>
      </c:layout>
      <c:lineChart>
        <c:grouping val="standard"/>
        <c:varyColors val="0"/>
        <c:ser>
          <c:idx val="0"/>
          <c:order val="0"/>
          <c:tx>
            <c:strRef>
              <c:f>Segments!$C$80</c:f>
              <c:strCache>
                <c:ptCount val="1"/>
                <c:pt idx="0">
                  <c:v>NEXT Online</c:v>
                </c:pt>
              </c:strCache>
            </c:strRef>
          </c:tx>
          <c:spPr>
            <a:ln w="28575" cap="rnd">
              <a:solidFill>
                <a:schemeClr val="accent1"/>
              </a:solidFill>
              <a:round/>
            </a:ln>
            <a:effectLst/>
          </c:spPr>
          <c:marker>
            <c:symbol val="none"/>
          </c:marker>
          <c:cat>
            <c:numRef>
              <c:f>Segments!$D$79:$I$79</c:f>
              <c:numCache>
                <c:formatCode>General</c:formatCode>
                <c:ptCount val="6"/>
                <c:pt idx="0">
                  <c:v>2018</c:v>
                </c:pt>
                <c:pt idx="1">
                  <c:v>2019</c:v>
                </c:pt>
                <c:pt idx="2">
                  <c:v>2020</c:v>
                </c:pt>
                <c:pt idx="3">
                  <c:v>2021</c:v>
                </c:pt>
                <c:pt idx="4">
                  <c:v>2022</c:v>
                </c:pt>
                <c:pt idx="5">
                  <c:v>2023</c:v>
                </c:pt>
              </c:numCache>
            </c:numRef>
          </c:cat>
          <c:val>
            <c:numRef>
              <c:f>Segments!$D$80:$I$80</c:f>
              <c:numCache>
                <c:formatCode>[$£-809]#,##0</c:formatCode>
                <c:ptCount val="6"/>
                <c:pt idx="0">
                  <c:v>31.8</c:v>
                </c:pt>
                <c:pt idx="1">
                  <c:v>52.3</c:v>
                </c:pt>
                <c:pt idx="2">
                  <c:v>97.3</c:v>
                </c:pt>
                <c:pt idx="3">
                  <c:v>130.19999999999999</c:v>
                </c:pt>
                <c:pt idx="4">
                  <c:v>144.9</c:v>
                </c:pt>
                <c:pt idx="5">
                  <c:v>86.8</c:v>
                </c:pt>
              </c:numCache>
            </c:numRef>
          </c:val>
          <c:smooth val="0"/>
          <c:extLst>
            <c:ext xmlns:c16="http://schemas.microsoft.com/office/drawing/2014/chart" uri="{C3380CC4-5D6E-409C-BE32-E72D297353CC}">
              <c16:uniqueId val="{00000000-C51D-496F-8C27-843D67575891}"/>
            </c:ext>
          </c:extLst>
        </c:ser>
        <c:ser>
          <c:idx val="1"/>
          <c:order val="1"/>
          <c:tx>
            <c:strRef>
              <c:f>Segments!$C$81</c:f>
              <c:strCache>
                <c:ptCount val="1"/>
                <c:pt idx="0">
                  <c:v>NEXT Retail</c:v>
                </c:pt>
              </c:strCache>
            </c:strRef>
          </c:tx>
          <c:spPr>
            <a:ln w="28575" cap="rnd">
              <a:solidFill>
                <a:schemeClr val="accent2"/>
              </a:solidFill>
              <a:round/>
            </a:ln>
            <a:effectLst/>
          </c:spPr>
          <c:marker>
            <c:symbol val="none"/>
          </c:marker>
          <c:cat>
            <c:numRef>
              <c:f>Segments!$D$79:$I$79</c:f>
              <c:numCache>
                <c:formatCode>General</c:formatCode>
                <c:ptCount val="6"/>
                <c:pt idx="0">
                  <c:v>2018</c:v>
                </c:pt>
                <c:pt idx="1">
                  <c:v>2019</c:v>
                </c:pt>
                <c:pt idx="2">
                  <c:v>2020</c:v>
                </c:pt>
                <c:pt idx="3">
                  <c:v>2021</c:v>
                </c:pt>
                <c:pt idx="4">
                  <c:v>2022</c:v>
                </c:pt>
                <c:pt idx="5">
                  <c:v>2023</c:v>
                </c:pt>
              </c:numCache>
            </c:numRef>
          </c:cat>
          <c:val>
            <c:numRef>
              <c:f>Segments!$D$81:$I$81</c:f>
              <c:numCache>
                <c:formatCode>[$£-809]#,##0</c:formatCode>
                <c:ptCount val="6"/>
                <c:pt idx="0">
                  <c:v>93.1</c:v>
                </c:pt>
                <c:pt idx="1">
                  <c:v>68.8</c:v>
                </c:pt>
                <c:pt idx="2">
                  <c:v>49.6</c:v>
                </c:pt>
                <c:pt idx="3">
                  <c:v>50.3</c:v>
                </c:pt>
                <c:pt idx="4">
                  <c:v>63.9</c:v>
                </c:pt>
                <c:pt idx="5">
                  <c:v>73.7</c:v>
                </c:pt>
              </c:numCache>
            </c:numRef>
          </c:val>
          <c:smooth val="0"/>
          <c:extLst>
            <c:ext xmlns:c16="http://schemas.microsoft.com/office/drawing/2014/chart" uri="{C3380CC4-5D6E-409C-BE32-E72D297353CC}">
              <c16:uniqueId val="{00000001-C51D-496F-8C27-843D67575891}"/>
            </c:ext>
          </c:extLst>
        </c:ser>
        <c:ser>
          <c:idx val="2"/>
          <c:order val="2"/>
          <c:tx>
            <c:strRef>
              <c:f>Segments!$C$83</c:f>
              <c:strCache>
                <c:ptCount val="1"/>
                <c:pt idx="0">
                  <c:v>Other</c:v>
                </c:pt>
              </c:strCache>
            </c:strRef>
          </c:tx>
          <c:spPr>
            <a:ln w="28575" cap="rnd">
              <a:solidFill>
                <a:schemeClr val="accent3"/>
              </a:solidFill>
              <a:round/>
            </a:ln>
            <a:effectLst/>
          </c:spPr>
          <c:marker>
            <c:symbol val="none"/>
          </c:marker>
          <c:cat>
            <c:numRef>
              <c:f>Segments!$D$79:$I$79</c:f>
              <c:numCache>
                <c:formatCode>General</c:formatCode>
                <c:ptCount val="6"/>
                <c:pt idx="0">
                  <c:v>2018</c:v>
                </c:pt>
                <c:pt idx="1">
                  <c:v>2019</c:v>
                </c:pt>
                <c:pt idx="2">
                  <c:v>2020</c:v>
                </c:pt>
                <c:pt idx="3">
                  <c:v>2021</c:v>
                </c:pt>
                <c:pt idx="4">
                  <c:v>2022</c:v>
                </c:pt>
                <c:pt idx="5">
                  <c:v>2023</c:v>
                </c:pt>
              </c:numCache>
            </c:numRef>
          </c:cat>
          <c:val>
            <c:numRef>
              <c:f>Segments!$D$83:$I$83</c:f>
              <c:numCache>
                <c:formatCode>[$£-809]#,##0</c:formatCode>
                <c:ptCount val="6"/>
                <c:pt idx="0">
                  <c:v>3.7</c:v>
                </c:pt>
                <c:pt idx="1">
                  <c:v>17.700000000000003</c:v>
                </c:pt>
                <c:pt idx="2">
                  <c:v>15.9</c:v>
                </c:pt>
                <c:pt idx="3">
                  <c:v>81.399999999999991</c:v>
                </c:pt>
                <c:pt idx="4">
                  <c:v>39.6</c:v>
                </c:pt>
                <c:pt idx="5">
                  <c:v>43.1</c:v>
                </c:pt>
              </c:numCache>
            </c:numRef>
          </c:val>
          <c:smooth val="0"/>
          <c:extLst>
            <c:ext xmlns:c16="http://schemas.microsoft.com/office/drawing/2014/chart" uri="{C3380CC4-5D6E-409C-BE32-E72D297353CC}">
              <c16:uniqueId val="{00000002-C51D-496F-8C27-843D67575891}"/>
            </c:ext>
          </c:extLst>
        </c:ser>
        <c:dLbls>
          <c:showLegendKey val="0"/>
          <c:showVal val="0"/>
          <c:showCatName val="0"/>
          <c:showSerName val="0"/>
          <c:showPercent val="0"/>
          <c:showBubbleSize val="0"/>
        </c:dLbls>
        <c:smooth val="0"/>
        <c:axId val="599491808"/>
        <c:axId val="599483168"/>
      </c:lineChart>
      <c:catAx>
        <c:axId val="59949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99483168"/>
        <c:crosses val="autoZero"/>
        <c:auto val="1"/>
        <c:lblAlgn val="ctr"/>
        <c:lblOffset val="100"/>
        <c:noMultiLvlLbl val="0"/>
      </c:catAx>
      <c:valAx>
        <c:axId val="599483168"/>
        <c:scaling>
          <c:orientation val="minMax"/>
          <c:max val="250"/>
        </c:scaling>
        <c:delete val="0"/>
        <c:axPos val="l"/>
        <c:majorGridlines>
          <c:spPr>
            <a:ln w="9525" cap="flat" cmpd="sng" algn="ctr">
              <a:solidFill>
                <a:schemeClr val="tx1">
                  <a:lumMod val="15000"/>
                  <a:lumOff val="85000"/>
                </a:schemeClr>
              </a:solidFill>
              <a:round/>
            </a:ln>
            <a:effectLst/>
          </c:spPr>
        </c:majorGridlines>
        <c:numFmt formatCode="[$£-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99491808"/>
        <c:crosses val="autoZero"/>
        <c:crossBetween val="between"/>
      </c:valAx>
      <c:spPr>
        <a:noFill/>
        <a:ln>
          <a:noFill/>
        </a:ln>
        <a:effectLst/>
      </c:spPr>
    </c:plotArea>
    <c:legend>
      <c:legendPos val="r"/>
      <c:layout>
        <c:manualLayout>
          <c:xMode val="edge"/>
          <c:yMode val="edge"/>
          <c:x val="0.20710846005878511"/>
          <c:y val="0.9099443766670543"/>
          <c:w val="0.59837455324388122"/>
          <c:h val="7.4645040289128467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Peers!$C$8</c:f>
              <c:strCache>
                <c:ptCount val="1"/>
                <c:pt idx="0">
                  <c:v>NEXT PLC (XLON:NXT)</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Peers!$C$21</c:f>
              <c:numCache>
                <c:formatCode>0.00</c:formatCode>
                <c:ptCount val="1"/>
                <c:pt idx="0">
                  <c:v>1.5691330004539266</c:v>
                </c:pt>
              </c:numCache>
            </c:numRef>
          </c:xVal>
          <c:yVal>
            <c:numRef>
              <c:f>Peers!$C$37</c:f>
              <c:numCache>
                <c:formatCode>0.0</c:formatCode>
                <c:ptCount val="1"/>
                <c:pt idx="0">
                  <c:v>9.39</c:v>
                </c:pt>
              </c:numCache>
            </c:numRef>
          </c:yVal>
          <c:smooth val="0"/>
          <c:extLst>
            <c:ext xmlns:c16="http://schemas.microsoft.com/office/drawing/2014/chart" uri="{C3380CC4-5D6E-409C-BE32-E72D297353CC}">
              <c16:uniqueId val="{00000001-B547-4DF9-892F-3129917FB3B3}"/>
            </c:ext>
          </c:extLst>
        </c:ser>
        <c:ser>
          <c:idx val="1"/>
          <c:order val="1"/>
          <c:tx>
            <c:strRef>
              <c:f>Peers!$D$8</c:f>
              <c:strCache>
                <c:ptCount val="1"/>
                <c:pt idx="0">
                  <c:v>MARKS AND SPENCER GROUP P.L.C. (XLON:MKS)</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Peers!$D$21</c:f>
              <c:numCache>
                <c:formatCode>0.00</c:formatCode>
                <c:ptCount val="1"/>
                <c:pt idx="0">
                  <c:v>-3.7712686567164178</c:v>
                </c:pt>
              </c:numCache>
            </c:numRef>
          </c:xVal>
          <c:yVal>
            <c:numRef>
              <c:f>Peers!$D$37</c:f>
              <c:numCache>
                <c:formatCode>0.0</c:formatCode>
                <c:ptCount val="1"/>
                <c:pt idx="0">
                  <c:v>0</c:v>
                </c:pt>
              </c:numCache>
            </c:numRef>
          </c:yVal>
          <c:smooth val="0"/>
          <c:extLst>
            <c:ext xmlns:c16="http://schemas.microsoft.com/office/drawing/2014/chart" uri="{C3380CC4-5D6E-409C-BE32-E72D297353CC}">
              <c16:uniqueId val="{00000002-B547-4DF9-892F-3129917FB3B3}"/>
            </c:ext>
          </c:extLst>
        </c:ser>
        <c:ser>
          <c:idx val="2"/>
          <c:order val="2"/>
          <c:tx>
            <c:strRef>
              <c:f>Peers!$E$8</c:f>
              <c:strCache>
                <c:ptCount val="1"/>
                <c:pt idx="0">
                  <c:v>JD SPORTS FASHION PLC (OTCM:JDSPY)</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Peers!$E$21</c:f>
              <c:numCache>
                <c:formatCode>0.00</c:formatCode>
                <c:ptCount val="1"/>
                <c:pt idx="0">
                  <c:v>1.0659856630824374</c:v>
                </c:pt>
              </c:numCache>
            </c:numRef>
          </c:xVal>
          <c:yVal>
            <c:numRef>
              <c:f>Peers!$E$37</c:f>
              <c:numCache>
                <c:formatCode>0.0</c:formatCode>
                <c:ptCount val="1"/>
                <c:pt idx="0">
                  <c:v>9.9315000000000015</c:v>
                </c:pt>
              </c:numCache>
            </c:numRef>
          </c:yVal>
          <c:smooth val="0"/>
          <c:extLst>
            <c:ext xmlns:c16="http://schemas.microsoft.com/office/drawing/2014/chart" uri="{C3380CC4-5D6E-409C-BE32-E72D297353CC}">
              <c16:uniqueId val="{00000003-B547-4DF9-892F-3129917FB3B3}"/>
            </c:ext>
          </c:extLst>
        </c:ser>
        <c:ser>
          <c:idx val="3"/>
          <c:order val="3"/>
          <c:tx>
            <c:strRef>
              <c:f>Peers!$F$8</c:f>
              <c:strCache>
                <c:ptCount val="1"/>
                <c:pt idx="0">
                  <c:v>LPP SA (XWAR:LPP)</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Peers!$F$21</c:f>
              <c:numCache>
                <c:formatCode>0.00</c:formatCode>
                <c:ptCount val="1"/>
                <c:pt idx="0">
                  <c:v>-0.2821152407084061</c:v>
                </c:pt>
              </c:numCache>
            </c:numRef>
          </c:xVal>
          <c:yVal>
            <c:numRef>
              <c:f>Peers!$F$37</c:f>
              <c:numCache>
                <c:formatCode>0.0</c:formatCode>
                <c:ptCount val="1"/>
                <c:pt idx="0">
                  <c:v>40.613255612753179</c:v>
                </c:pt>
              </c:numCache>
            </c:numRef>
          </c:yVal>
          <c:smooth val="0"/>
          <c:extLst>
            <c:ext xmlns:c16="http://schemas.microsoft.com/office/drawing/2014/chart" uri="{C3380CC4-5D6E-409C-BE32-E72D297353CC}">
              <c16:uniqueId val="{00000004-B547-4DF9-892F-3129917FB3B3}"/>
            </c:ext>
          </c:extLst>
        </c:ser>
        <c:ser>
          <c:idx val="4"/>
          <c:order val="4"/>
          <c:tx>
            <c:strRef>
              <c:f>Peers!$G$8</c:f>
              <c:strCache>
                <c:ptCount val="1"/>
                <c:pt idx="0">
                  <c:v>H &amp; M Hennes &amp; Mauritz AB (XSTO:HM B)</c:v>
                </c:pt>
              </c:strCache>
            </c:strRef>
          </c:tx>
          <c:spPr>
            <a:ln w="25400" cap="rnd">
              <a:noFill/>
              <a:round/>
            </a:ln>
            <a:effectLst/>
          </c:spPr>
          <c:marker>
            <c:symbol val="circle"/>
            <c:size val="5"/>
            <c:spPr>
              <a:solidFill>
                <a:schemeClr val="accent5"/>
              </a:solidFill>
              <a:ln w="9525">
                <a:solidFill>
                  <a:schemeClr val="accent5"/>
                </a:solidFill>
              </a:ln>
              <a:effectLst/>
            </c:spPr>
          </c:marker>
          <c:xVal>
            <c:numRef>
              <c:f>Peers!$G$21</c:f>
              <c:numCache>
                <c:formatCode>0.00</c:formatCode>
                <c:ptCount val="1"/>
                <c:pt idx="0">
                  <c:v>0.491867336528652</c:v>
                </c:pt>
              </c:numCache>
            </c:numRef>
          </c:xVal>
          <c:yVal>
            <c:numRef>
              <c:f>Peers!$G$37</c:f>
              <c:numCache>
                <c:formatCode>0.0</c:formatCode>
                <c:ptCount val="1"/>
                <c:pt idx="0">
                  <c:v>64.09144298761295</c:v>
                </c:pt>
              </c:numCache>
            </c:numRef>
          </c:yVal>
          <c:smooth val="0"/>
          <c:extLst>
            <c:ext xmlns:c16="http://schemas.microsoft.com/office/drawing/2014/chart" uri="{C3380CC4-5D6E-409C-BE32-E72D297353CC}">
              <c16:uniqueId val="{00000005-B547-4DF9-892F-3129917FB3B3}"/>
            </c:ext>
          </c:extLst>
        </c:ser>
        <c:ser>
          <c:idx val="5"/>
          <c:order val="5"/>
          <c:tx>
            <c:strRef>
              <c:f>Peers!$H$8</c:f>
            </c:strRef>
          </c:tx>
          <c:spPr>
            <a:ln w="25400" cap="rnd">
              <a:noFill/>
              <a:round/>
            </a:ln>
            <a:effectLst/>
          </c:spPr>
          <c:marker>
            <c:symbol val="circle"/>
            <c:size val="5"/>
            <c:spPr>
              <a:solidFill>
                <a:schemeClr val="accent6"/>
              </a:solidFill>
              <a:ln w="9525">
                <a:solidFill>
                  <a:schemeClr val="accent6"/>
                </a:solidFill>
              </a:ln>
              <a:effectLst/>
            </c:spPr>
          </c:marker>
          <c:xVal>
            <c:strRef>
              <c:f>Peers!$H$21</c:f>
            </c:strRef>
          </c:xVal>
          <c:yVal>
            <c:numRef>
              <c:f>Peers!$H$37</c:f>
            </c:numRef>
          </c:yVal>
          <c:smooth val="0"/>
          <c:extLst>
            <c:ext xmlns:c16="http://schemas.microsoft.com/office/drawing/2014/chart" uri="{C3380CC4-5D6E-409C-BE32-E72D297353CC}">
              <c16:uniqueId val="{00000006-B547-4DF9-892F-3129917FB3B3}"/>
            </c:ext>
          </c:extLst>
        </c:ser>
        <c:dLbls>
          <c:showLegendKey val="0"/>
          <c:showVal val="0"/>
          <c:showCatName val="0"/>
          <c:showSerName val="0"/>
          <c:showPercent val="0"/>
          <c:showBubbleSize val="0"/>
        </c:dLbls>
        <c:axId val="1571673951"/>
        <c:axId val="1289766175"/>
      </c:scatterChart>
      <c:valAx>
        <c:axId val="157167395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0" i="0" baseline="0">
                    <a:effectLst/>
                  </a:rPr>
                  <a:t> </a:t>
                </a:r>
                <a:r>
                  <a:rPr lang="en-US" sz="1200" b="0" i="0" baseline="0">
                    <a:effectLst/>
                  </a:rPr>
                  <a:t>NET DEBT /EBITDA</a:t>
                </a:r>
                <a:endParaRPr lang="en-US" sz="1200">
                  <a:effectLst/>
                </a:endParaRPr>
              </a:p>
            </c:rich>
          </c:tx>
          <c:layout>
            <c:manualLayout>
              <c:xMode val="edge"/>
              <c:yMode val="edge"/>
              <c:x val="0.27899032096554843"/>
              <c:y val="0.877050400374240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289766175"/>
        <c:crosses val="autoZero"/>
        <c:crossBetween val="midCat"/>
      </c:valAx>
      <c:valAx>
        <c:axId val="1289766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baseline="0">
                    <a:effectLst/>
                  </a:rPr>
                  <a:t>EV/ EBITDA</a:t>
                </a:r>
                <a:endParaRPr lang="en-US" sz="1200">
                  <a:effectLst/>
                </a:endParaRPr>
              </a:p>
            </c:rich>
          </c:tx>
          <c:layout>
            <c:manualLayout>
              <c:xMode val="edge"/>
              <c:yMode val="edge"/>
              <c:x val="3.903843505466108E-4"/>
              <c:y val="0.328675172823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571673951"/>
        <c:crosses val="autoZero"/>
        <c:crossBetween val="midCat"/>
      </c:valAx>
      <c:spPr>
        <a:noFill/>
        <a:ln>
          <a:noFill/>
        </a:ln>
        <a:effectLst/>
      </c:spPr>
    </c:plotArea>
    <c:legend>
      <c:legendPos val="r"/>
      <c:layout>
        <c:manualLayout>
          <c:xMode val="edge"/>
          <c:yMode val="edge"/>
          <c:x val="0.79514918527433731"/>
          <c:y val="0.20740538534966782"/>
          <c:w val="0.20485076537264754"/>
          <c:h val="0.441009790888999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02946717757032"/>
          <c:y val="2.4865326922638195E-2"/>
          <c:w val="0.49083244745561727"/>
          <c:h val="0.82049946672598273"/>
        </c:manualLayout>
      </c:layout>
      <c:scatterChart>
        <c:scatterStyle val="lineMarker"/>
        <c:varyColors val="0"/>
        <c:ser>
          <c:idx val="0"/>
          <c:order val="0"/>
          <c:tx>
            <c:strRef>
              <c:f>Peers!$C$8</c:f>
              <c:strCache>
                <c:ptCount val="1"/>
                <c:pt idx="0">
                  <c:v>NEXT PLC (XLON:NXT)</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Peers!$C$44</c:f>
              <c:numCache>
                <c:formatCode>0%</c:formatCode>
                <c:ptCount val="1"/>
                <c:pt idx="0">
                  <c:v>0.56000000000000005</c:v>
                </c:pt>
              </c:numCache>
            </c:numRef>
          </c:xVal>
          <c:yVal>
            <c:numRef>
              <c:f>Peers!$C$49</c:f>
              <c:numCache>
                <c:formatCode>0%</c:formatCode>
                <c:ptCount val="1"/>
                <c:pt idx="0">
                  <c:v>0.35826867119301653</c:v>
                </c:pt>
              </c:numCache>
            </c:numRef>
          </c:yVal>
          <c:smooth val="0"/>
          <c:extLst>
            <c:ext xmlns:c16="http://schemas.microsoft.com/office/drawing/2014/chart" uri="{C3380CC4-5D6E-409C-BE32-E72D297353CC}">
              <c16:uniqueId val="{00000000-A0AB-4E28-9E73-D8DF3D5B0514}"/>
            </c:ext>
          </c:extLst>
        </c:ser>
        <c:ser>
          <c:idx val="1"/>
          <c:order val="1"/>
          <c:tx>
            <c:strRef>
              <c:f>Peers!$D$8</c:f>
              <c:strCache>
                <c:ptCount val="1"/>
                <c:pt idx="0">
                  <c:v>MARKS AND SPENCER GROUP P.L.C. (XLON:MKS)</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Peers!$D$44</c:f>
              <c:numCache>
                <c:formatCode>0%</c:formatCode>
                <c:ptCount val="1"/>
                <c:pt idx="0">
                  <c:v>0.73150000000000004</c:v>
                </c:pt>
              </c:numCache>
            </c:numRef>
          </c:xVal>
          <c:yVal>
            <c:numRef>
              <c:f>Peers!$D$49</c:f>
              <c:numCache>
                <c:formatCode>0.00%</c:formatCode>
                <c:ptCount val="1"/>
                <c:pt idx="0">
                  <c:v>2.0076023391812869</c:v>
                </c:pt>
              </c:numCache>
            </c:numRef>
          </c:yVal>
          <c:smooth val="0"/>
          <c:extLst>
            <c:ext xmlns:c16="http://schemas.microsoft.com/office/drawing/2014/chart" uri="{C3380CC4-5D6E-409C-BE32-E72D297353CC}">
              <c16:uniqueId val="{00000001-A0AB-4E28-9E73-D8DF3D5B0514}"/>
            </c:ext>
          </c:extLst>
        </c:ser>
        <c:ser>
          <c:idx val="2"/>
          <c:order val="2"/>
          <c:tx>
            <c:strRef>
              <c:f>Peers!$E$8</c:f>
              <c:strCache>
                <c:ptCount val="1"/>
                <c:pt idx="0">
                  <c:v>JD SPORTS FASHION PLC (OTCM:JDSPY)</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Peers!$E$44</c:f>
              <c:numCache>
                <c:formatCode>0%</c:formatCode>
                <c:ptCount val="1"/>
                <c:pt idx="0">
                  <c:v>0.45739999999999997</c:v>
                </c:pt>
              </c:numCache>
            </c:numRef>
          </c:xVal>
          <c:yVal>
            <c:numRef>
              <c:f>Peers!$E$49</c:f>
              <c:numCache>
                <c:formatCode>0.00%</c:formatCode>
                <c:ptCount val="1"/>
                <c:pt idx="0">
                  <c:v>1.3990456938698759</c:v>
                </c:pt>
              </c:numCache>
            </c:numRef>
          </c:yVal>
          <c:smooth val="0"/>
          <c:extLst>
            <c:ext xmlns:c16="http://schemas.microsoft.com/office/drawing/2014/chart" uri="{C3380CC4-5D6E-409C-BE32-E72D297353CC}">
              <c16:uniqueId val="{00000002-A0AB-4E28-9E73-D8DF3D5B0514}"/>
            </c:ext>
          </c:extLst>
        </c:ser>
        <c:ser>
          <c:idx val="3"/>
          <c:order val="3"/>
          <c:tx>
            <c:strRef>
              <c:f>Peers!$F$8</c:f>
              <c:strCache>
                <c:ptCount val="1"/>
                <c:pt idx="0">
                  <c:v>LPP SA (XWAR:LPP)</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Peers!$F$44</c:f>
              <c:numCache>
                <c:formatCode>0%</c:formatCode>
                <c:ptCount val="1"/>
                <c:pt idx="0">
                  <c:v>1.8425</c:v>
                </c:pt>
              </c:numCache>
            </c:numRef>
          </c:xVal>
          <c:yVal>
            <c:numRef>
              <c:f>Peers!$F$49</c:f>
              <c:numCache>
                <c:formatCode>0.00%</c:formatCode>
                <c:ptCount val="1"/>
                <c:pt idx="0">
                  <c:v>4.0420350049742542</c:v>
                </c:pt>
              </c:numCache>
            </c:numRef>
          </c:yVal>
          <c:smooth val="0"/>
          <c:extLst>
            <c:ext xmlns:c16="http://schemas.microsoft.com/office/drawing/2014/chart" uri="{C3380CC4-5D6E-409C-BE32-E72D297353CC}">
              <c16:uniqueId val="{00000003-A0AB-4E28-9E73-D8DF3D5B0514}"/>
            </c:ext>
          </c:extLst>
        </c:ser>
        <c:ser>
          <c:idx val="5"/>
          <c:order val="4"/>
          <c:tx>
            <c:strRef>
              <c:f>Peers!$G$8</c:f>
              <c:strCache>
                <c:ptCount val="1"/>
                <c:pt idx="0">
                  <c:v>H &amp; M Hennes &amp; Mauritz AB (XSTO:HM B)</c:v>
                </c:pt>
              </c:strCache>
            </c:strRef>
          </c:tx>
          <c:spPr>
            <a:ln w="25400" cap="rnd">
              <a:noFill/>
              <a:round/>
            </a:ln>
            <a:effectLst/>
          </c:spPr>
          <c:marker>
            <c:symbol val="circle"/>
            <c:size val="5"/>
            <c:spPr>
              <a:solidFill>
                <a:schemeClr val="accent6"/>
              </a:solidFill>
              <a:ln w="9525">
                <a:solidFill>
                  <a:schemeClr val="accent6"/>
                </a:solidFill>
              </a:ln>
              <a:effectLst/>
            </c:spPr>
          </c:marker>
          <c:xVal>
            <c:numRef>
              <c:f>Peers!$G$44</c:f>
              <c:numCache>
                <c:formatCode>0%</c:formatCode>
                <c:ptCount val="1"/>
                <c:pt idx="0">
                  <c:v>0.43780000000000002</c:v>
                </c:pt>
              </c:numCache>
            </c:numRef>
          </c:xVal>
          <c:yVal>
            <c:numRef>
              <c:f>Peers!$G$49</c:f>
              <c:numCache>
                <c:formatCode>0.00%</c:formatCode>
                <c:ptCount val="1"/>
                <c:pt idx="0">
                  <c:v>1.3107722007722007</c:v>
                </c:pt>
              </c:numCache>
            </c:numRef>
          </c:yVal>
          <c:smooth val="0"/>
          <c:extLst>
            <c:ext xmlns:c16="http://schemas.microsoft.com/office/drawing/2014/chart" uri="{C3380CC4-5D6E-409C-BE32-E72D297353CC}">
              <c16:uniqueId val="{00000005-A0AB-4E28-9E73-D8DF3D5B0514}"/>
            </c:ext>
          </c:extLst>
        </c:ser>
        <c:ser>
          <c:idx val="6"/>
          <c:order val="5"/>
          <c:tx>
            <c:strRef>
              <c:f>Peers!$H$8</c:f>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strRef>
              <c:f>Peers!$H$44</c:f>
            </c:strRef>
          </c:xVal>
          <c:yVal>
            <c:numRef>
              <c:f>Peers!$H$49</c:f>
            </c:numRef>
          </c:yVal>
          <c:smooth val="0"/>
          <c:extLst>
            <c:ext xmlns:c16="http://schemas.microsoft.com/office/drawing/2014/chart" uri="{C3380CC4-5D6E-409C-BE32-E72D297353CC}">
              <c16:uniqueId val="{00000006-A0AB-4E28-9E73-D8DF3D5B0514}"/>
            </c:ext>
          </c:extLst>
        </c:ser>
        <c:dLbls>
          <c:showLegendKey val="0"/>
          <c:showVal val="0"/>
          <c:showCatName val="0"/>
          <c:showSerName val="0"/>
          <c:showPercent val="0"/>
          <c:showBubbleSize val="0"/>
        </c:dLbls>
        <c:axId val="581212960"/>
        <c:axId val="581217120"/>
      </c:scatterChart>
      <c:valAx>
        <c:axId val="581212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3 YEAR STOCK PERFORMANCE</a:t>
                </a:r>
                <a:endParaRPr lang="en-US" sz="1200"/>
              </a:p>
            </c:rich>
          </c:tx>
          <c:layout>
            <c:manualLayout>
              <c:xMode val="edge"/>
              <c:yMode val="edge"/>
              <c:x val="0.24749537255061102"/>
              <c:y val="0.920823980715202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81217120"/>
        <c:crosses val="autoZero"/>
        <c:crossBetween val="midCat"/>
      </c:valAx>
      <c:valAx>
        <c:axId val="58121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OPERATING CASH FLOW 3Y PERFORMANCE </a:t>
                </a:r>
                <a:endParaRPr lang="en-US" sz="1200"/>
              </a:p>
            </c:rich>
          </c:tx>
          <c:layout>
            <c:manualLayout>
              <c:xMode val="edge"/>
              <c:yMode val="edge"/>
              <c:x val="3.9522524081838629E-2"/>
              <c:y val="0.18582952776890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81212960"/>
        <c:crosses val="autoZero"/>
        <c:crossBetween val="midCat"/>
      </c:valAx>
      <c:spPr>
        <a:noFill/>
        <a:ln>
          <a:solidFill>
            <a:schemeClr val="bg1"/>
          </a:solidFill>
        </a:ln>
        <a:effectLst/>
      </c:spPr>
    </c:plotArea>
    <c:legend>
      <c:legendPos val="r"/>
      <c:layout>
        <c:manualLayout>
          <c:xMode val="edge"/>
          <c:yMode val="edge"/>
          <c:x val="0.66338608609289218"/>
          <c:y val="0.17241199883672528"/>
          <c:w val="0.17018842544974519"/>
          <c:h val="0.43200295105462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r>
              <a:rPr lang="pt-PT" sz="1400" b="0" i="0" u="none" strike="noStrike" kern="1200" spc="0" baseline="0">
                <a:solidFill>
                  <a:sysClr val="windowText" lastClr="000000">
                    <a:lumMod val="65000"/>
                    <a:lumOff val="35000"/>
                  </a:sysClr>
                </a:solidFill>
              </a:rPr>
              <a:t>Total GHG Scope 1 Emissions (Tonnes)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endParaRPr lang="pt-PT"/>
        </a:p>
      </c:txPr>
    </c:title>
    <c:autoTitleDeleted val="0"/>
    <c:plotArea>
      <c:layout/>
      <c:lineChart>
        <c:grouping val="standard"/>
        <c:varyColors val="0"/>
        <c:ser>
          <c:idx val="0"/>
          <c:order val="0"/>
          <c:spPr>
            <a:ln w="28575" cap="rnd">
              <a:solidFill>
                <a:schemeClr val="accent1"/>
              </a:solidFill>
              <a:round/>
            </a:ln>
            <a:effectLst/>
          </c:spPr>
          <c:marker>
            <c:symbol val="none"/>
          </c:marker>
          <c:cat>
            <c:numRef>
              <c:f>ESG!$T$3:$X$3</c:f>
              <c:numCache>
                <c:formatCode>General</c:formatCode>
                <c:ptCount val="5"/>
                <c:pt idx="0">
                  <c:v>2019</c:v>
                </c:pt>
                <c:pt idx="1">
                  <c:v>2020</c:v>
                </c:pt>
                <c:pt idx="2">
                  <c:v>2021</c:v>
                </c:pt>
                <c:pt idx="3">
                  <c:v>2022</c:v>
                </c:pt>
                <c:pt idx="4">
                  <c:v>2023</c:v>
                </c:pt>
              </c:numCache>
            </c:numRef>
          </c:cat>
          <c:val>
            <c:numRef>
              <c:f>ESG!$T$4:$X$4</c:f>
              <c:numCache>
                <c:formatCode>General</c:formatCode>
                <c:ptCount val="5"/>
                <c:pt idx="0">
                  <c:v>46.911000000000001</c:v>
                </c:pt>
                <c:pt idx="1">
                  <c:v>45.738999999999997</c:v>
                </c:pt>
                <c:pt idx="2">
                  <c:v>36.914000000000001</c:v>
                </c:pt>
                <c:pt idx="3">
                  <c:v>42.616</c:v>
                </c:pt>
                <c:pt idx="4">
                  <c:v>43.164999999999999</c:v>
                </c:pt>
              </c:numCache>
            </c:numRef>
          </c:val>
          <c:smooth val="0"/>
          <c:extLst>
            <c:ext xmlns:c16="http://schemas.microsoft.com/office/drawing/2014/chart" uri="{C3380CC4-5D6E-409C-BE32-E72D297353CC}">
              <c16:uniqueId val="{00000000-A6B6-473E-9A3D-C326A3456503}"/>
            </c:ext>
          </c:extLst>
        </c:ser>
        <c:dLbls>
          <c:showLegendKey val="0"/>
          <c:showVal val="0"/>
          <c:showCatName val="0"/>
          <c:showSerName val="0"/>
          <c:showPercent val="0"/>
          <c:showBubbleSize val="0"/>
        </c:dLbls>
        <c:smooth val="0"/>
        <c:axId val="1824840047"/>
        <c:axId val="1824841967"/>
      </c:lineChart>
      <c:catAx>
        <c:axId val="182484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crossAx val="1824841967"/>
        <c:crosses val="autoZero"/>
        <c:auto val="1"/>
        <c:lblAlgn val="ctr"/>
        <c:lblOffset val="100"/>
        <c:noMultiLvlLbl val="0"/>
      </c:catAx>
      <c:valAx>
        <c:axId val="1824841967"/>
        <c:scaling>
          <c:orientation val="minMax"/>
          <c:min val="3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crossAx val="18248400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defRPr>
      </a:pPr>
      <a:endParaRPr lang="pt-P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sz="1400" b="0" i="0" u="none" strike="noStrike" kern="1200" spc="0" baseline="0">
                <a:solidFill>
                  <a:sysClr val="windowText" lastClr="000000">
                    <a:lumMod val="65000"/>
                    <a:lumOff val="35000"/>
                  </a:sysClr>
                </a:solidFill>
              </a:rPr>
              <a:t>Total Water Consumption (Cubic Meters)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spPr>
            <a:ln w="28575" cap="rnd">
              <a:solidFill>
                <a:schemeClr val="accent1"/>
              </a:solidFill>
              <a:round/>
            </a:ln>
            <a:effectLst/>
          </c:spPr>
          <c:marker>
            <c:symbol val="none"/>
          </c:marker>
          <c:cat>
            <c:numRef>
              <c:f>ESG!$Y$3:$AC$3</c:f>
              <c:numCache>
                <c:formatCode>General</c:formatCode>
                <c:ptCount val="5"/>
                <c:pt idx="0">
                  <c:v>2019</c:v>
                </c:pt>
                <c:pt idx="1">
                  <c:v>2020</c:v>
                </c:pt>
                <c:pt idx="2">
                  <c:v>2021</c:v>
                </c:pt>
                <c:pt idx="3">
                  <c:v>2022</c:v>
                </c:pt>
                <c:pt idx="4">
                  <c:v>2023</c:v>
                </c:pt>
              </c:numCache>
            </c:numRef>
          </c:cat>
          <c:val>
            <c:numRef>
              <c:f>ESG!$Y$4:$AC$4</c:f>
              <c:numCache>
                <c:formatCode>General</c:formatCode>
                <c:ptCount val="5"/>
                <c:pt idx="0">
                  <c:v>340.08800000000002</c:v>
                </c:pt>
                <c:pt idx="1">
                  <c:v>356.38299999999998</c:v>
                </c:pt>
                <c:pt idx="2">
                  <c:v>290.96300000000002</c:v>
                </c:pt>
                <c:pt idx="3">
                  <c:v>430.423</c:v>
                </c:pt>
                <c:pt idx="4">
                  <c:v>295.83699999999999</c:v>
                </c:pt>
              </c:numCache>
            </c:numRef>
          </c:val>
          <c:smooth val="0"/>
          <c:extLst>
            <c:ext xmlns:c16="http://schemas.microsoft.com/office/drawing/2014/chart" uri="{C3380CC4-5D6E-409C-BE32-E72D297353CC}">
              <c16:uniqueId val="{00000000-58E8-4C74-A3C2-8A1CF29D2081}"/>
            </c:ext>
          </c:extLst>
        </c:ser>
        <c:dLbls>
          <c:showLegendKey val="0"/>
          <c:showVal val="0"/>
          <c:showCatName val="0"/>
          <c:showSerName val="0"/>
          <c:showPercent val="0"/>
          <c:showBubbleSize val="0"/>
        </c:dLbls>
        <c:smooth val="0"/>
        <c:axId val="1807844799"/>
        <c:axId val="1807844319"/>
      </c:lineChart>
      <c:catAx>
        <c:axId val="180784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807844319"/>
        <c:crosses val="autoZero"/>
        <c:auto val="1"/>
        <c:lblAlgn val="ctr"/>
        <c:lblOffset val="100"/>
        <c:noMultiLvlLbl val="0"/>
      </c:catAx>
      <c:valAx>
        <c:axId val="1807844319"/>
        <c:scaling>
          <c:orientation val="minMax"/>
          <c:min val="25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8078447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sz="1400" b="0" i="0" u="none" strike="noStrike" kern="1200" spc="0" baseline="0">
                <a:solidFill>
                  <a:sysClr val="windowText" lastClr="000000">
                    <a:lumMod val="65000"/>
                    <a:lumOff val="35000"/>
                  </a:sysClr>
                </a:solidFill>
              </a:rPr>
              <a:t>Total Energy Consumption (Gigajoules)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spPr>
            <a:ln w="28575" cap="rnd">
              <a:solidFill>
                <a:schemeClr val="accent1"/>
              </a:solidFill>
              <a:round/>
            </a:ln>
            <a:effectLst/>
          </c:spPr>
          <c:marker>
            <c:symbol val="none"/>
          </c:marker>
          <c:cat>
            <c:numRef>
              <c:f>ESG!$S$17:$W$17</c:f>
              <c:numCache>
                <c:formatCode>General</c:formatCode>
                <c:ptCount val="5"/>
                <c:pt idx="0">
                  <c:v>2019</c:v>
                </c:pt>
                <c:pt idx="1">
                  <c:v>2020</c:v>
                </c:pt>
                <c:pt idx="2">
                  <c:v>2021</c:v>
                </c:pt>
                <c:pt idx="3">
                  <c:v>2022</c:v>
                </c:pt>
                <c:pt idx="4">
                  <c:v>2023</c:v>
                </c:pt>
              </c:numCache>
            </c:numRef>
          </c:cat>
          <c:val>
            <c:numRef>
              <c:f>ESG!$S$18:$W$18</c:f>
              <c:numCache>
                <c:formatCode>General</c:formatCode>
                <c:ptCount val="5"/>
                <c:pt idx="0">
                  <c:v>1039.954</c:v>
                </c:pt>
                <c:pt idx="1">
                  <c:v>977.08500000000004</c:v>
                </c:pt>
                <c:pt idx="2">
                  <c:v>823.31899999999996</c:v>
                </c:pt>
                <c:pt idx="3">
                  <c:v>1434.492</c:v>
                </c:pt>
                <c:pt idx="4">
                  <c:v>1440.2760000000001</c:v>
                </c:pt>
              </c:numCache>
            </c:numRef>
          </c:val>
          <c:smooth val="0"/>
          <c:extLst>
            <c:ext xmlns:c16="http://schemas.microsoft.com/office/drawing/2014/chart" uri="{C3380CC4-5D6E-409C-BE32-E72D297353CC}">
              <c16:uniqueId val="{00000000-33BF-4FDA-A077-ADC4E9A23DB3}"/>
            </c:ext>
          </c:extLst>
        </c:ser>
        <c:dLbls>
          <c:showLegendKey val="0"/>
          <c:showVal val="0"/>
          <c:showCatName val="0"/>
          <c:showSerName val="0"/>
          <c:showPercent val="0"/>
          <c:showBubbleSize val="0"/>
        </c:dLbls>
        <c:smooth val="0"/>
        <c:axId val="260758079"/>
        <c:axId val="260758559"/>
      </c:lineChart>
      <c:catAx>
        <c:axId val="26075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260758559"/>
        <c:crosses val="autoZero"/>
        <c:auto val="1"/>
        <c:lblAlgn val="ctr"/>
        <c:lblOffset val="100"/>
        <c:noMultiLvlLbl val="0"/>
      </c:catAx>
      <c:valAx>
        <c:axId val="260758559"/>
        <c:scaling>
          <c:orientation val="minMax"/>
          <c:min val="8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2607580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sz="1400" b="0" i="0" u="none" strike="noStrike" kern="1200" spc="0" baseline="0">
                <a:solidFill>
                  <a:sysClr val="windowText" lastClr="000000">
                    <a:lumMod val="65000"/>
                    <a:lumOff val="35000"/>
                  </a:sysClr>
                </a:solidFill>
              </a:rPr>
              <a:t>Total Waste Production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spPr>
            <a:ln w="28575" cap="rnd">
              <a:solidFill>
                <a:schemeClr val="accent1"/>
              </a:solidFill>
              <a:round/>
            </a:ln>
            <a:effectLst/>
          </c:spPr>
          <c:marker>
            <c:symbol val="none"/>
          </c:marker>
          <c:cat>
            <c:numRef>
              <c:f>ESG!$Y$19:$AC$19</c:f>
              <c:numCache>
                <c:formatCode>General</c:formatCode>
                <c:ptCount val="5"/>
                <c:pt idx="0">
                  <c:v>2019</c:v>
                </c:pt>
                <c:pt idx="1">
                  <c:v>2020</c:v>
                </c:pt>
                <c:pt idx="2">
                  <c:v>2021</c:v>
                </c:pt>
                <c:pt idx="3">
                  <c:v>2022</c:v>
                </c:pt>
                <c:pt idx="4">
                  <c:v>2023</c:v>
                </c:pt>
              </c:numCache>
            </c:numRef>
          </c:cat>
          <c:val>
            <c:numRef>
              <c:f>ESG!$Y$20:$AC$20</c:f>
              <c:numCache>
                <c:formatCode>General</c:formatCode>
                <c:ptCount val="5"/>
                <c:pt idx="0">
                  <c:v>29.030999999999999</c:v>
                </c:pt>
                <c:pt idx="1">
                  <c:v>30.227</c:v>
                </c:pt>
                <c:pt idx="2">
                  <c:v>21.753</c:v>
                </c:pt>
                <c:pt idx="3">
                  <c:v>31.634</c:v>
                </c:pt>
                <c:pt idx="4">
                  <c:v>34.012999999999998</c:v>
                </c:pt>
              </c:numCache>
            </c:numRef>
          </c:val>
          <c:smooth val="0"/>
          <c:extLst>
            <c:ext xmlns:c16="http://schemas.microsoft.com/office/drawing/2014/chart" uri="{C3380CC4-5D6E-409C-BE32-E72D297353CC}">
              <c16:uniqueId val="{00000000-1361-468E-B4A0-6A433AA08757}"/>
            </c:ext>
          </c:extLst>
        </c:ser>
        <c:dLbls>
          <c:showLegendKey val="0"/>
          <c:showVal val="0"/>
          <c:showCatName val="0"/>
          <c:showSerName val="0"/>
          <c:showPercent val="0"/>
          <c:showBubbleSize val="0"/>
        </c:dLbls>
        <c:smooth val="0"/>
        <c:axId val="239839711"/>
        <c:axId val="239839231"/>
      </c:lineChart>
      <c:catAx>
        <c:axId val="23983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239839231"/>
        <c:crosses val="autoZero"/>
        <c:auto val="1"/>
        <c:lblAlgn val="ctr"/>
        <c:lblOffset val="100"/>
        <c:noMultiLvlLbl val="0"/>
      </c:catAx>
      <c:valAx>
        <c:axId val="239839231"/>
        <c:scaling>
          <c:orientation val="minMax"/>
          <c:min val="2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2398397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0"/>
          <c:order val="0"/>
          <c:tx>
            <c:strRef>
              <c:f>Assumptions!$B$268:$B$270</c:f>
              <c:strCache>
                <c:ptCount val="3"/>
                <c:pt idx="0">
                  <c:v>2025</c:v>
                </c:pt>
                <c:pt idx="1">
                  <c:v>2026</c:v>
                </c:pt>
                <c:pt idx="2">
                  <c:v>2028</c:v>
                </c:pt>
              </c:strCache>
            </c:strRef>
          </c:tx>
          <c:spPr>
            <a:solidFill>
              <a:schemeClr val="accent1"/>
            </a:solidFill>
            <a:ln>
              <a:noFill/>
            </a:ln>
            <a:effectLst/>
          </c:spPr>
          <c:invertIfNegative val="0"/>
          <c:cat>
            <c:numRef>
              <c:f>Assumptions!$B$268:$B$270</c:f>
              <c:numCache>
                <c:formatCode>General</c:formatCode>
                <c:ptCount val="3"/>
                <c:pt idx="0" formatCode="0">
                  <c:v>2025</c:v>
                </c:pt>
                <c:pt idx="1">
                  <c:v>2026</c:v>
                </c:pt>
                <c:pt idx="2">
                  <c:v>2028</c:v>
                </c:pt>
              </c:numCache>
            </c:numRef>
          </c:cat>
          <c:val>
            <c:numRef>
              <c:f>Assumptions!$C$268:$C$270</c:f>
              <c:numCache>
                <c:formatCode>General</c:formatCode>
                <c:ptCount val="3"/>
                <c:pt idx="0">
                  <c:v>250</c:v>
                </c:pt>
                <c:pt idx="1">
                  <c:v>250</c:v>
                </c:pt>
                <c:pt idx="2">
                  <c:v>300</c:v>
                </c:pt>
              </c:numCache>
            </c:numRef>
          </c:val>
          <c:extLst>
            <c:ext xmlns:c16="http://schemas.microsoft.com/office/drawing/2014/chart" uri="{C3380CC4-5D6E-409C-BE32-E72D297353CC}">
              <c16:uniqueId val="{00000000-D0F6-44FA-A000-1C5C7FD168DF}"/>
            </c:ext>
          </c:extLst>
        </c:ser>
        <c:dLbls>
          <c:showLegendKey val="0"/>
          <c:showVal val="0"/>
          <c:showCatName val="0"/>
          <c:showSerName val="0"/>
          <c:showPercent val="0"/>
          <c:showBubbleSize val="0"/>
        </c:dLbls>
        <c:gapWidth val="219"/>
        <c:overlap val="-27"/>
        <c:axId val="1738583279"/>
        <c:axId val="1738574639"/>
      </c:barChart>
      <c:catAx>
        <c:axId val="1738583279"/>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738574639"/>
        <c:crosses val="autoZero"/>
        <c:auto val="1"/>
        <c:lblAlgn val="ctr"/>
        <c:lblOffset val="100"/>
        <c:noMultiLvlLbl val="0"/>
      </c:catAx>
      <c:valAx>
        <c:axId val="173857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738583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png"/><Relationship Id="rId18" Type="http://schemas.openxmlformats.org/officeDocument/2006/relationships/image" Target="../media/image16.png"/><Relationship Id="rId3" Type="http://schemas.openxmlformats.org/officeDocument/2006/relationships/chart" Target="../charts/chart3.xml"/><Relationship Id="rId21" Type="http://schemas.openxmlformats.org/officeDocument/2006/relationships/image" Target="../media/image19.png"/><Relationship Id="rId7" Type="http://schemas.openxmlformats.org/officeDocument/2006/relationships/image" Target="../media/image5.png"/><Relationship Id="rId12" Type="http://schemas.openxmlformats.org/officeDocument/2006/relationships/image" Target="../media/image10.png"/><Relationship Id="rId17" Type="http://schemas.openxmlformats.org/officeDocument/2006/relationships/image" Target="../media/image15.png"/><Relationship Id="rId2" Type="http://schemas.openxmlformats.org/officeDocument/2006/relationships/chart" Target="../charts/chart2.xml"/><Relationship Id="rId16" Type="http://schemas.openxmlformats.org/officeDocument/2006/relationships/image" Target="../media/image14.png"/><Relationship Id="rId20" Type="http://schemas.openxmlformats.org/officeDocument/2006/relationships/image" Target="../media/image18.png"/><Relationship Id="rId1" Type="http://schemas.openxmlformats.org/officeDocument/2006/relationships/chart" Target="../charts/chart1.xml"/><Relationship Id="rId6" Type="http://schemas.openxmlformats.org/officeDocument/2006/relationships/image" Target="../media/image4.jpeg"/><Relationship Id="rId11" Type="http://schemas.openxmlformats.org/officeDocument/2006/relationships/image" Target="../media/image9.png"/><Relationship Id="rId24" Type="http://schemas.openxmlformats.org/officeDocument/2006/relationships/hyperlink" Target="https://www.researchandmarkets.com/report/retail?srsltid=AfmBOor9RcKXseqwMkMvTNaMu80o8E0tP2PRwfV3FJQlGNZhOpO4vG9K" TargetMode="External"/><Relationship Id="rId5" Type="http://schemas.openxmlformats.org/officeDocument/2006/relationships/chart" Target="../charts/chart5.xml"/><Relationship Id="rId15" Type="http://schemas.openxmlformats.org/officeDocument/2006/relationships/image" Target="../media/image13.png"/><Relationship Id="rId23" Type="http://schemas.openxmlformats.org/officeDocument/2006/relationships/image" Target="../media/image20.png"/><Relationship Id="rId10" Type="http://schemas.openxmlformats.org/officeDocument/2006/relationships/image" Target="../media/image8.png"/><Relationship Id="rId19" Type="http://schemas.openxmlformats.org/officeDocument/2006/relationships/image" Target="../media/image17.png"/><Relationship Id="rId4" Type="http://schemas.openxmlformats.org/officeDocument/2006/relationships/chart" Target="../charts/chart4.xml"/><Relationship Id="rId9" Type="http://schemas.openxmlformats.org/officeDocument/2006/relationships/image" Target="../media/image7.png"/><Relationship Id="rId14" Type="http://schemas.openxmlformats.org/officeDocument/2006/relationships/image" Target="../media/image12.png"/><Relationship Id="rId22" Type="http://schemas.openxmlformats.org/officeDocument/2006/relationships/hyperlink" Target="https://www.statista.com/outlook/emo/fashion/apparel/worldwide"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22</xdr:row>
      <xdr:rowOff>0</xdr:rowOff>
    </xdr:from>
    <xdr:to>
      <xdr:col>16</xdr:col>
      <xdr:colOff>304800</xdr:colOff>
      <xdr:row>24</xdr:row>
      <xdr:rowOff>1773</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22</xdr:row>
      <xdr:rowOff>0</xdr:rowOff>
    </xdr:from>
    <xdr:to>
      <xdr:col>16</xdr:col>
      <xdr:colOff>304800</xdr:colOff>
      <xdr:row>24</xdr:row>
      <xdr:rowOff>1773</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22</xdr:row>
      <xdr:rowOff>0</xdr:rowOff>
    </xdr:from>
    <xdr:to>
      <xdr:col>16</xdr:col>
      <xdr:colOff>304800</xdr:colOff>
      <xdr:row>24</xdr:row>
      <xdr:rowOff>1773</xdr:rowOff>
    </xdr:to>
    <xdr:sp macro="" textlink="">
      <xdr:nvSpPr>
        <xdr:cNvPr id="9" name="AutoShape 48" descr="Resultado de imagen para heidelbergcement">
          <a:extLst>
            <a:ext uri="{FF2B5EF4-FFF2-40B4-BE49-F238E27FC236}">
              <a16:creationId xmlns:a16="http://schemas.microsoft.com/office/drawing/2014/main" id="{7A971572-AE46-4C4C-8556-A1DC5E24C990}"/>
            </a:ext>
          </a:extLst>
        </xdr:cNvPr>
        <xdr:cNvSpPr>
          <a:spLocks noChangeAspect="1" noChangeArrowheads="1"/>
        </xdr:cNvSpPr>
      </xdr:nvSpPr>
      <xdr:spPr bwMode="auto">
        <a:xfrm>
          <a:off x="18110200" y="135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1" name="AutoShape 51" descr="Resultado de imagen para heidelbergcement">
          <a:extLst>
            <a:ext uri="{FF2B5EF4-FFF2-40B4-BE49-F238E27FC236}">
              <a16:creationId xmlns:a16="http://schemas.microsoft.com/office/drawing/2014/main" id="{9C93AAA3-5F34-E84C-A119-511471E42284}"/>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2" name="AutoShape 52" descr="Resultado de imagen para heidelbergcement">
          <a:extLst>
            <a:ext uri="{FF2B5EF4-FFF2-40B4-BE49-F238E27FC236}">
              <a16:creationId xmlns:a16="http://schemas.microsoft.com/office/drawing/2014/main" id="{D38869C9-D998-A047-96C8-5B849EBEA94D}"/>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322450</xdr:colOff>
      <xdr:row>82</xdr:row>
      <xdr:rowOff>160020</xdr:rowOff>
    </xdr:from>
    <xdr:to>
      <xdr:col>11</xdr:col>
      <xdr:colOff>2202511</xdr:colOff>
      <xdr:row>105</xdr:row>
      <xdr:rowOff>32477</xdr:rowOff>
    </xdr:to>
    <xdr:pic>
      <xdr:nvPicPr>
        <xdr:cNvPr id="5" name="Imagem 4">
          <a:extLst>
            <a:ext uri="{FF2B5EF4-FFF2-40B4-BE49-F238E27FC236}">
              <a16:creationId xmlns:a16="http://schemas.microsoft.com/office/drawing/2014/main" id="{70507D26-E779-DBC8-7362-0EB2D055B5A9}"/>
            </a:ext>
          </a:extLst>
        </xdr:cNvPr>
        <xdr:cNvPicPr>
          <a:picLocks noChangeAspect="1"/>
        </xdr:cNvPicPr>
      </xdr:nvPicPr>
      <xdr:blipFill>
        <a:blip xmlns:r="http://schemas.openxmlformats.org/officeDocument/2006/relationships" r:embed="rId1"/>
        <a:stretch>
          <a:fillRect/>
        </a:stretch>
      </xdr:blipFill>
      <xdr:spPr>
        <a:xfrm>
          <a:off x="9093070" y="15293340"/>
          <a:ext cx="6847970" cy="3728177"/>
        </a:xfrm>
        <a:prstGeom prst="rect">
          <a:avLst/>
        </a:prstGeom>
      </xdr:spPr>
    </xdr:pic>
    <xdr:clientData/>
  </xdr:twoCellAnchor>
  <xdr:twoCellAnchor editAs="oneCell">
    <xdr:from>
      <xdr:col>1</xdr:col>
      <xdr:colOff>418336</xdr:colOff>
      <xdr:row>82</xdr:row>
      <xdr:rowOff>79221</xdr:rowOff>
    </xdr:from>
    <xdr:to>
      <xdr:col>5</xdr:col>
      <xdr:colOff>738129</xdr:colOff>
      <xdr:row>106</xdr:row>
      <xdr:rowOff>522224</xdr:rowOff>
    </xdr:to>
    <xdr:pic>
      <xdr:nvPicPr>
        <xdr:cNvPr id="2" name="Picture 1">
          <a:extLst>
            <a:ext uri="{FF2B5EF4-FFF2-40B4-BE49-F238E27FC236}">
              <a16:creationId xmlns:a16="http://schemas.microsoft.com/office/drawing/2014/main" id="{2F12F297-680D-B3F7-0EC0-DBCD30CD1E95}"/>
            </a:ext>
          </a:extLst>
        </xdr:cNvPr>
        <xdr:cNvPicPr>
          <a:picLocks noChangeAspect="1"/>
        </xdr:cNvPicPr>
      </xdr:nvPicPr>
      <xdr:blipFill>
        <a:blip xmlns:r="http://schemas.openxmlformats.org/officeDocument/2006/relationships" r:embed="rId2"/>
        <a:stretch>
          <a:fillRect/>
        </a:stretch>
      </xdr:blipFill>
      <xdr:spPr>
        <a:xfrm>
          <a:off x="449228" y="15803194"/>
          <a:ext cx="8629712" cy="44074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15240</xdr:colOff>
      <xdr:row>33</xdr:row>
      <xdr:rowOff>76200</xdr:rowOff>
    </xdr:from>
    <xdr:to>
      <xdr:col>11</xdr:col>
      <xdr:colOff>662940</xdr:colOff>
      <xdr:row>39</xdr:row>
      <xdr:rowOff>662940</xdr:rowOff>
    </xdr:to>
    <xdr:graphicFrame macro="">
      <xdr:nvGraphicFramePr>
        <xdr:cNvPr id="7" name="Chart 4">
          <a:extLst>
            <a:ext uri="{FF2B5EF4-FFF2-40B4-BE49-F238E27FC236}">
              <a16:creationId xmlns:a16="http://schemas.microsoft.com/office/drawing/2014/main" id="{9E23D189-C3B7-523A-69E6-128398296259}"/>
            </a:ext>
            <a:ext uri="{147F2762-F138-4A5C-976F-8EAC2B608ADB}">
              <a16:predDERef xmlns:a16="http://schemas.microsoft.com/office/drawing/2014/main" pred="{2D8AEC4D-5853-421C-8616-2A1885050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723900</xdr:colOff>
      <xdr:row>33</xdr:row>
      <xdr:rowOff>66675</xdr:rowOff>
    </xdr:from>
    <xdr:to>
      <xdr:col>15</xdr:col>
      <xdr:colOff>714375</xdr:colOff>
      <xdr:row>39</xdr:row>
      <xdr:rowOff>685800</xdr:rowOff>
    </xdr:to>
    <xdr:graphicFrame macro="">
      <xdr:nvGraphicFramePr>
        <xdr:cNvPr id="3" name="Chart 5">
          <a:extLst>
            <a:ext uri="{FF2B5EF4-FFF2-40B4-BE49-F238E27FC236}">
              <a16:creationId xmlns:a16="http://schemas.microsoft.com/office/drawing/2014/main" id="{1471EB7D-83EE-43B1-6F3B-DAB93ADF05E3}"/>
            </a:ext>
            <a:ext uri="{147F2762-F138-4A5C-976F-8EAC2B608ADB}">
              <a16:predDERef xmlns:a16="http://schemas.microsoft.com/office/drawing/2014/main" pred="{9E23D189-C3B7-523A-69E6-128398296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704850</xdr:colOff>
      <xdr:row>32</xdr:row>
      <xdr:rowOff>247650</xdr:rowOff>
    </xdr:from>
    <xdr:to>
      <xdr:col>11</xdr:col>
      <xdr:colOff>714375</xdr:colOff>
      <xdr:row>40</xdr:row>
      <xdr:rowOff>0</xdr:rowOff>
    </xdr:to>
    <xdr:cxnSp macro="">
      <xdr:nvCxnSpPr>
        <xdr:cNvPr id="9" name="Straight Connector 1">
          <a:extLst>
            <a:ext uri="{FF2B5EF4-FFF2-40B4-BE49-F238E27FC236}">
              <a16:creationId xmlns:a16="http://schemas.microsoft.com/office/drawing/2014/main" id="{2D9F9EFF-8C8B-4839-A102-86B66E9BDF73}"/>
            </a:ext>
            <a:ext uri="{147F2762-F138-4A5C-976F-8EAC2B608ADB}">
              <a16:predDERef xmlns:a16="http://schemas.microsoft.com/office/drawing/2014/main" pred="{1471EB7D-83EE-43B1-6F3B-DAB93ADF05E3}"/>
            </a:ext>
          </a:extLst>
        </xdr:cNvPr>
        <xdr:cNvCxnSpPr>
          <a:cxnSpLocks/>
        </xdr:cNvCxnSpPr>
      </xdr:nvCxnSpPr>
      <xdr:spPr bwMode="auto">
        <a:xfrm>
          <a:off x="12144375" y="4324350"/>
          <a:ext cx="9525" cy="2886075"/>
        </a:xfrm>
        <a:prstGeom prst="line">
          <a:avLst/>
        </a:prstGeom>
        <a:ln w="12700">
          <a:solidFill>
            <a:srgbClr val="1F497D"/>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19050</xdr:colOff>
      <xdr:row>57</xdr:row>
      <xdr:rowOff>0</xdr:rowOff>
    </xdr:from>
    <xdr:to>
      <xdr:col>35</xdr:col>
      <xdr:colOff>209550</xdr:colOff>
      <xdr:row>58</xdr:row>
      <xdr:rowOff>28575</xdr:rowOff>
    </xdr:to>
    <xdr:sp macro="" textlink="">
      <xdr:nvSpPr>
        <xdr:cNvPr id="87" name="Rectangle 17">
          <a:extLst>
            <a:ext uri="{FF2B5EF4-FFF2-40B4-BE49-F238E27FC236}">
              <a16:creationId xmlns:a16="http://schemas.microsoft.com/office/drawing/2014/main" id="{373BA1AE-84F4-1EA4-7F90-6E6AE589AB0D}"/>
            </a:ext>
            <a:ext uri="{147F2762-F138-4A5C-976F-8EAC2B608ADB}">
              <a16:predDERef xmlns:a16="http://schemas.microsoft.com/office/drawing/2014/main" pred="{795168BE-2BCC-E14D-F42E-6CD34F49FE73}"/>
            </a:ext>
          </a:extLst>
        </xdr:cNvPr>
        <xdr:cNvSpPr/>
      </xdr:nvSpPr>
      <xdr:spPr bwMode="auto">
        <a:xfrm>
          <a:off x="29794200" y="10391775"/>
          <a:ext cx="952500" cy="952500"/>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15</xdr:col>
      <xdr:colOff>789049</xdr:colOff>
      <xdr:row>33</xdr:row>
      <xdr:rowOff>89536</xdr:rowOff>
    </xdr:from>
    <xdr:to>
      <xdr:col>19</xdr:col>
      <xdr:colOff>1027043</xdr:colOff>
      <xdr:row>39</xdr:row>
      <xdr:rowOff>646981</xdr:rowOff>
    </xdr:to>
    <xdr:graphicFrame macro="">
      <xdr:nvGraphicFramePr>
        <xdr:cNvPr id="5" name="Chart 4">
          <a:extLst>
            <a:ext uri="{FF2B5EF4-FFF2-40B4-BE49-F238E27FC236}">
              <a16:creationId xmlns:a16="http://schemas.microsoft.com/office/drawing/2014/main" id="{B230145D-040F-A8EA-3A2C-472383296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127256</xdr:colOff>
      <xdr:row>33</xdr:row>
      <xdr:rowOff>83476</xdr:rowOff>
    </xdr:from>
    <xdr:to>
      <xdr:col>25</xdr:col>
      <xdr:colOff>821142</xdr:colOff>
      <xdr:row>39</xdr:row>
      <xdr:rowOff>657280</xdr:rowOff>
    </xdr:to>
    <xdr:graphicFrame macro="">
      <xdr:nvGraphicFramePr>
        <xdr:cNvPr id="6" name="Chart 5">
          <a:extLst>
            <a:ext uri="{FF2B5EF4-FFF2-40B4-BE49-F238E27FC236}">
              <a16:creationId xmlns:a16="http://schemas.microsoft.com/office/drawing/2014/main" id="{3334AA52-546E-4E39-80E9-7D66F534A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926474</xdr:colOff>
      <xdr:row>33</xdr:row>
      <xdr:rowOff>72869</xdr:rowOff>
    </xdr:from>
    <xdr:to>
      <xdr:col>33</xdr:col>
      <xdr:colOff>751633</xdr:colOff>
      <xdr:row>39</xdr:row>
      <xdr:rowOff>645409</xdr:rowOff>
    </xdr:to>
    <xdr:graphicFrame macro="">
      <xdr:nvGraphicFramePr>
        <xdr:cNvPr id="8" name="Chart 7">
          <a:extLst>
            <a:ext uri="{FF2B5EF4-FFF2-40B4-BE49-F238E27FC236}">
              <a16:creationId xmlns:a16="http://schemas.microsoft.com/office/drawing/2014/main" id="{AB06CA5D-2074-4E51-BCAD-A3C01F3DF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113993</xdr:colOff>
      <xdr:row>2</xdr:row>
      <xdr:rowOff>45167</xdr:rowOff>
    </xdr:from>
    <xdr:to>
      <xdr:col>16</xdr:col>
      <xdr:colOff>1119810</xdr:colOff>
      <xdr:row>13</xdr:row>
      <xdr:rowOff>121264</xdr:rowOff>
    </xdr:to>
    <xdr:pic>
      <xdr:nvPicPr>
        <xdr:cNvPr id="2" name="Picture 1" descr="Black/Burg/White/Grey 100% Cotton T-Shirts 4 Pack">
          <a:extLst>
            <a:ext uri="{FF2B5EF4-FFF2-40B4-BE49-F238E27FC236}">
              <a16:creationId xmlns:a16="http://schemas.microsoft.com/office/drawing/2014/main" id="{3972E561-2536-A3FD-8B58-E0F3303CCE03}"/>
            </a:ext>
            <a:ext uri="{147F2762-F138-4A5C-976F-8EAC2B608ADB}">
              <a16:predDERef xmlns:a16="http://schemas.microsoft.com/office/drawing/2014/main" pred="{AB06CA5D-2074-4E51-BCAD-A3C01F3DF27B}"/>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6992293" y="407117"/>
          <a:ext cx="1002642" cy="1469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107043</xdr:colOff>
      <xdr:row>14</xdr:row>
      <xdr:rowOff>27020</xdr:rowOff>
    </xdr:from>
    <xdr:to>
      <xdr:col>16</xdr:col>
      <xdr:colOff>1108011</xdr:colOff>
      <xdr:row>21</xdr:row>
      <xdr:rowOff>160138</xdr:rowOff>
    </xdr:to>
    <xdr:pic>
      <xdr:nvPicPr>
        <xdr:cNvPr id="4" name="Imagem 3">
          <a:extLst>
            <a:ext uri="{FF2B5EF4-FFF2-40B4-BE49-F238E27FC236}">
              <a16:creationId xmlns:a16="http://schemas.microsoft.com/office/drawing/2014/main" id="{23C16AB6-5102-C38D-0172-7648FE94A83C}"/>
            </a:ext>
            <a:ext uri="{147F2762-F138-4A5C-976F-8EAC2B608ADB}">
              <a16:predDERef xmlns:a16="http://schemas.microsoft.com/office/drawing/2014/main" pred="{3972E561-2536-A3FD-8B58-E0F3303CCE03}"/>
            </a:ext>
          </a:extLst>
        </xdr:cNvPr>
        <xdr:cNvPicPr>
          <a:picLocks noChangeAspect="1"/>
        </xdr:cNvPicPr>
      </xdr:nvPicPr>
      <xdr:blipFill>
        <a:blip xmlns:r="http://schemas.openxmlformats.org/officeDocument/2006/relationships" r:embed="rId7"/>
        <a:stretch>
          <a:fillRect/>
        </a:stretch>
      </xdr:blipFill>
      <xdr:spPr>
        <a:xfrm>
          <a:off x="15943165" y="1932020"/>
          <a:ext cx="1000968" cy="1480873"/>
        </a:xfrm>
        <a:prstGeom prst="rect">
          <a:avLst/>
        </a:prstGeom>
      </xdr:spPr>
    </xdr:pic>
    <xdr:clientData/>
  </xdr:twoCellAnchor>
  <xdr:twoCellAnchor editAs="oneCell">
    <xdr:from>
      <xdr:col>16</xdr:col>
      <xdr:colOff>111254</xdr:colOff>
      <xdr:row>22</xdr:row>
      <xdr:rowOff>43803</xdr:rowOff>
    </xdr:from>
    <xdr:to>
      <xdr:col>16</xdr:col>
      <xdr:colOff>1095051</xdr:colOff>
      <xdr:row>29</xdr:row>
      <xdr:rowOff>148773</xdr:rowOff>
    </xdr:to>
    <xdr:pic>
      <xdr:nvPicPr>
        <xdr:cNvPr id="10" name="Imagem 9">
          <a:extLst>
            <a:ext uri="{FF2B5EF4-FFF2-40B4-BE49-F238E27FC236}">
              <a16:creationId xmlns:a16="http://schemas.microsoft.com/office/drawing/2014/main" id="{D72B69BB-9BB1-22B0-18E8-B7555FD329CA}"/>
            </a:ext>
            <a:ext uri="{147F2762-F138-4A5C-976F-8EAC2B608ADB}">
              <a16:predDERef xmlns:a16="http://schemas.microsoft.com/office/drawing/2014/main" pred="{23C16AB6-5102-C38D-0172-7648FE94A83C}"/>
            </a:ext>
          </a:extLst>
        </xdr:cNvPr>
        <xdr:cNvPicPr>
          <a:picLocks noChangeAspect="1"/>
        </xdr:cNvPicPr>
      </xdr:nvPicPr>
      <xdr:blipFill>
        <a:blip xmlns:r="http://schemas.openxmlformats.org/officeDocument/2006/relationships" r:embed="rId8"/>
        <a:stretch>
          <a:fillRect/>
        </a:stretch>
      </xdr:blipFill>
      <xdr:spPr>
        <a:xfrm>
          <a:off x="15947376" y="3465027"/>
          <a:ext cx="983797" cy="1446246"/>
        </a:xfrm>
        <a:prstGeom prst="rect">
          <a:avLst/>
        </a:prstGeom>
      </xdr:spPr>
    </xdr:pic>
    <xdr:clientData/>
  </xdr:twoCellAnchor>
  <xdr:twoCellAnchor editAs="oneCell">
    <xdr:from>
      <xdr:col>16</xdr:col>
      <xdr:colOff>1200150</xdr:colOff>
      <xdr:row>2</xdr:row>
      <xdr:rowOff>76200</xdr:rowOff>
    </xdr:from>
    <xdr:to>
      <xdr:col>18</xdr:col>
      <xdr:colOff>412751</xdr:colOff>
      <xdr:row>8</xdr:row>
      <xdr:rowOff>127000</xdr:rowOff>
    </xdr:to>
    <xdr:pic>
      <xdr:nvPicPr>
        <xdr:cNvPr id="11" name="Imagem 10">
          <a:extLst>
            <a:ext uri="{FF2B5EF4-FFF2-40B4-BE49-F238E27FC236}">
              <a16:creationId xmlns:a16="http://schemas.microsoft.com/office/drawing/2014/main" id="{93232DAB-2242-877F-128A-63D72E54D212}"/>
            </a:ext>
            <a:ext uri="{147F2762-F138-4A5C-976F-8EAC2B608ADB}">
              <a16:predDERef xmlns:a16="http://schemas.microsoft.com/office/drawing/2014/main" pred="{D72B69BB-9BB1-22B0-18E8-B7555FD329CA}"/>
            </a:ext>
          </a:extLst>
        </xdr:cNvPr>
        <xdr:cNvPicPr>
          <a:picLocks noChangeAspect="1"/>
        </xdr:cNvPicPr>
      </xdr:nvPicPr>
      <xdr:blipFill>
        <a:blip xmlns:r="http://schemas.openxmlformats.org/officeDocument/2006/relationships" r:embed="rId9"/>
        <a:stretch>
          <a:fillRect/>
        </a:stretch>
      </xdr:blipFill>
      <xdr:spPr>
        <a:xfrm>
          <a:off x="18078450" y="438150"/>
          <a:ext cx="2219325" cy="1104900"/>
        </a:xfrm>
        <a:prstGeom prst="rect">
          <a:avLst/>
        </a:prstGeom>
      </xdr:spPr>
    </xdr:pic>
    <xdr:clientData/>
  </xdr:twoCellAnchor>
  <xdr:twoCellAnchor editAs="oneCell">
    <xdr:from>
      <xdr:col>16</xdr:col>
      <xdr:colOff>1200150</xdr:colOff>
      <xdr:row>12</xdr:row>
      <xdr:rowOff>95250</xdr:rowOff>
    </xdr:from>
    <xdr:to>
      <xdr:col>17</xdr:col>
      <xdr:colOff>679451</xdr:colOff>
      <xdr:row>19</xdr:row>
      <xdr:rowOff>38100</xdr:rowOff>
    </xdr:to>
    <xdr:pic>
      <xdr:nvPicPr>
        <xdr:cNvPr id="12" name="Imagem 11">
          <a:extLst>
            <a:ext uri="{FF2B5EF4-FFF2-40B4-BE49-F238E27FC236}">
              <a16:creationId xmlns:a16="http://schemas.microsoft.com/office/drawing/2014/main" id="{ABF3FD6C-07F7-EC17-10ED-BCCB5FA0A604}"/>
            </a:ext>
            <a:ext uri="{147F2762-F138-4A5C-976F-8EAC2B608ADB}">
              <a16:predDERef xmlns:a16="http://schemas.microsoft.com/office/drawing/2014/main" pred="{93232DAB-2242-877F-128A-63D72E54D212}"/>
            </a:ext>
          </a:extLst>
        </xdr:cNvPr>
        <xdr:cNvPicPr>
          <a:picLocks noChangeAspect="1"/>
        </xdr:cNvPicPr>
      </xdr:nvPicPr>
      <xdr:blipFill>
        <a:blip xmlns:r="http://schemas.openxmlformats.org/officeDocument/2006/relationships" r:embed="rId10"/>
        <a:stretch>
          <a:fillRect/>
        </a:stretch>
      </xdr:blipFill>
      <xdr:spPr>
        <a:xfrm>
          <a:off x="18078450" y="1685925"/>
          <a:ext cx="876300" cy="1314450"/>
        </a:xfrm>
        <a:prstGeom prst="rect">
          <a:avLst/>
        </a:prstGeom>
      </xdr:spPr>
    </xdr:pic>
    <xdr:clientData/>
  </xdr:twoCellAnchor>
  <xdr:twoCellAnchor editAs="oneCell">
    <xdr:from>
      <xdr:col>17</xdr:col>
      <xdr:colOff>1021897</xdr:colOff>
      <xdr:row>12</xdr:row>
      <xdr:rowOff>47236</xdr:rowOff>
    </xdr:from>
    <xdr:to>
      <xdr:col>18</xdr:col>
      <xdr:colOff>339272</xdr:colOff>
      <xdr:row>19</xdr:row>
      <xdr:rowOff>69461</xdr:rowOff>
    </xdr:to>
    <xdr:pic>
      <xdr:nvPicPr>
        <xdr:cNvPr id="13" name="Imagem 12">
          <a:extLst>
            <a:ext uri="{FF2B5EF4-FFF2-40B4-BE49-F238E27FC236}">
              <a16:creationId xmlns:a16="http://schemas.microsoft.com/office/drawing/2014/main" id="{07C28719-6542-340A-C1DC-4D2F4180FFE7}"/>
            </a:ext>
            <a:ext uri="{147F2762-F138-4A5C-976F-8EAC2B608ADB}">
              <a16:predDERef xmlns:a16="http://schemas.microsoft.com/office/drawing/2014/main" pred="{ABF3FD6C-07F7-EC17-10ED-BCCB5FA0A604}"/>
            </a:ext>
          </a:extLst>
        </xdr:cNvPr>
        <xdr:cNvPicPr>
          <a:picLocks noChangeAspect="1"/>
        </xdr:cNvPicPr>
      </xdr:nvPicPr>
      <xdr:blipFill>
        <a:blip xmlns:r="http://schemas.openxmlformats.org/officeDocument/2006/relationships" r:embed="rId11"/>
        <a:stretch>
          <a:fillRect/>
        </a:stretch>
      </xdr:blipFill>
      <xdr:spPr>
        <a:xfrm>
          <a:off x="18322407" y="1621777"/>
          <a:ext cx="1008549" cy="1369980"/>
        </a:xfrm>
        <a:prstGeom prst="rect">
          <a:avLst/>
        </a:prstGeom>
      </xdr:spPr>
    </xdr:pic>
    <xdr:clientData/>
  </xdr:twoCellAnchor>
  <xdr:twoCellAnchor editAs="oneCell">
    <xdr:from>
      <xdr:col>16</xdr:col>
      <xdr:colOff>1266177</xdr:colOff>
      <xdr:row>19</xdr:row>
      <xdr:rowOff>101341</xdr:rowOff>
    </xdr:from>
    <xdr:to>
      <xdr:col>17</xdr:col>
      <xdr:colOff>1068615</xdr:colOff>
      <xdr:row>29</xdr:row>
      <xdr:rowOff>133091</xdr:rowOff>
    </xdr:to>
    <xdr:pic>
      <xdr:nvPicPr>
        <xdr:cNvPr id="14" name="Imagem 13">
          <a:extLst>
            <a:ext uri="{FF2B5EF4-FFF2-40B4-BE49-F238E27FC236}">
              <a16:creationId xmlns:a16="http://schemas.microsoft.com/office/drawing/2014/main" id="{1B0E78B4-3929-25B8-60EB-5899DAEB4052}"/>
            </a:ext>
            <a:ext uri="{147F2762-F138-4A5C-976F-8EAC2B608ADB}">
              <a16:predDERef xmlns:a16="http://schemas.microsoft.com/office/drawing/2014/main" pred="{07C28719-6542-340A-C1DC-4D2F4180FFE7}"/>
            </a:ext>
          </a:extLst>
        </xdr:cNvPr>
        <xdr:cNvPicPr>
          <a:picLocks noChangeAspect="1"/>
        </xdr:cNvPicPr>
      </xdr:nvPicPr>
      <xdr:blipFill>
        <a:blip xmlns:r="http://schemas.openxmlformats.org/officeDocument/2006/relationships" r:embed="rId12"/>
        <a:stretch>
          <a:fillRect/>
        </a:stretch>
      </xdr:blipFill>
      <xdr:spPr>
        <a:xfrm>
          <a:off x="17102299" y="3023637"/>
          <a:ext cx="1266825" cy="1871954"/>
        </a:xfrm>
        <a:prstGeom prst="rect">
          <a:avLst/>
        </a:prstGeom>
      </xdr:spPr>
    </xdr:pic>
    <xdr:clientData/>
  </xdr:twoCellAnchor>
  <xdr:twoCellAnchor editAs="oneCell">
    <xdr:from>
      <xdr:col>18</xdr:col>
      <xdr:colOff>530039</xdr:colOff>
      <xdr:row>2</xdr:row>
      <xdr:rowOff>197037</xdr:rowOff>
    </xdr:from>
    <xdr:to>
      <xdr:col>19</xdr:col>
      <xdr:colOff>963705</xdr:colOff>
      <xdr:row>16</xdr:row>
      <xdr:rowOff>107331</xdr:rowOff>
    </xdr:to>
    <xdr:pic>
      <xdr:nvPicPr>
        <xdr:cNvPr id="15" name="Imagem 14">
          <a:extLst>
            <a:ext uri="{FF2B5EF4-FFF2-40B4-BE49-F238E27FC236}">
              <a16:creationId xmlns:a16="http://schemas.microsoft.com/office/drawing/2014/main" id="{4C2DC671-81EC-46B4-34E8-D617210950DE}"/>
            </a:ext>
            <a:ext uri="{147F2762-F138-4A5C-976F-8EAC2B608ADB}">
              <a16:predDERef xmlns:a16="http://schemas.microsoft.com/office/drawing/2014/main" pred="{1B0E78B4-3929-25B8-60EB-5899DAEB4052}"/>
            </a:ext>
          </a:extLst>
        </xdr:cNvPr>
        <xdr:cNvPicPr>
          <a:picLocks noChangeAspect="1"/>
        </xdr:cNvPicPr>
      </xdr:nvPicPr>
      <xdr:blipFill>
        <a:blip xmlns:r="http://schemas.openxmlformats.org/officeDocument/2006/relationships" r:embed="rId13"/>
        <a:stretch>
          <a:fillRect/>
        </a:stretch>
      </xdr:blipFill>
      <xdr:spPr>
        <a:xfrm>
          <a:off x="19497863" y="555625"/>
          <a:ext cx="1374961" cy="2002059"/>
        </a:xfrm>
        <a:prstGeom prst="rect">
          <a:avLst/>
        </a:prstGeom>
      </xdr:spPr>
    </xdr:pic>
    <xdr:clientData/>
  </xdr:twoCellAnchor>
  <xdr:twoCellAnchor editAs="oneCell">
    <xdr:from>
      <xdr:col>18</xdr:col>
      <xdr:colOff>525741</xdr:colOff>
      <xdr:row>18</xdr:row>
      <xdr:rowOff>42956</xdr:rowOff>
    </xdr:from>
    <xdr:to>
      <xdr:col>19</xdr:col>
      <xdr:colOff>966257</xdr:colOff>
      <xdr:row>29</xdr:row>
      <xdr:rowOff>0</xdr:rowOff>
    </xdr:to>
    <xdr:pic>
      <xdr:nvPicPr>
        <xdr:cNvPr id="16" name="Imagem 15">
          <a:extLst>
            <a:ext uri="{FF2B5EF4-FFF2-40B4-BE49-F238E27FC236}">
              <a16:creationId xmlns:a16="http://schemas.microsoft.com/office/drawing/2014/main" id="{062B2A1C-76AE-217B-7971-AB604B1B9812}"/>
            </a:ext>
            <a:ext uri="{147F2762-F138-4A5C-976F-8EAC2B608ADB}">
              <a16:predDERef xmlns:a16="http://schemas.microsoft.com/office/drawing/2014/main" pred="{4C2DC671-81EC-46B4-34E8-D617210950DE}"/>
            </a:ext>
          </a:extLst>
        </xdr:cNvPr>
        <xdr:cNvPicPr>
          <a:picLocks noChangeAspect="1"/>
        </xdr:cNvPicPr>
      </xdr:nvPicPr>
      <xdr:blipFill>
        <a:blip xmlns:r="http://schemas.openxmlformats.org/officeDocument/2006/relationships" r:embed="rId14"/>
        <a:stretch>
          <a:fillRect/>
        </a:stretch>
      </xdr:blipFill>
      <xdr:spPr>
        <a:xfrm>
          <a:off x="19493565" y="2836956"/>
          <a:ext cx="1381811" cy="1989044"/>
        </a:xfrm>
        <a:prstGeom prst="rect">
          <a:avLst/>
        </a:prstGeom>
      </xdr:spPr>
    </xdr:pic>
    <xdr:clientData/>
  </xdr:twoCellAnchor>
  <xdr:twoCellAnchor editAs="oneCell">
    <xdr:from>
      <xdr:col>20</xdr:col>
      <xdr:colOff>110752</xdr:colOff>
      <xdr:row>2</xdr:row>
      <xdr:rowOff>216834</xdr:rowOff>
    </xdr:from>
    <xdr:to>
      <xdr:col>21</xdr:col>
      <xdr:colOff>666377</xdr:colOff>
      <xdr:row>16</xdr:row>
      <xdr:rowOff>104588</xdr:rowOff>
    </xdr:to>
    <xdr:pic>
      <xdr:nvPicPr>
        <xdr:cNvPr id="17" name="Imagem 16">
          <a:extLst>
            <a:ext uri="{FF2B5EF4-FFF2-40B4-BE49-F238E27FC236}">
              <a16:creationId xmlns:a16="http://schemas.microsoft.com/office/drawing/2014/main" id="{BE95911F-5B88-961D-2A10-4618B573D354}"/>
            </a:ext>
            <a:ext uri="{147F2762-F138-4A5C-976F-8EAC2B608ADB}">
              <a16:predDERef xmlns:a16="http://schemas.microsoft.com/office/drawing/2014/main" pred="{062B2A1C-76AE-217B-7971-AB604B1B9812}"/>
            </a:ext>
          </a:extLst>
        </xdr:cNvPr>
        <xdr:cNvPicPr>
          <a:picLocks noChangeAspect="1"/>
        </xdr:cNvPicPr>
      </xdr:nvPicPr>
      <xdr:blipFill>
        <a:blip xmlns:r="http://schemas.openxmlformats.org/officeDocument/2006/relationships" r:embed="rId15"/>
        <a:stretch>
          <a:fillRect/>
        </a:stretch>
      </xdr:blipFill>
      <xdr:spPr>
        <a:xfrm>
          <a:off x="21065752" y="575422"/>
          <a:ext cx="1354978" cy="1979519"/>
        </a:xfrm>
        <a:prstGeom prst="rect">
          <a:avLst/>
        </a:prstGeom>
      </xdr:spPr>
    </xdr:pic>
    <xdr:clientData/>
  </xdr:twoCellAnchor>
  <xdr:twoCellAnchor editAs="oneCell">
    <xdr:from>
      <xdr:col>20</xdr:col>
      <xdr:colOff>99917</xdr:colOff>
      <xdr:row>17</xdr:row>
      <xdr:rowOff>102721</xdr:rowOff>
    </xdr:from>
    <xdr:to>
      <xdr:col>21</xdr:col>
      <xdr:colOff>657411</xdr:colOff>
      <xdr:row>28</xdr:row>
      <xdr:rowOff>51953</xdr:rowOff>
    </xdr:to>
    <xdr:pic>
      <xdr:nvPicPr>
        <xdr:cNvPr id="18" name="Imagem 17">
          <a:extLst>
            <a:ext uri="{FF2B5EF4-FFF2-40B4-BE49-F238E27FC236}">
              <a16:creationId xmlns:a16="http://schemas.microsoft.com/office/drawing/2014/main" id="{16D9DED3-83CC-70D5-4C84-8A08912BC93E}"/>
            </a:ext>
            <a:ext uri="{147F2762-F138-4A5C-976F-8EAC2B608ADB}">
              <a16:predDERef xmlns:a16="http://schemas.microsoft.com/office/drawing/2014/main" pred="{BE95911F-5B88-961D-2A10-4618B573D354}"/>
            </a:ext>
          </a:extLst>
        </xdr:cNvPr>
        <xdr:cNvPicPr>
          <a:picLocks noChangeAspect="1"/>
        </xdr:cNvPicPr>
      </xdr:nvPicPr>
      <xdr:blipFill>
        <a:blip xmlns:r="http://schemas.openxmlformats.org/officeDocument/2006/relationships" r:embed="rId16"/>
        <a:stretch>
          <a:fillRect/>
        </a:stretch>
      </xdr:blipFill>
      <xdr:spPr>
        <a:xfrm>
          <a:off x="21054917" y="2724897"/>
          <a:ext cx="1356847" cy="1988703"/>
        </a:xfrm>
        <a:prstGeom prst="rect">
          <a:avLst/>
        </a:prstGeom>
      </xdr:spPr>
    </xdr:pic>
    <xdr:clientData/>
  </xdr:twoCellAnchor>
  <xdr:twoCellAnchor editAs="oneCell">
    <xdr:from>
      <xdr:col>17</xdr:col>
      <xdr:colOff>1264143</xdr:colOff>
      <xdr:row>20</xdr:row>
      <xdr:rowOff>120668</xdr:rowOff>
    </xdr:from>
    <xdr:to>
      <xdr:col>18</xdr:col>
      <xdr:colOff>328706</xdr:colOff>
      <xdr:row>29</xdr:row>
      <xdr:rowOff>127000</xdr:rowOff>
    </xdr:to>
    <xdr:pic>
      <xdr:nvPicPr>
        <xdr:cNvPr id="19" name="Imagem 18">
          <a:extLst>
            <a:ext uri="{FF2B5EF4-FFF2-40B4-BE49-F238E27FC236}">
              <a16:creationId xmlns:a16="http://schemas.microsoft.com/office/drawing/2014/main" id="{C18B2703-E206-AE4D-8997-6B1BB65409E1}"/>
            </a:ext>
            <a:ext uri="{147F2762-F138-4A5C-976F-8EAC2B608ADB}">
              <a16:predDERef xmlns:a16="http://schemas.microsoft.com/office/drawing/2014/main" pred="{16D9DED3-83CC-70D5-4C84-8A08912BC93E}"/>
            </a:ext>
          </a:extLst>
        </xdr:cNvPr>
        <xdr:cNvPicPr>
          <a:picLocks noChangeAspect="1"/>
        </xdr:cNvPicPr>
      </xdr:nvPicPr>
      <xdr:blipFill>
        <a:blip xmlns:r="http://schemas.openxmlformats.org/officeDocument/2006/relationships" r:embed="rId17"/>
        <a:stretch>
          <a:fillRect/>
        </a:stretch>
      </xdr:blipFill>
      <xdr:spPr>
        <a:xfrm>
          <a:off x="18543614" y="3243374"/>
          <a:ext cx="752916" cy="1709626"/>
        </a:xfrm>
        <a:prstGeom prst="rect">
          <a:avLst/>
        </a:prstGeom>
      </xdr:spPr>
    </xdr:pic>
    <xdr:clientData/>
  </xdr:twoCellAnchor>
  <xdr:twoCellAnchor editAs="oneCell">
    <xdr:from>
      <xdr:col>21</xdr:col>
      <xdr:colOff>783959</xdr:colOff>
      <xdr:row>17</xdr:row>
      <xdr:rowOff>126291</xdr:rowOff>
    </xdr:from>
    <xdr:to>
      <xdr:col>23</xdr:col>
      <xdr:colOff>186765</xdr:colOff>
      <xdr:row>29</xdr:row>
      <xdr:rowOff>32764</xdr:rowOff>
    </xdr:to>
    <xdr:pic>
      <xdr:nvPicPr>
        <xdr:cNvPr id="20" name="Imagem 19">
          <a:extLst>
            <a:ext uri="{FF2B5EF4-FFF2-40B4-BE49-F238E27FC236}">
              <a16:creationId xmlns:a16="http://schemas.microsoft.com/office/drawing/2014/main" id="{9112CD6F-9455-D627-20E8-7D6EC235FA37}"/>
            </a:ext>
            <a:ext uri="{147F2762-F138-4A5C-976F-8EAC2B608ADB}">
              <a16:predDERef xmlns:a16="http://schemas.microsoft.com/office/drawing/2014/main" pred="{C18B2703-E206-AE4D-8997-6B1BB65409E1}"/>
            </a:ext>
          </a:extLst>
        </xdr:cNvPr>
        <xdr:cNvPicPr>
          <a:picLocks noChangeAspect="1"/>
        </xdr:cNvPicPr>
      </xdr:nvPicPr>
      <xdr:blipFill>
        <a:blip xmlns:r="http://schemas.openxmlformats.org/officeDocument/2006/relationships" r:embed="rId18"/>
        <a:stretch>
          <a:fillRect/>
        </a:stretch>
      </xdr:blipFill>
      <xdr:spPr>
        <a:xfrm>
          <a:off x="22538312" y="2748467"/>
          <a:ext cx="1464688" cy="2110297"/>
        </a:xfrm>
        <a:prstGeom prst="rect">
          <a:avLst/>
        </a:prstGeom>
      </xdr:spPr>
    </xdr:pic>
    <xdr:clientData/>
  </xdr:twoCellAnchor>
  <xdr:twoCellAnchor editAs="oneCell">
    <xdr:from>
      <xdr:col>21</xdr:col>
      <xdr:colOff>838200</xdr:colOff>
      <xdr:row>2</xdr:row>
      <xdr:rowOff>180975</xdr:rowOff>
    </xdr:from>
    <xdr:to>
      <xdr:col>23</xdr:col>
      <xdr:colOff>179294</xdr:colOff>
      <xdr:row>16</xdr:row>
      <xdr:rowOff>124526</xdr:rowOff>
    </xdr:to>
    <xdr:pic>
      <xdr:nvPicPr>
        <xdr:cNvPr id="21" name="Imagem 20">
          <a:extLst>
            <a:ext uri="{FF2B5EF4-FFF2-40B4-BE49-F238E27FC236}">
              <a16:creationId xmlns:a16="http://schemas.microsoft.com/office/drawing/2014/main" id="{9F23B92B-5BDC-9282-5C67-EFA385351249}"/>
            </a:ext>
            <a:ext uri="{147F2762-F138-4A5C-976F-8EAC2B608ADB}">
              <a16:predDERef xmlns:a16="http://schemas.microsoft.com/office/drawing/2014/main" pred="{9112CD6F-9455-D627-20E8-7D6EC235FA37}"/>
            </a:ext>
          </a:extLst>
        </xdr:cNvPr>
        <xdr:cNvPicPr>
          <a:picLocks noChangeAspect="1"/>
        </xdr:cNvPicPr>
      </xdr:nvPicPr>
      <xdr:blipFill>
        <a:blip xmlns:r="http://schemas.openxmlformats.org/officeDocument/2006/relationships" r:embed="rId19"/>
        <a:stretch>
          <a:fillRect/>
        </a:stretch>
      </xdr:blipFill>
      <xdr:spPr>
        <a:xfrm>
          <a:off x="22592553" y="539563"/>
          <a:ext cx="1402976" cy="2035316"/>
        </a:xfrm>
        <a:prstGeom prst="rect">
          <a:avLst/>
        </a:prstGeom>
      </xdr:spPr>
    </xdr:pic>
    <xdr:clientData/>
  </xdr:twoCellAnchor>
  <xdr:twoCellAnchor editAs="oneCell">
    <xdr:from>
      <xdr:col>23</xdr:col>
      <xdr:colOff>487456</xdr:colOff>
      <xdr:row>2</xdr:row>
      <xdr:rowOff>212165</xdr:rowOff>
    </xdr:from>
    <xdr:to>
      <xdr:col>24</xdr:col>
      <xdr:colOff>595405</xdr:colOff>
      <xdr:row>15</xdr:row>
      <xdr:rowOff>45945</xdr:rowOff>
    </xdr:to>
    <xdr:pic>
      <xdr:nvPicPr>
        <xdr:cNvPr id="22" name="Imagem 21">
          <a:extLst>
            <a:ext uri="{FF2B5EF4-FFF2-40B4-BE49-F238E27FC236}">
              <a16:creationId xmlns:a16="http://schemas.microsoft.com/office/drawing/2014/main" id="{985E6E1A-72CE-EFA0-4DC5-77A2AD9DBBD6}"/>
            </a:ext>
            <a:ext uri="{147F2762-F138-4A5C-976F-8EAC2B608ADB}">
              <a16:predDERef xmlns:a16="http://schemas.microsoft.com/office/drawing/2014/main" pred="{9F23B92B-5BDC-9282-5C67-EFA385351249}"/>
            </a:ext>
          </a:extLst>
        </xdr:cNvPr>
        <xdr:cNvPicPr>
          <a:picLocks noChangeAspect="1"/>
        </xdr:cNvPicPr>
      </xdr:nvPicPr>
      <xdr:blipFill>
        <a:blip xmlns:r="http://schemas.openxmlformats.org/officeDocument/2006/relationships" r:embed="rId20"/>
        <a:stretch>
          <a:fillRect/>
        </a:stretch>
      </xdr:blipFill>
      <xdr:spPr>
        <a:xfrm>
          <a:off x="24303691" y="570753"/>
          <a:ext cx="1153832" cy="1664074"/>
        </a:xfrm>
        <a:prstGeom prst="rect">
          <a:avLst/>
        </a:prstGeom>
      </xdr:spPr>
    </xdr:pic>
    <xdr:clientData/>
  </xdr:twoCellAnchor>
  <xdr:twoCellAnchor editAs="oneCell">
    <xdr:from>
      <xdr:col>9</xdr:col>
      <xdr:colOff>220188</xdr:colOff>
      <xdr:row>41</xdr:row>
      <xdr:rowOff>138547</xdr:rowOff>
    </xdr:from>
    <xdr:to>
      <xdr:col>16</xdr:col>
      <xdr:colOff>1293759</xdr:colOff>
      <xdr:row>51</xdr:row>
      <xdr:rowOff>119698</xdr:rowOff>
    </xdr:to>
    <xdr:pic>
      <xdr:nvPicPr>
        <xdr:cNvPr id="23" name="Picture 22">
          <a:extLst>
            <a:ext uri="{FF2B5EF4-FFF2-40B4-BE49-F238E27FC236}">
              <a16:creationId xmlns:a16="http://schemas.microsoft.com/office/drawing/2014/main" id="{9311DE5D-EC95-AA21-669E-172D61FBBF61}"/>
            </a:ext>
          </a:extLst>
        </xdr:cNvPr>
        <xdr:cNvPicPr>
          <a:picLocks noChangeAspect="1"/>
        </xdr:cNvPicPr>
      </xdr:nvPicPr>
      <xdr:blipFill>
        <a:blip xmlns:r="http://schemas.openxmlformats.org/officeDocument/2006/relationships" r:embed="rId21"/>
        <a:stretch>
          <a:fillRect/>
        </a:stretch>
      </xdr:blipFill>
      <xdr:spPr>
        <a:xfrm>
          <a:off x="8946902" y="10507190"/>
          <a:ext cx="8176500" cy="3918151"/>
        </a:xfrm>
        <a:prstGeom prst="rect">
          <a:avLst/>
        </a:prstGeom>
        <a:ln>
          <a:solidFill>
            <a:schemeClr val="tx1"/>
          </a:solidFill>
        </a:ln>
      </xdr:spPr>
    </xdr:pic>
    <xdr:clientData/>
  </xdr:twoCellAnchor>
  <xdr:twoCellAnchor>
    <xdr:from>
      <xdr:col>9</xdr:col>
      <xdr:colOff>214923</xdr:colOff>
      <xdr:row>51</xdr:row>
      <xdr:rowOff>127000</xdr:rowOff>
    </xdr:from>
    <xdr:to>
      <xdr:col>16</xdr:col>
      <xdr:colOff>1301749</xdr:colOff>
      <xdr:row>52</xdr:row>
      <xdr:rowOff>95250</xdr:rowOff>
    </xdr:to>
    <xdr:sp macro="" textlink="">
      <xdr:nvSpPr>
        <xdr:cNvPr id="24" name="TextBox 23">
          <a:hlinkClick xmlns:r="http://schemas.openxmlformats.org/officeDocument/2006/relationships" r:id="rId22"/>
          <a:extLst>
            <a:ext uri="{FF2B5EF4-FFF2-40B4-BE49-F238E27FC236}">
              <a16:creationId xmlns:a16="http://schemas.microsoft.com/office/drawing/2014/main" id="{C76FF7AC-996F-7927-7A5D-C4478FAD4DE4}"/>
            </a:ext>
          </a:extLst>
        </xdr:cNvPr>
        <xdr:cNvSpPr txBox="1"/>
      </xdr:nvSpPr>
      <xdr:spPr>
        <a:xfrm>
          <a:off x="8929077" y="14414500"/>
          <a:ext cx="8184172" cy="22713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pt-PT" sz="1100" b="0" i="0" u="sng">
              <a:solidFill>
                <a:schemeClr val="dk1"/>
              </a:solidFill>
              <a:effectLst/>
              <a:latin typeface="+mn-lt"/>
              <a:ea typeface="+mn-ea"/>
              <a:cs typeface="+mn-cs"/>
            </a:rPr>
            <a:t>Apparel Market</a:t>
          </a:r>
          <a:r>
            <a:rPr lang="pt-PT" sz="1100" b="0" i="0" u="sng" baseline="0">
              <a:solidFill>
                <a:schemeClr val="dk1"/>
              </a:solidFill>
              <a:effectLst/>
              <a:latin typeface="+mn-lt"/>
              <a:ea typeface="+mn-ea"/>
              <a:cs typeface="+mn-cs"/>
            </a:rPr>
            <a:t> </a:t>
          </a:r>
          <a:r>
            <a:rPr lang="pt-PT" sz="1100" b="0" i="0" u="sng">
              <a:solidFill>
                <a:schemeClr val="dk1"/>
              </a:solidFill>
              <a:effectLst/>
              <a:latin typeface="+mn-lt"/>
              <a:ea typeface="+mn-ea"/>
              <a:cs typeface="+mn-cs"/>
            </a:rPr>
            <a:t>Worldwide 2017-2029</a:t>
          </a:r>
          <a:r>
            <a:rPr lang="pt-PT" sz="1100" b="0" i="0" u="sng" baseline="0">
              <a:solidFill>
                <a:schemeClr val="dk1"/>
              </a:solidFill>
              <a:effectLst/>
              <a:latin typeface="+mn-lt"/>
              <a:ea typeface="+mn-ea"/>
              <a:cs typeface="+mn-cs"/>
            </a:rPr>
            <a:t> (Statista)</a:t>
          </a:r>
          <a:endParaRPr lang="pt-PT" sz="1100" b="0" i="0" u="sng">
            <a:solidFill>
              <a:schemeClr val="dk1"/>
            </a:solidFill>
            <a:effectLst/>
            <a:latin typeface="+mn-lt"/>
            <a:ea typeface="+mn-ea"/>
            <a:cs typeface="+mn-cs"/>
          </a:endParaRPr>
        </a:p>
      </xdr:txBody>
    </xdr:sp>
    <xdr:clientData/>
  </xdr:twoCellAnchor>
  <xdr:twoCellAnchor editAs="oneCell">
    <xdr:from>
      <xdr:col>11</xdr:col>
      <xdr:colOff>216771</xdr:colOff>
      <xdr:row>52</xdr:row>
      <xdr:rowOff>233686</xdr:rowOff>
    </xdr:from>
    <xdr:to>
      <xdr:col>15</xdr:col>
      <xdr:colOff>385706</xdr:colOff>
      <xdr:row>56</xdr:row>
      <xdr:rowOff>40552</xdr:rowOff>
    </xdr:to>
    <xdr:pic>
      <xdr:nvPicPr>
        <xdr:cNvPr id="26" name="Picture 25">
          <a:extLst>
            <a:ext uri="{FF2B5EF4-FFF2-40B4-BE49-F238E27FC236}">
              <a16:creationId xmlns:a16="http://schemas.microsoft.com/office/drawing/2014/main" id="{861A8F2D-5E5F-CCD9-D2F3-D0D4450700BC}"/>
            </a:ext>
          </a:extLst>
        </xdr:cNvPr>
        <xdr:cNvPicPr>
          <a:picLocks noChangeAspect="1"/>
        </xdr:cNvPicPr>
      </xdr:nvPicPr>
      <xdr:blipFill rotWithShape="1">
        <a:blip xmlns:r="http://schemas.openxmlformats.org/officeDocument/2006/relationships" r:embed="rId23"/>
        <a:srcRect t="24545"/>
        <a:stretch/>
      </xdr:blipFill>
      <xdr:spPr>
        <a:xfrm>
          <a:off x="10608546" y="14787886"/>
          <a:ext cx="3921785" cy="2635791"/>
        </a:xfrm>
        <a:prstGeom prst="rect">
          <a:avLst/>
        </a:prstGeom>
        <a:ln>
          <a:solidFill>
            <a:schemeClr val="tx1"/>
          </a:solidFill>
        </a:ln>
      </xdr:spPr>
    </xdr:pic>
    <xdr:clientData/>
  </xdr:twoCellAnchor>
  <xdr:twoCellAnchor>
    <xdr:from>
      <xdr:col>11</xdr:col>
      <xdr:colOff>204579</xdr:colOff>
      <xdr:row>56</xdr:row>
      <xdr:rowOff>26622</xdr:rowOff>
    </xdr:from>
    <xdr:to>
      <xdr:col>15</xdr:col>
      <xdr:colOff>387210</xdr:colOff>
      <xdr:row>56</xdr:row>
      <xdr:rowOff>513638</xdr:rowOff>
    </xdr:to>
    <xdr:sp macro="" textlink="">
      <xdr:nvSpPr>
        <xdr:cNvPr id="31" name="TextBox 30">
          <a:hlinkClick xmlns:r="http://schemas.openxmlformats.org/officeDocument/2006/relationships" r:id="rId24"/>
          <a:extLst>
            <a:ext uri="{FF2B5EF4-FFF2-40B4-BE49-F238E27FC236}">
              <a16:creationId xmlns:a16="http://schemas.microsoft.com/office/drawing/2014/main" id="{0435DCB1-8C80-45F3-A984-85E6033D1F30}"/>
            </a:ext>
          </a:extLst>
        </xdr:cNvPr>
        <xdr:cNvSpPr txBox="1"/>
      </xdr:nvSpPr>
      <xdr:spPr>
        <a:xfrm>
          <a:off x="10596354" y="17409747"/>
          <a:ext cx="3935481" cy="487016"/>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pt-PT" sz="1100" b="0" i="0" u="sng">
              <a:solidFill>
                <a:schemeClr val="dk1"/>
              </a:solidFill>
              <a:effectLst/>
              <a:latin typeface="+mn-lt"/>
              <a:ea typeface="+mn-ea"/>
              <a:cs typeface="+mn-cs"/>
            </a:rPr>
            <a:t>Global Retail Market worldwide 2024-2028</a:t>
          </a:r>
        </a:p>
        <a:p>
          <a:pPr marL="0" marR="0" lvl="0" indent="0" algn="ctr" defTabSz="914400" eaLnBrk="1" fontAlgn="auto" latinLnBrk="0" hangingPunct="1">
            <a:lnSpc>
              <a:spcPct val="100000"/>
            </a:lnSpc>
            <a:spcBef>
              <a:spcPts val="0"/>
            </a:spcBef>
            <a:spcAft>
              <a:spcPts val="0"/>
            </a:spcAft>
            <a:buClrTx/>
            <a:buSzTx/>
            <a:buFontTx/>
            <a:buNone/>
            <a:tabLst/>
            <a:defRPr/>
          </a:pPr>
          <a:r>
            <a:rPr lang="pt-PT" sz="1100" b="0" i="0" u="sng">
              <a:solidFill>
                <a:schemeClr val="dk1"/>
              </a:solidFill>
              <a:effectLst/>
              <a:latin typeface="+mn-lt"/>
              <a:ea typeface="+mn-ea"/>
              <a:cs typeface="+mn-cs"/>
            </a:rPr>
            <a:t>(Researc</a:t>
          </a:r>
          <a:r>
            <a:rPr lang="pt-PT" sz="1100" b="0" i="0" u="sng" baseline="0">
              <a:solidFill>
                <a:schemeClr val="dk1"/>
              </a:solidFill>
              <a:effectLst/>
              <a:latin typeface="+mn-lt"/>
              <a:ea typeface="+mn-ea"/>
              <a:cs typeface="+mn-cs"/>
            </a:rPr>
            <a:t>h and Markets)</a:t>
          </a:r>
          <a:r>
            <a:rPr lang="pt-PT" sz="1100" b="0" i="0" u="sng">
              <a:solidFill>
                <a:schemeClr val="dk1"/>
              </a:solidFill>
              <a:effectLst/>
              <a:latin typeface="+mn-lt"/>
              <a:ea typeface="+mn-ea"/>
              <a:cs typeface="+mn-cs"/>
            </a:rPr>
            <a:t> </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21</xdr:row>
      <xdr:rowOff>0</xdr:rowOff>
    </xdr:from>
    <xdr:ext cx="304800" cy="308437"/>
    <xdr:sp macro="" textlink="">
      <xdr:nvSpPr>
        <xdr:cNvPr id="22" name="AutoShape 231" descr="Resultado de imagen para beer consumption trend">
          <a:extLst>
            <a:ext uri="{FF2B5EF4-FFF2-40B4-BE49-F238E27FC236}">
              <a16:creationId xmlns:a16="http://schemas.microsoft.com/office/drawing/2014/main" id="{A23DF9CB-ABDC-4CBC-941E-C3A1E6B7BDD7}"/>
            </a:ext>
          </a:extLst>
        </xdr:cNvPr>
        <xdr:cNvSpPr>
          <a:spLocks noChangeAspect="1" noChangeArrowheads="1"/>
        </xdr:cNvSpPr>
      </xdr:nvSpPr>
      <xdr:spPr bwMode="auto">
        <a:xfrm>
          <a:off x="7829550" y="714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8437"/>
    <xdr:sp macro="" textlink="">
      <xdr:nvSpPr>
        <xdr:cNvPr id="21" name="AutoShape 232" descr="Resultado de imagen para beer consumption trend">
          <a:extLst>
            <a:ext uri="{FF2B5EF4-FFF2-40B4-BE49-F238E27FC236}">
              <a16:creationId xmlns:a16="http://schemas.microsoft.com/office/drawing/2014/main" id="{290ADD27-FE0C-4C99-AF77-3098E89BD849}"/>
            </a:ext>
            <a:ext uri="{147F2762-F138-4A5C-976F-8EAC2B608ADB}">
              <a16:predDERef xmlns:a16="http://schemas.microsoft.com/office/drawing/2014/main" pred="{A23DF9CB-ABDC-4CBC-941E-C3A1E6B7BDD7}"/>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6171"/>
    <xdr:sp macro="" textlink="">
      <xdr:nvSpPr>
        <xdr:cNvPr id="20" name="AutoShape 233" descr="Resultado de imagen para beer consumption trend">
          <a:extLst>
            <a:ext uri="{FF2B5EF4-FFF2-40B4-BE49-F238E27FC236}">
              <a16:creationId xmlns:a16="http://schemas.microsoft.com/office/drawing/2014/main" id="{76C615DC-9449-489C-838D-7501FF91B816}"/>
            </a:ext>
            <a:ext uri="{147F2762-F138-4A5C-976F-8EAC2B608ADB}">
              <a16:predDERef xmlns:a16="http://schemas.microsoft.com/office/drawing/2014/main" pred="{290ADD27-FE0C-4C99-AF77-3098E89BD849}"/>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304800" cy="305262"/>
    <xdr:sp macro="" textlink="">
      <xdr:nvSpPr>
        <xdr:cNvPr id="13" name="AutoShape 231" descr="Resultado de imagen para beer consumption trend">
          <a:extLst>
            <a:ext uri="{FF2B5EF4-FFF2-40B4-BE49-F238E27FC236}">
              <a16:creationId xmlns:a16="http://schemas.microsoft.com/office/drawing/2014/main" id="{3816F209-593F-4972-8238-056F7A06C2DB}"/>
            </a:ext>
            <a:ext uri="{147F2762-F138-4A5C-976F-8EAC2B608ADB}">
              <a16:predDERef xmlns:a16="http://schemas.microsoft.com/office/drawing/2014/main" pred="{76C615DC-9449-489C-838D-7501FF91B816}"/>
            </a:ext>
          </a:extLst>
        </xdr:cNvPr>
        <xdr:cNvSpPr>
          <a:spLocks noChangeAspect="1" noChangeArrowheads="1"/>
        </xdr:cNvSpPr>
      </xdr:nvSpPr>
      <xdr:spPr bwMode="auto">
        <a:xfrm>
          <a:off x="10601325" y="923925"/>
          <a:ext cx="304800" cy="302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9071"/>
    <xdr:sp macro="" textlink="">
      <xdr:nvSpPr>
        <xdr:cNvPr id="12" name="AutoShape 232" descr="Resultado de imagen para beer consumption trend">
          <a:extLst>
            <a:ext uri="{FF2B5EF4-FFF2-40B4-BE49-F238E27FC236}">
              <a16:creationId xmlns:a16="http://schemas.microsoft.com/office/drawing/2014/main" id="{5D67A490-620E-4BB6-ACF8-2FBAECF65CB2}"/>
            </a:ext>
            <a:ext uri="{147F2762-F138-4A5C-976F-8EAC2B608ADB}">
              <a16:predDERef xmlns:a16="http://schemas.microsoft.com/office/drawing/2014/main" pred="{3816F209-593F-4972-8238-056F7A06C2DB}"/>
            </a:ext>
          </a:extLst>
        </xdr:cNvPr>
        <xdr:cNvSpPr>
          <a:spLocks noChangeAspect="1" noChangeArrowheads="1"/>
        </xdr:cNvSpPr>
      </xdr:nvSpPr>
      <xdr:spPr bwMode="auto">
        <a:xfrm>
          <a:off x="10601325" y="1781175"/>
          <a:ext cx="304800" cy="308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1207"/>
    <xdr:sp macro="" textlink="">
      <xdr:nvSpPr>
        <xdr:cNvPr id="11" name="AutoShape 233" descr="Resultado de imagen para beer consumption trend">
          <a:extLst>
            <a:ext uri="{FF2B5EF4-FFF2-40B4-BE49-F238E27FC236}">
              <a16:creationId xmlns:a16="http://schemas.microsoft.com/office/drawing/2014/main" id="{71A499F7-7BCB-43D8-AAAA-8629B391E887}"/>
            </a:ext>
            <a:ext uri="{147F2762-F138-4A5C-976F-8EAC2B608ADB}">
              <a16:predDERef xmlns:a16="http://schemas.microsoft.com/office/drawing/2014/main" pred="{5D67A490-620E-4BB6-ACF8-2FBAECF65CB2}"/>
            </a:ext>
          </a:extLst>
        </xdr:cNvPr>
        <xdr:cNvSpPr>
          <a:spLocks noChangeAspect="1" noChangeArrowheads="1"/>
        </xdr:cNvSpPr>
      </xdr:nvSpPr>
      <xdr:spPr bwMode="auto">
        <a:xfrm>
          <a:off x="10601325" y="3152775"/>
          <a:ext cx="304800" cy="285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10</xdr:col>
      <xdr:colOff>528777</xdr:colOff>
      <xdr:row>17</xdr:row>
      <xdr:rowOff>56029</xdr:rowOff>
    </xdr:from>
    <xdr:to>
      <xdr:col>18</xdr:col>
      <xdr:colOff>702468</xdr:colOff>
      <xdr:row>33</xdr:row>
      <xdr:rowOff>114301</xdr:rowOff>
    </xdr:to>
    <xdr:graphicFrame macro="">
      <xdr:nvGraphicFramePr>
        <xdr:cNvPr id="10" name="Chart 1">
          <a:extLst>
            <a:ext uri="{FF2B5EF4-FFF2-40B4-BE49-F238E27FC236}">
              <a16:creationId xmlns:a16="http://schemas.microsoft.com/office/drawing/2014/main" id="{F8B867AC-6A7A-4512-8C9D-97B8E534E8E4}"/>
            </a:ext>
            <a:ext uri="{147F2762-F138-4A5C-976F-8EAC2B608ADB}">
              <a16:predDERef xmlns:a16="http://schemas.microsoft.com/office/drawing/2014/main" pred="{71A499F7-7BCB-43D8-AAAA-8629B391E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107156</xdr:colOff>
      <xdr:row>33</xdr:row>
      <xdr:rowOff>142875</xdr:rowOff>
    </xdr:from>
    <xdr:to>
      <xdr:col>20</xdr:col>
      <xdr:colOff>273843</xdr:colOff>
      <xdr:row>50</xdr:row>
      <xdr:rowOff>142875</xdr:rowOff>
    </xdr:to>
    <xdr:graphicFrame macro="">
      <xdr:nvGraphicFramePr>
        <xdr:cNvPr id="9" name="Chart 2">
          <a:extLst>
            <a:ext uri="{FF2B5EF4-FFF2-40B4-BE49-F238E27FC236}">
              <a16:creationId xmlns:a16="http://schemas.microsoft.com/office/drawing/2014/main" id="{06EE3DBE-321E-4EF6-A0A4-D90C4883E80D}"/>
            </a:ext>
            <a:ext uri="{147F2762-F138-4A5C-976F-8EAC2B608ADB}">
              <a16:predDERef xmlns:a16="http://schemas.microsoft.com/office/drawing/2014/main" pred="{71A499F7-7BCB-43D8-AAAA-8629B391E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238125</xdr:colOff>
      <xdr:row>1</xdr:row>
      <xdr:rowOff>38100</xdr:rowOff>
    </xdr:from>
    <xdr:to>
      <xdr:col>1</xdr:col>
      <xdr:colOff>1875790</xdr:colOff>
      <xdr:row>1</xdr:row>
      <xdr:rowOff>999490</xdr:rowOff>
    </xdr:to>
    <xdr:pic>
      <xdr:nvPicPr>
        <xdr:cNvPr id="4" name="Imagem 3">
          <a:extLst>
            <a:ext uri="{FF2B5EF4-FFF2-40B4-BE49-F238E27FC236}">
              <a16:creationId xmlns:a16="http://schemas.microsoft.com/office/drawing/2014/main" id="{3785DD3B-EFDE-ABC6-C88C-CB3631538B02}"/>
            </a:ext>
            <a:ext uri="{147F2762-F138-4A5C-976F-8EAC2B608ADB}">
              <a16:predDERef xmlns:a16="http://schemas.microsoft.com/office/drawing/2014/main" pred="{06EE3DBE-321E-4EF6-A0A4-D90C4883E80D}"/>
            </a:ext>
          </a:extLst>
        </xdr:cNvPr>
        <xdr:cNvPicPr>
          <a:picLocks noChangeAspect="1"/>
        </xdr:cNvPicPr>
      </xdr:nvPicPr>
      <xdr:blipFill>
        <a:blip xmlns:r="http://schemas.openxmlformats.org/officeDocument/2006/relationships" r:embed="rId3"/>
        <a:stretch>
          <a:fillRect/>
        </a:stretch>
      </xdr:blipFill>
      <xdr:spPr>
        <a:xfrm>
          <a:off x="266700" y="209550"/>
          <a:ext cx="1638300" cy="962025"/>
        </a:xfrm>
        <a:prstGeom prst="rect">
          <a:avLst/>
        </a:prstGeom>
      </xdr:spPr>
    </xdr:pic>
    <xdr:clientData/>
  </xdr:twoCellAnchor>
  <xdr:twoCellAnchor editAs="oneCell">
    <xdr:from>
      <xdr:col>1</xdr:col>
      <xdr:colOff>257175</xdr:colOff>
      <xdr:row>2</xdr:row>
      <xdr:rowOff>76200</xdr:rowOff>
    </xdr:from>
    <xdr:to>
      <xdr:col>1</xdr:col>
      <xdr:colOff>1845945</xdr:colOff>
      <xdr:row>2</xdr:row>
      <xdr:rowOff>1007745</xdr:rowOff>
    </xdr:to>
    <xdr:pic>
      <xdr:nvPicPr>
        <xdr:cNvPr id="5" name="Imagem 4">
          <a:extLst>
            <a:ext uri="{FF2B5EF4-FFF2-40B4-BE49-F238E27FC236}">
              <a16:creationId xmlns:a16="http://schemas.microsoft.com/office/drawing/2014/main" id="{9D401B65-96B3-B8F9-874A-37A43B6CDEF5}"/>
            </a:ext>
            <a:ext uri="{147F2762-F138-4A5C-976F-8EAC2B608ADB}">
              <a16:predDERef xmlns:a16="http://schemas.microsoft.com/office/drawing/2014/main" pred="{3785DD3B-EFDE-ABC6-C88C-CB3631538B02}"/>
            </a:ext>
          </a:extLst>
        </xdr:cNvPr>
        <xdr:cNvPicPr>
          <a:picLocks noChangeAspect="1"/>
        </xdr:cNvPicPr>
      </xdr:nvPicPr>
      <xdr:blipFill>
        <a:blip xmlns:r="http://schemas.openxmlformats.org/officeDocument/2006/relationships" r:embed="rId4"/>
        <a:stretch>
          <a:fillRect/>
        </a:stretch>
      </xdr:blipFill>
      <xdr:spPr>
        <a:xfrm>
          <a:off x="285750" y="1285875"/>
          <a:ext cx="1600200" cy="942975"/>
        </a:xfrm>
        <a:prstGeom prst="rect">
          <a:avLst/>
        </a:prstGeom>
      </xdr:spPr>
    </xdr:pic>
    <xdr:clientData/>
  </xdr:twoCellAnchor>
  <xdr:twoCellAnchor editAs="oneCell">
    <xdr:from>
      <xdr:col>1</xdr:col>
      <xdr:colOff>314325</xdr:colOff>
      <xdr:row>3</xdr:row>
      <xdr:rowOff>76200</xdr:rowOff>
    </xdr:from>
    <xdr:to>
      <xdr:col>1</xdr:col>
      <xdr:colOff>1752600</xdr:colOff>
      <xdr:row>3</xdr:row>
      <xdr:rowOff>1009650</xdr:rowOff>
    </xdr:to>
    <xdr:pic>
      <xdr:nvPicPr>
        <xdr:cNvPr id="6" name="Imagem 5">
          <a:extLst>
            <a:ext uri="{FF2B5EF4-FFF2-40B4-BE49-F238E27FC236}">
              <a16:creationId xmlns:a16="http://schemas.microsoft.com/office/drawing/2014/main" id="{75768D00-E78A-291A-F59D-36F7349E8674}"/>
            </a:ext>
            <a:ext uri="{147F2762-F138-4A5C-976F-8EAC2B608ADB}">
              <a16:predDERef xmlns:a16="http://schemas.microsoft.com/office/drawing/2014/main" pred="{9D401B65-96B3-B8F9-874A-37A43B6CDEF5}"/>
            </a:ext>
          </a:extLst>
        </xdr:cNvPr>
        <xdr:cNvPicPr>
          <a:picLocks noChangeAspect="1"/>
        </xdr:cNvPicPr>
      </xdr:nvPicPr>
      <xdr:blipFill>
        <a:blip xmlns:r="http://schemas.openxmlformats.org/officeDocument/2006/relationships" r:embed="rId5"/>
        <a:stretch>
          <a:fillRect/>
        </a:stretch>
      </xdr:blipFill>
      <xdr:spPr>
        <a:xfrm>
          <a:off x="342900" y="2324100"/>
          <a:ext cx="1438275" cy="933450"/>
        </a:xfrm>
        <a:prstGeom prst="rect">
          <a:avLst/>
        </a:prstGeom>
      </xdr:spPr>
    </xdr:pic>
    <xdr:clientData/>
  </xdr:twoCellAnchor>
  <xdr:twoCellAnchor editAs="oneCell">
    <xdr:from>
      <xdr:col>1</xdr:col>
      <xdr:colOff>314325</xdr:colOff>
      <xdr:row>4</xdr:row>
      <xdr:rowOff>19050</xdr:rowOff>
    </xdr:from>
    <xdr:to>
      <xdr:col>1</xdr:col>
      <xdr:colOff>1617345</xdr:colOff>
      <xdr:row>4</xdr:row>
      <xdr:rowOff>1009650</xdr:rowOff>
    </xdr:to>
    <xdr:pic>
      <xdr:nvPicPr>
        <xdr:cNvPr id="7" name="Imagem 6">
          <a:extLst>
            <a:ext uri="{FF2B5EF4-FFF2-40B4-BE49-F238E27FC236}">
              <a16:creationId xmlns:a16="http://schemas.microsoft.com/office/drawing/2014/main" id="{4775CF15-2725-5E20-43D0-B0C5B0B35DE1}"/>
            </a:ext>
            <a:ext uri="{147F2762-F138-4A5C-976F-8EAC2B608ADB}">
              <a16:predDERef xmlns:a16="http://schemas.microsoft.com/office/drawing/2014/main" pred="{75768D00-E78A-291A-F59D-36F7349E8674}"/>
            </a:ext>
          </a:extLst>
        </xdr:cNvPr>
        <xdr:cNvPicPr>
          <a:picLocks noChangeAspect="1"/>
        </xdr:cNvPicPr>
      </xdr:nvPicPr>
      <xdr:blipFill>
        <a:blip xmlns:r="http://schemas.openxmlformats.org/officeDocument/2006/relationships" r:embed="rId6"/>
        <a:stretch>
          <a:fillRect/>
        </a:stretch>
      </xdr:blipFill>
      <xdr:spPr>
        <a:xfrm>
          <a:off x="342900" y="3305175"/>
          <a:ext cx="1314450" cy="990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18</xdr:col>
      <xdr:colOff>28575</xdr:colOff>
      <xdr:row>1</xdr:row>
      <xdr:rowOff>66675</xdr:rowOff>
    </xdr:from>
    <xdr:to>
      <xdr:col>22</xdr:col>
      <xdr:colOff>962025</xdr:colOff>
      <xdr:row>13</xdr:row>
      <xdr:rowOff>19050</xdr:rowOff>
    </xdr:to>
    <xdr:graphicFrame macro="">
      <xdr:nvGraphicFramePr>
        <xdr:cNvPr id="2" name="Gráfico 1">
          <a:extLst>
            <a:ext uri="{FF2B5EF4-FFF2-40B4-BE49-F238E27FC236}">
              <a16:creationId xmlns:a16="http://schemas.microsoft.com/office/drawing/2014/main" id="{A947C0CE-17BC-0D63-6865-D6456A257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581025</xdr:colOff>
      <xdr:row>1</xdr:row>
      <xdr:rowOff>66675</xdr:rowOff>
    </xdr:from>
    <xdr:to>
      <xdr:col>29</xdr:col>
      <xdr:colOff>47625</xdr:colOff>
      <xdr:row>12</xdr:row>
      <xdr:rowOff>161925</xdr:rowOff>
    </xdr:to>
    <xdr:graphicFrame macro="">
      <xdr:nvGraphicFramePr>
        <xdr:cNvPr id="4" name="Gráfico 3">
          <a:extLst>
            <a:ext uri="{FF2B5EF4-FFF2-40B4-BE49-F238E27FC236}">
              <a16:creationId xmlns:a16="http://schemas.microsoft.com/office/drawing/2014/main" id="{5CBDCECD-1DF6-7C9A-5AA2-752EDAE33F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1070610</xdr:colOff>
      <xdr:row>13</xdr:row>
      <xdr:rowOff>161925</xdr:rowOff>
    </xdr:from>
    <xdr:to>
      <xdr:col>23</xdr:col>
      <xdr:colOff>9525</xdr:colOff>
      <xdr:row>24</xdr:row>
      <xdr:rowOff>142875</xdr:rowOff>
    </xdr:to>
    <xdr:graphicFrame macro="">
      <xdr:nvGraphicFramePr>
        <xdr:cNvPr id="7" name="Gráfico 6">
          <a:extLst>
            <a:ext uri="{FF2B5EF4-FFF2-40B4-BE49-F238E27FC236}">
              <a16:creationId xmlns:a16="http://schemas.microsoft.com/office/drawing/2014/main" id="{FCA51879-DE87-4E03-EAC8-917E399F6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600075</xdr:colOff>
      <xdr:row>14</xdr:row>
      <xdr:rowOff>19050</xdr:rowOff>
    </xdr:from>
    <xdr:to>
      <xdr:col>29</xdr:col>
      <xdr:colOff>66675</xdr:colOff>
      <xdr:row>24</xdr:row>
      <xdr:rowOff>171450</xdr:rowOff>
    </xdr:to>
    <xdr:graphicFrame macro="">
      <xdr:nvGraphicFramePr>
        <xdr:cNvPr id="10" name="Gráfico 9">
          <a:extLst>
            <a:ext uri="{FF2B5EF4-FFF2-40B4-BE49-F238E27FC236}">
              <a16:creationId xmlns:a16="http://schemas.microsoft.com/office/drawing/2014/main" id="{902AB79B-C4DB-7A1E-7B8A-540CB26ED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19</xdr:col>
      <xdr:colOff>207818</xdr:colOff>
      <xdr:row>260</xdr:row>
      <xdr:rowOff>34636</xdr:rowOff>
    </xdr:from>
    <xdr:to>
      <xdr:col>23</xdr:col>
      <xdr:colOff>744682</xdr:colOff>
      <xdr:row>276</xdr:row>
      <xdr:rowOff>152554</xdr:rowOff>
    </xdr:to>
    <xdr:graphicFrame macro="">
      <xdr:nvGraphicFramePr>
        <xdr:cNvPr id="4" name="Gráfico 2">
          <a:extLst>
            <a:ext uri="{FF2B5EF4-FFF2-40B4-BE49-F238E27FC236}">
              <a16:creationId xmlns:a16="http://schemas.microsoft.com/office/drawing/2014/main" id="{CAD655BA-DD9B-4F47-177A-58D9F8B05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hdisegutl.sharepoint.com/C:/Users/gabri/Desktop/ISEG/Lisbon%20Investment%20Society/Head%20ER/Assumptions%20sheet-%20Dami&#227;o.xlsx" TargetMode="External"/><Relationship Id="rId1" Type="http://schemas.openxmlformats.org/officeDocument/2006/relationships/externalLinkPath" Target="file:///C:\Users\gabri\Desktop\ISEG\Lisbon%20Investment%20Society\Head%20ER\Assumptions%20sheet-%20Dami&#227;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Segments"/>
      <sheetName val="Acuerdo"/>
      <sheetName val="Peers"/>
      <sheetName val="ESG"/>
      <sheetName val="DCF"/>
      <sheetName val="Assum."/>
      <sheetName val="Fin. Data"/>
      <sheetName val="Fin. Data (Common Size)"/>
      <sheetName val="Inputs"/>
      <sheetName val="Sector Imp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DAVID FILIPE DE SOUSA TITA" id="{6D2C5BD9-1C3E-4972-9F97-1CA81A3CC14E}" userId="S::david.tita@aln.iseg.ulisboa.pt::2b554b1a-dfdf-4fc2-8414-05963e9f059c"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6">
  <rv s="0">
    <v>https://www.bing.com/financeapi/forcetrigger?t=aoc5k2&amp;q=XLON%3aNXT&amp;form=skydnc</v>
    <v>Learn more on Bing</v>
  </rv>
  <rv s="1">
    <v>en-US</v>
    <v>aoc5k2</v>
    <v>268435456</v>
    <v>1</v>
    <v>Powered by Refinitiv</v>
    <v>0</v>
    <v>NEXT PLC (XLON:NXT)</v>
    <v>2</v>
    <v>3</v>
    <v>Finance</v>
    <v>4</v>
    <v>13435</v>
    <v>9028</v>
    <v>1.3444</v>
    <v>280</v>
    <v>-4.1210000000000005E-3</v>
    <v>2.1284999999999998E-2</v>
    <v>-55.368600000000001</v>
    <v>GBp</v>
    <v>NEXT plc is a United Kingdom-based retailer selling clothing, homeware, and beauty products. The Company’s segments include NEXT Online, NEXT Finance, NEXT Retail, Total Platform, and Other Business Activities. The NEXT Online segment includes NEXT Online (UK) and NEXT Online (International). Its Total Platform brands include Reiss, FatFace and Joules. Other Business Activities (all other segments) which include the Property Management segment which holds property and property leases. The Company’s subsidiaries include Agratech Limited, Bridgetown Holdco Limited, Lipsy Limited, Next Beauty Limited, Next Brand Limited, Next Distribution Limited, Next Holdings Limited, Next Manufacturing Limited, Next Near East Limited, Next Properties Limited, Next Retail Limited, The Next Directory Limited, and Project Norwich Limited.</v>
    <v>32931</v>
    <v>London Stock Exchange</v>
    <v>XLON</v>
    <v>XLON</v>
    <v>Desford Road, LEICESTER, LEICESTERSHIRE, LE19 4AT GB</v>
    <v>13435</v>
    <v>Specialty Retailers</v>
    <v>Stock</v>
    <v>45954.695870948439</v>
    <v>0</v>
    <v>13205</v>
    <v>16223820000</v>
    <v>NEXT PLC</v>
    <v>NEXT PLC</v>
    <v>13230</v>
    <v>19.695699999999999</v>
    <v>13155</v>
    <v>13435</v>
    <v>13379.6314</v>
    <v>122436600</v>
    <v>NXT</v>
    <v>NEXT PLC (XLON:NXT)</v>
    <v>239427</v>
    <v>406540</v>
    <v>2002</v>
  </rv>
  <rv s="2">
    <v>1</v>
  </rv>
  <rv s="3">
    <v>0</v>
    <v>5</v>
  </rv>
  <rv s="0">
    <v>https://www.bing.com/financeapi/forcetrigger?t=aobomw&amp;q=XLON%3aMKS&amp;form=skydnc</v>
    <v>Learn more on Bing</v>
  </rv>
  <rv s="4">
    <v>en-GB</v>
    <v>aobomw</v>
    <v>268435456</v>
    <v>1</v>
    <v>Powered by Refinitiv</v>
    <v>5</v>
    <v>MARKS AND SPENCER GROUP P.L.C. (XLON:MKS)</v>
    <v>2</v>
    <v>6</v>
    <v>Finance</v>
    <v>7</v>
    <v>417.8</v>
    <v>319.2</v>
    <v>1.6155999999999999</v>
    <v>3.4</v>
    <v>8.4080000000000005E-3</v>
    <v>GBp</v>
    <v>Marks and Spencer Group P.L.C. is a holding company. The Company is engaged in the business of fashion, home &amp; beauty and food retailers. Its segments include UK &amp; ROI Fashion, Home &amp; Beauty, UK &amp; ROI Food, International, and Ocado. The UK &amp; ROI Fashion, Home &amp; Beauty segment comprises the retailing of womenswear, menswear, lingerie, kids wear, beauty and home products through UK and ROI retail stores and online. UK &amp; ROI Food includes the UK and ROI retail food business, UK Food franchise operations and UK supply chain services, with the following main categories: meat, fish, protein deli and dairy; produce &amp; horticulture; meals, frozen and food on the move; core basket; impulse &amp; events; beers, wines &amp; spirits; hospitality; and direct sales to Ocado Retail Limited. International segment consists of Marks and Spencer owned businesses in Europe (excluding Ireland) and Asia and the international franchise operations. Other business activities and operating segments include M&amp;S Bank.</v>
    <v>63493</v>
    <v>London Stock Exchange</v>
    <v>XLON</v>
    <v>XLON</v>
    <v>Waterside House, 35 North Wharf Road, LONDON, W2 1NW GB</v>
    <v>408.2</v>
    <v>Food &amp; Drug Retailing</v>
    <v>Stock</v>
    <v>45954.649881157035</v>
    <v>4</v>
    <v>402.7</v>
    <v>8356428000</v>
    <v>MARKS AND SPENCER GROUP P.L.C.</v>
    <v>MARKS AND SPENCER GROUP P.L.C.</v>
    <v>405</v>
    <v>27.566500000000001</v>
    <v>404.4</v>
    <v>407.8</v>
    <v>2057063000</v>
    <v>MKS</v>
    <v>MARKS AND SPENCER GROUP P.L.C. (XLON:MKS)</v>
    <v>4546083</v>
    <v>6708060</v>
    <v>2001</v>
  </rv>
  <rv s="2">
    <v>5</v>
  </rv>
  <rv s="0">
    <v>https://www.bing.com/financeapi/forcetrigger?t=aqck52&amp;q=XWAR%3aLPP&amp;form=skydnc</v>
    <v>Learn more on Bing</v>
  </rv>
  <rv s="4">
    <v>en-GB</v>
    <v>aqck52</v>
    <v>268435456</v>
    <v>1</v>
    <v>Powered by Refinitiv</v>
    <v>5</v>
    <v>LPP SA (XWAR:LPP)</v>
    <v>2</v>
    <v>8</v>
    <v>Finance</v>
    <v>9</v>
    <v>18590</v>
    <v>13475</v>
    <v>1.5411999999999999</v>
    <v>-35</v>
    <v>-2.0210000000000002E-3</v>
    <v>PLN</v>
    <v>LPP SA is a Poland-based company engaged in the apparel and accessories industry. The Company specializes in the design and distribution of clothing, such as sweatshirts, shirts, jumpers, coats, trousers and dresses, as well as underwear, and accessories, such as shoes, gloves, scarves and caps, among others. LPP SA operates through a network of numerous shops in Central and Eastern Europe, as well as in Egypt and Qatar. It also offers online shopping to its brands, particularly in Poland. The Company owns several brands such as RESERVED, Cropp, House, MOHITO and SiNSAY. The Company operates departments in Gdansk, Cracow, Shanghai and Dhaka. LPP SA operates several national and numerous foreign subsidiaries.</v>
    <v>54000</v>
    <v>Warsaw Stock Exchange</v>
    <v>XWAR</v>
    <v>XWAR</v>
    <v>UL. LAKOWA 39/44, GDANSK, WOJ. POMORSKIE, 80-769 PL</v>
    <v>17345</v>
    <v>Specialty Retailers</v>
    <v>Stock</v>
    <v>45954.62777777778</v>
    <v>7</v>
    <v>17150</v>
    <v>32199690000</v>
    <v>LPP SA</v>
    <v>LPP SA</v>
    <v>17300</v>
    <v>17.6111</v>
    <v>17320</v>
    <v>17285</v>
    <v>1855890</v>
    <v>LPP</v>
    <v>LPP SA (XWAR:LPP)</v>
    <v>1779</v>
    <v>3730</v>
    <v>2001</v>
  </rv>
  <rv s="2">
    <v>8</v>
  </rv>
  <rv s="0">
    <v>https://www.bing.com/financeapi/forcetrigger?t=aw5n27&amp;q=OTCM%3aJDSPY&amp;form=skydnc</v>
    <v>Learn more on Bing</v>
  </rv>
  <rv s="4">
    <v>en-GB</v>
    <v>aw5n27</v>
    <v>268435456</v>
    <v>1</v>
    <v>Powered by Refinitiv</v>
    <v>5</v>
    <v>JD SPORTS FASHION PLC (OTCM:JDSPY)</v>
    <v>2</v>
    <v>10</v>
    <v>Finance</v>
    <v>11</v>
    <v>1.698</v>
    <v>0.72099999999999997</v>
    <v>1.7175</v>
    <v>0</v>
    <v>0</v>
    <v>USD</v>
    <v>JD Sports Fashion Plc is a global omnichannel retailer of sports fashion and outdoor brands. The principal activity of the Company is the retail of multi branded, sports fashion and outdoor clothing, footwear, accessories and equipment. Its segments include JD, Complementary Concepts, and Sporting Goods &amp; Outdoor. JD is a sports fashion, multichannel retailer of branded sports and casual wear, combining brands. The JD segment includes Finish Line, JD Gyms, Size?, Footpatrol, and Livestock brands. Its Complementary Concepts segment includes DTLR, Shoe Palace, and Sizeer. DTLR is an athletic footwear and apparel streetwear retailer with a connection with the communities where its stores are located. Shoe Palace is a retailer of branded sports footwear and apparel located on the West Coast of the United States. Shoe Palace has over 200 stores. The Sporting Goods &amp; Outdoor segments include Sport Zone, Sprinter, Go Outdoors, Blacks, Naylors, Tiso, Ultimate Outdoors, and Fishing Republic.</v>
    <v>59756</v>
    <v>OTC Markets</v>
    <v>OTCM</v>
    <v>OTCM</v>
    <v>Hollinsbrook Way, Pilsworth, BURY, LANCASHIRE, BL9 8RR GB</v>
    <v>1.32</v>
    <v>Specialty Retailers</v>
    <v>Stock</v>
    <v>45954.833326932814</v>
    <v>10</v>
    <v>1.28</v>
    <v>4946957000</v>
    <v>JD SPORTS FASHION PLC</v>
    <v>JD SPORTS FASHION PLC</v>
    <v>1.28</v>
    <v>0</v>
    <v>1.28</v>
    <v>1.28</v>
    <v>5029108000</v>
    <v>JDSPY</v>
    <v>JD SPORTS FASHION PLC (OTCM:JDSPY)</v>
    <v>3946</v>
    <v>10774830</v>
    <v>1985</v>
  </rv>
  <rv s="2">
    <v>11</v>
  </rv>
  <rv s="0">
    <v>https://www.bing.com/financeapi/forcetrigger?t=amwn2w&amp;q=XSTO%3aHM+B&amp;form=skydnc</v>
    <v>Learn more on Bing</v>
  </rv>
  <rv s="4">
    <v>en-GB</v>
    <v>amwn2w</v>
    <v>268435456</v>
    <v>1</v>
    <v>Powered by Refinitiv</v>
    <v>5</v>
    <v>H &amp; M Hennes &amp; Mauritz AB (XSTO:HM B)</v>
    <v>2</v>
    <v>12</v>
    <v>Finance</v>
    <v>13</v>
    <v>229.5</v>
    <v>98.2</v>
    <v>0.89439999999999997</v>
    <v>-0.3</v>
    <v>-1.663E-3</v>
    <v>SEK</v>
    <v>H &amp; M Hennes &amp; Mauritz AB is a Sweden-based company active in the clothing industry. It operates under such brand names, as H&amp;M, H&amp;M Home, COS, Monki, Weekday, Cheap Monday and &amp; Other Stories. It is engaged in the design, manufacture and marketing of clothing items and related accessories. The Company’s product range comprises clothing, including underwear and sportswear, for men, women, children and teenagers, as well as cosmetic products, accessories, footwear and home textiles. The Company offers its products in a number of branded stores spread across over 40 markets. Additionally, the Company offers online and catalogue sales in Sweden, Norway, Denmark, Finland, the Netherlands, Germany, Austria and the United Kingdom, among others.</v>
    <v>97710</v>
    <v>NASDAQ Stockholm</v>
    <v>XSTO</v>
    <v>XSTO</v>
    <v>Master Samuelsgatan 46A, STOCKHOLM, STOCKHOLM, 106 38 SE</v>
    <v>181.5</v>
    <v>Specialty Retailers</v>
    <v>Stock</v>
    <v>45954.666666666664</v>
    <v>13</v>
    <v>179.35</v>
    <v>251207800000</v>
    <v>H &amp; M Hennes &amp; Mauritz AB</v>
    <v>H &amp; M Hennes &amp; Mauritz AB</v>
    <v>180</v>
    <v>26.61</v>
    <v>180.4</v>
    <v>180.1</v>
    <v>1410091000</v>
    <v>HM B</v>
    <v>H &amp; M Hennes &amp; Mauritz AB (XSTO:HM B)</v>
    <v>971628</v>
    <v>1820350</v>
    <v>1943</v>
  </rv>
  <rv s="2">
    <v>14</v>
  </rv>
</rvData>
</file>

<file path=xl/richData/rdrichvaluestructure.xml><?xml version="1.0" encoding="utf-8"?>
<rvStructures xmlns="http://schemas.microsoft.com/office/spreadsheetml/2017/richdata" count="5">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ocalImage">
    <k n="_rvRel:LocalImageIdentifier" t="i"/>
    <k n="CalcOrigin" t="i"/>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14">
    <spb s="0">
      <v>0</v>
      <v>Name</v>
      <v>LearnMoreOnLink</v>
    </spb>
    <spb s="1">
      <v>0</v>
      <v>0</v>
      <v>0</v>
    </spb>
    <spb s="2">
      <v>1</v>
      <v>1</v>
      <v>1</v>
      <v>1</v>
    </spb>
    <spb s="3">
      <v>1</v>
      <v>2</v>
      <v>2</v>
      <v>1</v>
      <v>3</v>
      <v>1</v>
      <v>1</v>
      <v>1</v>
      <v>4</v>
      <v>4</v>
      <v>5</v>
      <v>6</v>
      <v>1</v>
      <v>1</v>
      <v>1</v>
      <v>4</v>
      <v>7</v>
      <v>8</v>
      <v>9</v>
      <v>4</v>
      <v>1</v>
      <v>1</v>
      <v>5</v>
    </spb>
    <spb s="4">
      <v>at close</v>
      <v>from previous close</v>
      <v>from previous close</v>
      <v>LSE</v>
      <v>GMT</v>
      <v>Delayed 15 minutes</v>
      <v>from close</v>
      <v>from close</v>
    </spb>
    <spb s="0">
      <v>1</v>
      <v>Name</v>
      <v>LearnMoreOnLink</v>
    </spb>
    <spb s="5">
      <v>1</v>
      <v>2</v>
      <v>2</v>
      <v>1</v>
      <v>3</v>
      <v>1</v>
      <v>1</v>
      <v>1</v>
      <v>4</v>
      <v>4</v>
      <v>5</v>
      <v>6</v>
      <v>1</v>
      <v>1</v>
      <v>1</v>
      <v>4</v>
      <v>7</v>
      <v>8</v>
      <v>9</v>
      <v>4</v>
    </spb>
    <spb s="6">
      <v>Delayed 15 minutes</v>
      <v>from previous close</v>
      <v>from previous close</v>
      <v>LSE</v>
      <v>GMT</v>
    </spb>
    <spb s="5">
      <v>10</v>
      <v>2</v>
      <v>2</v>
      <v>10</v>
      <v>3</v>
      <v>10</v>
      <v>10</v>
      <v>10</v>
      <v>4</v>
      <v>4</v>
      <v>5</v>
      <v>11</v>
      <v>10</v>
      <v>10</v>
      <v>10</v>
      <v>4</v>
      <v>7</v>
      <v>8</v>
      <v>9</v>
      <v>4</v>
    </spb>
    <spb s="7">
      <v>End of Day</v>
      <v>from previous close</v>
      <v>from previous close</v>
      <v>GMT</v>
    </spb>
    <spb s="5">
      <v>12</v>
      <v>2</v>
      <v>2</v>
      <v>12</v>
      <v>3</v>
      <v>12</v>
      <v>12</v>
      <v>12</v>
      <v>4</v>
      <v>4</v>
      <v>5</v>
      <v>6</v>
      <v>12</v>
      <v>12</v>
      <v>12</v>
      <v>4</v>
      <v>7</v>
      <v>8</v>
      <v>9</v>
      <v>4</v>
    </spb>
    <spb s="7">
      <v>Delayed 15 minutes</v>
      <v>from previous close</v>
      <v>from previous close</v>
      <v>GMT</v>
    </spb>
    <spb s="5">
      <v>13</v>
      <v>2</v>
      <v>2</v>
      <v>13</v>
      <v>3</v>
      <v>13</v>
      <v>13</v>
      <v>13</v>
      <v>4</v>
      <v>4</v>
      <v>5</v>
      <v>14</v>
      <v>13</v>
      <v>13</v>
      <v>13</v>
      <v>4</v>
      <v>7</v>
      <v>8</v>
      <v>9</v>
      <v>4</v>
    </spb>
    <spb s="6">
      <v>Delayed 15 minutes</v>
      <v>from previous close</v>
      <v>from previous close</v>
      <v>Source: Nasdaq Nordic</v>
      <v>GMT</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4" formatCode="#,##0.00"/>
    </x:dxf>
    <x:dxf>
      <x:numFmt numFmtId="3" formatCode="#,##0"/>
    </x:dxf>
    <x:dxf>
      <x:numFmt numFmtId="14" formatCode="0.00%"/>
    </x:dxf>
    <x:dxf>
      <x:numFmt numFmtId="2" formatCode="0.00"/>
    </x:dxf>
    <x:dxf>
      <x:numFmt numFmtId="0" formatCode="General"/>
    </x:dxf>
    <x:dxf>
      <x:numFmt numFmtId="27" formatCode="dd/mm/yyyy\ hh:mm"/>
    </x:dxf>
    <x:dxf>
      <x:numFmt numFmtId="1" formatCode="0"/>
    </x:dxf>
    <x:dxf>
      <x:numFmt numFmtId="35" formatCode="_-* #,##0.00_-;\-* #,##0.00_-;_-* &quot;-&quot;??_-;_-@_-"/>
    </x:dxf>
  </dxfs>
  <richProperties>
    <rPr n="NumberFormat" t="s"/>
    <rPr n="IsTitleField" t="b"/>
  </richProperties>
  <richStyles>
    <rSty dxfid="7">
      <rpv i="0">_(* #,##0.00_);_(* (#,##0.00);_(* "-"??_);_(@_)</rpv>
    </rSty>
    <rSty dxfid="0">
      <rpv i="0">#,##0.00</rpv>
    </rSty>
    <rSty>
      <rpv i="1">1</rpv>
    </rSty>
    <rSty dxfid="1">
      <rpv i="0">#,##0</rpv>
    </rSty>
    <rSty dxfid="2"/>
    <rSty dxfid="4">
      <rpv i="0">_-[$£-en-GB]* #,##0_-;-[$£-en-GB]* #,##0_-;_-[$£-en-GB]* "-"_-;_-@_-</rpv>
    </rSty>
    <rSty dxfid="5"/>
    <rSty dxfid="6">
      <rpv i="0">0</rpv>
    </rSty>
    <rSty dxfid="3">
      <rpv i="0">0.00</rpv>
    </rSty>
    <rSty dxfid="4">
      <rpv i="0">_-* #,##0.00 [$zł-pl-PL]_-;-* #,##0.00 [$zł-pl-PL]_-;_-* "-"?? [$zł-pl-PL]_-;_-@_-</rpv>
    </rSty>
    <rSty dxfid="4">
      <rpv i="0">_-* #,##0 [$zł-pl-PL]_-;-* #,##0 [$zł-pl-PL]_-;_-* "-" [$zł-pl-PL]_-;_-@_-</rpv>
    </rSty>
    <rSty dxfid="4">
      <rpv i="0">_([$$-en-US]* #,##0.00_);_([$$-en-US]* (#,##0.00);_([$$-en-US]* "-"??_);_(@_)</rpv>
    </rSty>
    <rSty dxfid="4">
      <rpv i="0">_-* #,##0.00 [$kr-smj-SE]_-;-* #,##0.00 [$kr-smj-SE]_-;_-* "-"?? [$kr-smj-SE]_-;_-@_-</rpv>
    </rSty>
    <rSty dxfid="4">
      <rpv i="0">_-* #,##0 [$kr-smj-SE]_-;-* #,##0 [$kr-smj-SE]_-;_-* "-" [$kr-smj-SE]_-;_-@_-</rpv>
    </rSty>
  </richStyles>
</richStyleSheet>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B8360AB7-5DB1-45D3-ABF9-3AFEF51621D6}">
    <text>Date of last update of the report</text>
  </threadedComment>
  <threadedComment ref="D2" dT="2023-03-05T23:56:06.54" personId="{6D2C5BD9-1C3E-4972-9F97-1CA81A3CC14E}" id="{D17B5162-9C54-4F03-8882-3A424C1A2E60}">
    <text>Insert the date when the company will issue their next quarter/annual report</text>
  </threadedComment>
  <threadedComment ref="L2" dT="2023-03-05T23:56:59.28" personId="{6D2C5BD9-1C3E-4972-9F97-1CA81A3CC14E}" id="{74106D0B-4568-4C95-B1A7-D780E3BD20D3}">
    <text>In what exchange the company is listed in (Input the main exchange)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ifiedmarketresearch.com/product/retail-industry-market/" TargetMode="External"/><Relationship Id="rId7" Type="http://schemas.openxmlformats.org/officeDocument/2006/relationships/comments" Target="../comments2.xml"/><Relationship Id="rId2" Type="http://schemas.openxmlformats.org/officeDocument/2006/relationships/hyperlink" Target="https://www.researchandmarkets.com/report/retail?srsltid=AfmBOor9RcKXseqwMkMvTNaMu80o8E0tP2PRwfV3FJQlGNZhOpO4vG9K" TargetMode="External"/><Relationship Id="rId1" Type="http://schemas.openxmlformats.org/officeDocument/2006/relationships/hyperlink" Target="https://www.mordorintelligence.com/industry-reports/retail-industry"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S107"/>
  <sheetViews>
    <sheetView showGridLines="0" topLeftCell="A47" zoomScale="55" zoomScaleNormal="55" zoomScaleSheetLayoutView="40" workbookViewId="0">
      <selection activeCell="I34" sqref="I34:M37"/>
    </sheetView>
  </sheetViews>
  <sheetFormatPr defaultColWidth="11.42578125" defaultRowHeight="12.6"/>
  <cols>
    <col min="1" max="1" width="0.42578125" customWidth="1"/>
    <col min="2" max="2" width="45.42578125" customWidth="1"/>
    <col min="3" max="3" width="23.42578125" customWidth="1"/>
    <col min="4" max="4" width="32" customWidth="1"/>
    <col min="5" max="5" width="20.42578125" bestFit="1" customWidth="1"/>
    <col min="6" max="6" width="17" bestFit="1" customWidth="1"/>
    <col min="7" max="7" width="17.5703125" customWidth="1"/>
    <col min="8" max="8" width="31.140625" customWidth="1"/>
    <col min="9" max="9" width="17.140625" customWidth="1"/>
    <col min="10" max="10" width="10.5703125" customWidth="1"/>
    <col min="11" max="11" width="13.5703125" customWidth="1"/>
    <col min="12" max="12" width="33.42578125" customWidth="1"/>
    <col min="13" max="13" width="36.5703125" customWidth="1"/>
  </cols>
  <sheetData>
    <row r="1" spans="2:17" ht="3.75" customHeight="1" thickBot="1"/>
    <row r="2" spans="2:17" ht="22.5" customHeight="1">
      <c r="B2" s="599" t="s">
        <v>0</v>
      </c>
      <c r="C2" s="600" t="s">
        <v>1</v>
      </c>
      <c r="D2" s="611" t="s">
        <v>2</v>
      </c>
      <c r="E2" s="1240" t="e" vm="1">
        <f>Inputs!H3</f>
        <v>#VALUE!</v>
      </c>
      <c r="F2" s="1241"/>
      <c r="G2" s="1241"/>
      <c r="H2" s="1241"/>
      <c r="I2" s="1241"/>
      <c r="J2" s="1241"/>
      <c r="K2" s="1242"/>
      <c r="L2" s="601" t="str" cm="1">
        <f t="array" aca="1" ref="L2" ca="1">_FV(E2,"Exchange")</f>
        <v>London Stock Exchange</v>
      </c>
      <c r="M2" s="602" t="s">
        <v>3</v>
      </c>
    </row>
    <row r="3" spans="2:17" ht="26.25" customHeight="1">
      <c r="B3" s="1195" t="e" vm="2">
        <v>#VALUE!</v>
      </c>
      <c r="C3" s="1196"/>
      <c r="D3" s="1252" t="s">
        <v>4</v>
      </c>
      <c r="E3" s="1252"/>
      <c r="F3" s="1252"/>
      <c r="G3" s="1252"/>
      <c r="H3" s="1253" t="s">
        <v>5</v>
      </c>
      <c r="I3" s="1253"/>
      <c r="J3" s="1254"/>
      <c r="K3" s="1254"/>
      <c r="L3" s="1253"/>
      <c r="M3" s="1255"/>
    </row>
    <row r="4" spans="2:17" ht="17.25" customHeight="1">
      <c r="B4" s="1197"/>
      <c r="C4" s="1198"/>
      <c r="D4" s="1250" t="str" cm="1">
        <f t="array" aca="1" ref="D4" ca="1">_FV(Inputs!H3,"Description")</f>
        <v>NEXT plc is a United Kingdom-based retailer selling clothing, homeware, and beauty products. The Company’s segments include NEXT Online, NEXT Finance, NEXT Retail, Total Platform, and Other Business Activities. The NEXT Online segment includes NEXT Online (UK) and NEXT Online (International). Its Total Platform brands include Reiss, FatFace and Joules. Other Business Activities (all other segments) which include the Property Management segment which holds property and property leases. The Company’s subsidiaries include Agratech Limited, Bridgetown Holdco Limited, Lipsy Limited, Next Beauty Limited, Next Brand Limited, Next Distribution Limited, Next Holdings Limited, Next Manufacturing Limited, Next Near East Limited, Next Properties Limited, Next Retail Limited, The Next Directory Limited, and Project Norwich Limited.</v>
      </c>
      <c r="E4" s="1250"/>
      <c r="F4" s="1250"/>
      <c r="G4" s="1250"/>
      <c r="H4" s="905" t="s">
        <v>6</v>
      </c>
      <c r="I4" s="598" t="s">
        <v>7</v>
      </c>
      <c r="J4" s="1245" t="s">
        <v>8</v>
      </c>
      <c r="K4" s="1261"/>
      <c r="L4" s="1285" t="s">
        <v>9</v>
      </c>
      <c r="M4" s="1286"/>
    </row>
    <row r="5" spans="2:17" ht="17.25" customHeight="1">
      <c r="B5" s="1197"/>
      <c r="C5" s="1198"/>
      <c r="D5" s="1250"/>
      <c r="E5" s="1250"/>
      <c r="F5" s="1250"/>
      <c r="G5" s="1251"/>
      <c r="H5" s="1040" t="s">
        <v>10</v>
      </c>
      <c r="I5" s="861" t="s">
        <v>11</v>
      </c>
      <c r="J5" s="1288" t="s">
        <v>12</v>
      </c>
      <c r="K5" s="1289"/>
      <c r="L5" s="1190" t="s">
        <v>13</v>
      </c>
      <c r="M5" s="1287"/>
    </row>
    <row r="6" spans="2:17" ht="17.25" customHeight="1">
      <c r="B6" s="1197"/>
      <c r="C6" s="1198"/>
      <c r="D6" s="1250"/>
      <c r="E6" s="1250"/>
      <c r="F6" s="1250"/>
      <c r="G6" s="1250"/>
      <c r="H6" s="1041" t="s">
        <v>14</v>
      </c>
      <c r="I6" s="904" t="s">
        <v>11</v>
      </c>
      <c r="J6" s="1190" t="s">
        <v>12</v>
      </c>
      <c r="K6" s="1191"/>
      <c r="L6" s="1190" t="s">
        <v>15</v>
      </c>
      <c r="M6" s="1287"/>
    </row>
    <row r="7" spans="2:17" ht="27" customHeight="1">
      <c r="B7" s="1197"/>
      <c r="C7" s="1198"/>
      <c r="D7" s="1250"/>
      <c r="E7" s="1250"/>
      <c r="F7" s="1250"/>
      <c r="G7" s="1251"/>
      <c r="H7" s="1034" t="s">
        <v>16</v>
      </c>
      <c r="I7" s="907" t="s">
        <v>11</v>
      </c>
      <c r="J7" s="1264" t="s">
        <v>12</v>
      </c>
      <c r="K7" s="1265"/>
      <c r="L7" s="1190" t="s">
        <v>17</v>
      </c>
      <c r="M7" s="1287"/>
    </row>
    <row r="8" spans="2:17" ht="17.25" customHeight="1">
      <c r="B8" s="1197"/>
      <c r="C8" s="1198"/>
      <c r="D8" s="1250"/>
      <c r="E8" s="1250"/>
      <c r="F8" s="1250"/>
      <c r="G8" s="1251"/>
      <c r="H8" s="1035" t="s">
        <v>18</v>
      </c>
      <c r="I8" s="906" t="s">
        <v>19</v>
      </c>
      <c r="J8" s="1266" t="s">
        <v>12</v>
      </c>
      <c r="K8" s="1191"/>
      <c r="L8" s="1266" t="s">
        <v>20</v>
      </c>
      <c r="M8" s="1287"/>
    </row>
    <row r="9" spans="2:17" ht="17.25" customHeight="1">
      <c r="B9" s="1197"/>
      <c r="C9" s="1198"/>
      <c r="D9" s="1250"/>
      <c r="E9" s="1250"/>
      <c r="F9" s="1250"/>
      <c r="G9" s="1250"/>
      <c r="H9" s="1036" t="s">
        <v>21</v>
      </c>
      <c r="I9" s="908" t="s">
        <v>19</v>
      </c>
      <c r="J9" s="1267" t="s">
        <v>22</v>
      </c>
      <c r="K9" s="1191"/>
      <c r="L9" s="1267" t="s">
        <v>23</v>
      </c>
      <c r="M9" s="1287"/>
    </row>
    <row r="10" spans="2:17" ht="17.25" customHeight="1">
      <c r="B10" s="1197"/>
      <c r="C10" s="1198"/>
      <c r="D10" s="1250"/>
      <c r="E10" s="1250"/>
      <c r="F10" s="1250"/>
      <c r="G10" s="1251"/>
      <c r="H10" s="1042" t="s">
        <v>24</v>
      </c>
      <c r="I10" s="861" t="s">
        <v>11</v>
      </c>
      <c r="J10" s="1190" t="s">
        <v>12</v>
      </c>
      <c r="K10" s="1191"/>
      <c r="L10" s="1190" t="s">
        <v>25</v>
      </c>
      <c r="M10" s="1287"/>
    </row>
    <row r="11" spans="2:17" ht="17.25" customHeight="1">
      <c r="B11" s="1197"/>
      <c r="C11" s="1198"/>
      <c r="D11" s="1250"/>
      <c r="E11" s="1250"/>
      <c r="F11" s="1250"/>
      <c r="G11" s="1251"/>
      <c r="H11" s="1043" t="s">
        <v>26</v>
      </c>
      <c r="I11" s="861" t="s">
        <v>11</v>
      </c>
      <c r="J11" s="1190" t="s">
        <v>22</v>
      </c>
      <c r="K11" s="1191"/>
      <c r="L11" s="1190" t="s">
        <v>27</v>
      </c>
      <c r="M11" s="1287"/>
    </row>
    <row r="12" spans="2:17" ht="17.25" customHeight="1">
      <c r="B12" s="1197"/>
      <c r="C12" s="1198"/>
      <c r="D12" s="1250"/>
      <c r="E12" s="1250"/>
      <c r="F12" s="1250"/>
      <c r="G12" s="1251"/>
      <c r="H12" s="1042" t="s">
        <v>28</v>
      </c>
      <c r="I12" s="861" t="s">
        <v>11</v>
      </c>
      <c r="J12" s="1190" t="s">
        <v>12</v>
      </c>
      <c r="K12" s="1191"/>
      <c r="L12" s="1190" t="s">
        <v>29</v>
      </c>
      <c r="M12" s="1287"/>
      <c r="P12" s="348"/>
    </row>
    <row r="13" spans="2:17" ht="17.25" customHeight="1">
      <c r="B13" s="1197"/>
      <c r="C13" s="1198"/>
      <c r="D13" s="1250"/>
      <c r="E13" s="1250"/>
      <c r="F13" s="1250"/>
      <c r="G13" s="1251"/>
      <c r="H13" s="1037" t="s">
        <v>30</v>
      </c>
      <c r="I13" s="861" t="s">
        <v>19</v>
      </c>
      <c r="J13" s="1190" t="s">
        <v>22</v>
      </c>
      <c r="K13" s="1191"/>
      <c r="L13" s="1190" t="s">
        <v>23</v>
      </c>
      <c r="M13" s="1287"/>
    </row>
    <row r="14" spans="2:17" ht="17.25" customHeight="1">
      <c r="B14" s="1197"/>
      <c r="C14" s="1198"/>
      <c r="D14" s="1250"/>
      <c r="E14" s="1250"/>
      <c r="F14" s="1250"/>
      <c r="G14" s="1251"/>
      <c r="H14" s="1038" t="s">
        <v>31</v>
      </c>
      <c r="I14" s="861" t="s">
        <v>19</v>
      </c>
      <c r="J14" s="1267" t="s">
        <v>22</v>
      </c>
      <c r="K14" s="1191"/>
      <c r="L14" s="1190" t="s">
        <v>32</v>
      </c>
      <c r="M14" s="1287"/>
      <c r="Q14" s="254"/>
    </row>
    <row r="15" spans="2:17" ht="17.25" customHeight="1">
      <c r="B15" s="1199"/>
      <c r="C15" s="1200"/>
      <c r="D15" s="1250"/>
      <c r="E15" s="1250"/>
      <c r="F15" s="1250"/>
      <c r="G15" s="1250"/>
      <c r="H15" s="1039" t="s">
        <v>33</v>
      </c>
      <c r="I15" s="724" t="s">
        <v>11</v>
      </c>
      <c r="J15" s="1190" t="s">
        <v>22</v>
      </c>
      <c r="K15" s="1191"/>
      <c r="L15" s="1190" t="s">
        <v>27</v>
      </c>
      <c r="M15" s="1287"/>
    </row>
    <row r="16" spans="2:17" ht="17.25" customHeight="1">
      <c r="B16" s="1225" t="str" cm="1">
        <f t="array" aca="1" ref="B16" ca="1">_FV(E2,"Currency")&amp;" MILLIONS"</f>
        <v>GBp MILLIONS</v>
      </c>
      <c r="C16" s="1226"/>
      <c r="D16" s="1250"/>
      <c r="E16" s="1250"/>
      <c r="F16" s="1250"/>
      <c r="G16" s="1250"/>
      <c r="H16" s="1038" t="s">
        <v>34</v>
      </c>
      <c r="I16" s="337" t="s">
        <v>11</v>
      </c>
      <c r="J16" s="1190" t="s">
        <v>22</v>
      </c>
      <c r="K16" s="1191"/>
      <c r="L16" s="1190" t="s">
        <v>35</v>
      </c>
      <c r="M16" s="1287"/>
    </row>
    <row r="17" spans="2:17" ht="18">
      <c r="B17" s="1262" t="s">
        <v>36</v>
      </c>
      <c r="C17" s="1147"/>
      <c r="D17" s="1147"/>
      <c r="E17" s="1147"/>
      <c r="F17" s="1147"/>
      <c r="G17" s="1147"/>
      <c r="H17" s="1147"/>
      <c r="I17" s="1147"/>
      <c r="J17" s="1147"/>
      <c r="K17" s="1147"/>
      <c r="L17" s="1147"/>
      <c r="M17" s="1263"/>
    </row>
    <row r="18" spans="2:17" ht="15.6">
      <c r="B18" s="1181" t="s">
        <v>37</v>
      </c>
      <c r="C18" s="1182"/>
      <c r="D18" s="1192" t="s">
        <v>38</v>
      </c>
      <c r="E18" s="1194"/>
      <c r="F18" s="1256" t="s">
        <v>39</v>
      </c>
      <c r="G18" s="1257"/>
      <c r="H18" s="1258"/>
      <c r="I18" s="1192" t="str">
        <f>"Profitability ("&amp;J19&amp;")"</f>
        <v>Profitability (2023)</v>
      </c>
      <c r="J18" s="1193"/>
      <c r="K18" s="1194"/>
      <c r="L18" s="1192" t="s">
        <v>40</v>
      </c>
      <c r="M18" s="1227"/>
    </row>
    <row r="19" spans="2:17" ht="12.95">
      <c r="B19" s="603" t="s">
        <v>41</v>
      </c>
      <c r="C19" s="983" cm="1">
        <f t="array" aca="1" ref="C19" ca="1">_FV(E2,"Price")</f>
        <v>13435</v>
      </c>
      <c r="D19" s="12" t="s">
        <v>42</v>
      </c>
      <c r="E19" s="982">
        <f>_xlfn.XLOOKUP(D19,'Fin. Data'!A:A,'Fin. Data'!B:B,,0)</f>
        <v>4724.3</v>
      </c>
      <c r="F19" s="1243" t="s">
        <v>43</v>
      </c>
      <c r="G19" s="1244"/>
      <c r="H19" s="102" t="s">
        <v>44</v>
      </c>
      <c r="I19" t="s">
        <v>45</v>
      </c>
      <c r="J19" s="1228">
        <v>2023</v>
      </c>
      <c r="K19" s="1229"/>
      <c r="L19" s="11" t="s">
        <v>46</v>
      </c>
      <c r="M19" s="606">
        <f>IF(Inputs!B82 &lt;&gt; "",Inputs!B82,"")</f>
        <v>0.88814229249011856</v>
      </c>
    </row>
    <row r="20" spans="2:17" ht="12.75" customHeight="1">
      <c r="B20" s="603" t="s">
        <v>47</v>
      </c>
      <c r="C20" s="612" cm="1">
        <f t="array" aca="1" ref="C20" ca="1">_FV(E2,"Shares outstanding",TRUE)</f>
        <v>122436600</v>
      </c>
      <c r="D20" s="11" t="s">
        <v>48</v>
      </c>
      <c r="E20" s="982">
        <f>_xlfn.XLOOKUP(D20,'Fin. Data'!A:A,'Fin. Data'!B:B,,0)</f>
        <v>3212.4</v>
      </c>
      <c r="F20" s="1259" t="str">
        <f>Segments!C5</f>
        <v>United Kingdom</v>
      </c>
      <c r="G20" s="1260"/>
      <c r="H20" s="759">
        <f>Segments!B5</f>
        <v>0.8378437443088691</v>
      </c>
      <c r="I20" s="11" t="s">
        <v>49</v>
      </c>
      <c r="J20" s="1247">
        <v>45291</v>
      </c>
      <c r="K20" s="1248"/>
      <c r="L20" s="11" t="s">
        <v>50</v>
      </c>
      <c r="M20" s="606">
        <f>IF(Inputs!B83 &lt;&gt; "",Inputs!B83,"")</f>
        <v>6.9900000000000004E-2</v>
      </c>
    </row>
    <row r="21" spans="2:17" ht="12.75" customHeight="1">
      <c r="B21" s="603" t="s">
        <v>51</v>
      </c>
      <c r="C21" s="982">
        <f ca="1">C19*C20/1000000</f>
        <v>1644935.7209999999</v>
      </c>
      <c r="D21" s="11" t="s">
        <v>52</v>
      </c>
      <c r="E21" s="332">
        <f ca="1">_xlfn.XLOOKUP("Cash &amp; Eq.",'Fin. Data'!A:A,'Fin. Data'!B:B,,0)*1000000/C20</f>
        <v>1.5379388189479291</v>
      </c>
      <c r="F21" s="1259" t="str">
        <f>Segments!C6</f>
        <v>Rest of Europe</v>
      </c>
      <c r="G21" s="1260"/>
      <c r="H21" s="16">
        <f>Segments!B6</f>
        <v>9.504643962848297E-2</v>
      </c>
      <c r="I21" s="1224" t="s">
        <v>53</v>
      </c>
      <c r="J21" s="1224"/>
      <c r="K21" s="982">
        <f>_xlfn.XLOOKUP(I21,'Fin. Data'!A:A,'Fin. Data'!B:B,,0)</f>
        <v>1101.5</v>
      </c>
      <c r="L21" s="8" t="s">
        <v>54</v>
      </c>
      <c r="M21" s="605" cm="1">
        <f t="array" aca="1" ref="M21" ca="1">IF(_FV(E2,"Beta") &lt;&gt; "",_FV(E2,"Beta"),"")</f>
        <v>1.3444</v>
      </c>
    </row>
    <row r="22" spans="2:17" ht="12.75" customHeight="1">
      <c r="B22" s="604" t="s">
        <v>55</v>
      </c>
      <c r="C22" s="982">
        <f>'Fin. Data'!B58</f>
        <v>1916.7</v>
      </c>
      <c r="D22" s="11" t="s">
        <v>56</v>
      </c>
      <c r="E22" s="332">
        <f>IFERROR(_xlfn.XLOOKUP("EBITDA",'Fin. Data'!A:A,'Fin. Data'!B:B,,0)/_xlfn.XLOOKUP("Net Financial Cost",'Fin. Data'!A:A,'Fin. Data'!B:B,,0),"")</f>
        <v>-13.649318463444857</v>
      </c>
      <c r="F22" s="1259" t="str">
        <f>Segments!C7</f>
        <v>Middle East</v>
      </c>
      <c r="G22" s="1260"/>
      <c r="H22" s="16">
        <f>Segments!B7</f>
        <v>4.6439628482972138E-2</v>
      </c>
      <c r="I22" s="1249" t="s">
        <v>57</v>
      </c>
      <c r="J22" s="1249"/>
      <c r="K22" s="982">
        <f>_xlfn.XLOOKUP(I22,'Fin. Data'!A:A,'Fin. Data'!B:B,,0)</f>
        <v>246.8</v>
      </c>
      <c r="L22" s="11" t="s">
        <v>58</v>
      </c>
      <c r="M22" s="605" t="str">
        <f>IF(Inputs!B84 &lt;&gt; "",Inputs!B84,"")</f>
        <v>BBB</v>
      </c>
    </row>
    <row r="23" spans="2:17" ht="12.75" customHeight="1">
      <c r="B23" s="604" t="s">
        <v>59</v>
      </c>
      <c r="C23" s="982">
        <f>'Fin. Data'!B39</f>
        <v>188.3</v>
      </c>
      <c r="D23" s="11" t="s">
        <v>60</v>
      </c>
      <c r="E23" s="332">
        <f>IFERROR(_xlfn.XLOOKUP("Total Debt",'Fin. Data'!A:A,'Fin. Data'!B:B,,0)/_xlfn.XLOOKUP("EBITDA",'Fin. Data'!A:A,'Fin. Data'!B:B,,0),"")</f>
        <v>1.7400817067635044</v>
      </c>
      <c r="F23" s="1259" t="str">
        <f>Segments!C8</f>
        <v>Asia</v>
      </c>
      <c r="G23" s="1260"/>
      <c r="H23" s="40">
        <f>Segments!B8</f>
        <v>7.6306683664177739E-3</v>
      </c>
      <c r="I23" s="1249" t="s">
        <v>61</v>
      </c>
      <c r="J23" s="1249"/>
      <c r="K23" s="982">
        <f>_xlfn.XLOOKUP(I23,'Fin. Data'!A:A,'Fin. Data'!B:B,,0)</f>
        <v>854.7</v>
      </c>
      <c r="L23" s="11" t="s">
        <v>62</v>
      </c>
      <c r="M23" s="605">
        <f ca="1">IFERROR((C19*C20/(E19-E20))/1000000,"")</f>
        <v>1087.9924075666379</v>
      </c>
    </row>
    <row r="24" spans="2:17" ht="12.75" customHeight="1">
      <c r="B24" s="604" t="s">
        <v>63</v>
      </c>
      <c r="C24" s="982">
        <f ca="1">C21+C22-C23</f>
        <v>1646664.1209999998</v>
      </c>
      <c r="D24" s="11" t="s">
        <v>64</v>
      </c>
      <c r="E24" s="332">
        <f>IFERROR(_xlfn.XLOOKUP("Other Assets",'Fin. Data'!A:A,'Fin. Data'!B:B,,0)/_xlfn.XLOOKUP("Total Assets",'Fin. Data'!A:A,'Fin. Data'!B:B,,0),"")</f>
        <v>0.21982092585144897</v>
      </c>
      <c r="F24" s="1259" t="str">
        <f>Segments!C9</f>
        <v>Rest of world</v>
      </c>
      <c r="G24" s="1260"/>
      <c r="H24" s="40">
        <f>Segments!B9</f>
        <v>1.3039519213258058E-2</v>
      </c>
      <c r="I24" s="1224" t="s">
        <v>65</v>
      </c>
      <c r="J24" s="1224"/>
      <c r="K24" s="982">
        <f>_xlfn.XLOOKUP(I24,'Fin. Data'!A:A,'Fin. Data'!B:B,,0)</f>
        <v>800.5</v>
      </c>
      <c r="L24" s="11" t="s">
        <v>66</v>
      </c>
      <c r="M24" s="606">
        <f>IFERROR(K30/E19,"")</f>
        <v>-1.6595051118684246E-2</v>
      </c>
    </row>
    <row r="25" spans="2:17" ht="12.75" customHeight="1">
      <c r="B25" s="604" t="s">
        <v>67</v>
      </c>
      <c r="C25" s="118" t="s">
        <v>68</v>
      </c>
      <c r="D25" s="11" t="s">
        <v>69</v>
      </c>
      <c r="E25" s="332">
        <f>_xlfn.XLOOKUP(D25,'Fin. Data'!A:A,'Fin. Data'!B:B,,0)</f>
        <v>0.40571089896915946</v>
      </c>
      <c r="F25" s="1245" t="s">
        <v>70</v>
      </c>
      <c r="G25" s="1246"/>
      <c r="H25" s="103" t="s">
        <v>44</v>
      </c>
      <c r="I25" s="1224" t="s">
        <v>71</v>
      </c>
      <c r="J25" s="1224"/>
      <c r="K25" s="982">
        <f ca="1">1000000*K24/C20</f>
        <v>6.5380776663187312</v>
      </c>
      <c r="L25" s="11" t="s">
        <v>72</v>
      </c>
      <c r="M25" s="607">
        <f ca="1">IFERROR(C21/K29,"")</f>
        <v>2254.674995659524</v>
      </c>
    </row>
    <row r="26" spans="2:17" ht="12.75" customHeight="1">
      <c r="B26" s="603" t="s">
        <v>73</v>
      </c>
      <c r="C26" s="119" t="s">
        <v>68</v>
      </c>
      <c r="D26" s="11" t="s">
        <v>74</v>
      </c>
      <c r="E26" s="117">
        <f>IFERROR(AVERAGE(_xlfn.XLOOKUP("EBITDA Margin",'Fin. Data'!A:A,'Fin. Data'!B:D,,0)),"")</f>
        <v>0.2222313975168487</v>
      </c>
      <c r="F26" s="1207" t="str">
        <f>Segments!C18</f>
        <v>NEXT Online</v>
      </c>
      <c r="G26" s="1208"/>
      <c r="H26" s="1211">
        <f>Segments!B18</f>
        <v>0.52839191404115826</v>
      </c>
      <c r="I26" s="1224" t="s">
        <v>75</v>
      </c>
      <c r="J26" s="1224"/>
      <c r="K26" s="67">
        <f>IFERROR(K24/E19,"")</f>
        <v>0.16944309209830027</v>
      </c>
      <c r="L26" s="11" t="s">
        <v>76</v>
      </c>
      <c r="M26" s="608">
        <f ca="1">IFERROR(C24/E19,"")</f>
        <v>348.55198039921254</v>
      </c>
    </row>
    <row r="27" spans="2:17" ht="12.75" customHeight="1">
      <c r="B27" s="603" t="s">
        <v>77</v>
      </c>
      <c r="C27" s="1023">
        <v>0</v>
      </c>
      <c r="D27" s="11" t="s">
        <v>78</v>
      </c>
      <c r="E27" s="117">
        <f>IFERROR(AVERAGE(_xlfn.XLOOKUP("Operating Margin",'Fin. Data'!A:A,'Fin. Data'!B:D,,0)),"")</f>
        <v>0.18770746164636828</v>
      </c>
      <c r="F27" s="1209"/>
      <c r="G27" s="1210"/>
      <c r="H27" s="1212"/>
      <c r="I27" s="1224" t="s">
        <v>79</v>
      </c>
      <c r="J27" s="1224"/>
      <c r="K27" s="67">
        <f>IFERROR(Peers!C18,"")</f>
        <v>0.23796645047186196</v>
      </c>
      <c r="L27" s="11" t="s">
        <v>80</v>
      </c>
      <c r="M27" s="608">
        <f ca="1">IFERROR(C24/K28,"")</f>
        <v>1474.5805686397418</v>
      </c>
    </row>
    <row r="28" spans="2:17" ht="15.6">
      <c r="B28" s="1181" t="s">
        <v>81</v>
      </c>
      <c r="C28" s="1182"/>
      <c r="D28" s="11" t="s">
        <v>82</v>
      </c>
      <c r="E28" s="117">
        <f>IFERROR(AVERAGE(_xlfn.XLOOKUP("Net Income Margin",'Fin. Data'!A:A,'Fin. Data'!B:D,,0)),"")</f>
        <v>0.14447399097152411</v>
      </c>
      <c r="F28" s="1207" t="str">
        <f>Segments!C19</f>
        <v>NEXT Retail</v>
      </c>
      <c r="G28" s="1208"/>
      <c r="H28" s="1211">
        <f>Segments!B19</f>
        <v>0.33576761974139496</v>
      </c>
      <c r="I28" s="1230" t="s">
        <v>83</v>
      </c>
      <c r="J28" s="1230"/>
      <c r="K28" s="982">
        <f>AVERAGE(_xlfn.XLOOKUP("EBITDA",'Fin. Data'!A:A,'Fin. Data'!B:D,,0))</f>
        <v>1116.7</v>
      </c>
      <c r="L28" s="11" t="s">
        <v>84</v>
      </c>
      <c r="M28" s="607">
        <f ca="1">IFERROR(C21/K30,"")</f>
        <v>-20981.322971938778</v>
      </c>
    </row>
    <row r="29" spans="2:17" ht="12.75" customHeight="1">
      <c r="B29" s="609" t="s">
        <v>85</v>
      </c>
      <c r="C29" s="1024"/>
      <c r="D29" s="610"/>
      <c r="E29" s="124"/>
      <c r="F29" s="1209"/>
      <c r="G29" s="1210"/>
      <c r="H29" s="1212"/>
      <c r="I29" s="1224" t="s">
        <v>86</v>
      </c>
      <c r="J29" s="1224"/>
      <c r="K29" s="982">
        <f>AVERAGE(_xlfn.XLOOKUP("Net Income",'Fin. Data'!A:A,'Fin. Data'!B:D,,0))</f>
        <v>729.56666666666661</v>
      </c>
      <c r="L29" s="11" t="s">
        <v>87</v>
      </c>
      <c r="M29" s="607" t="s">
        <v>68</v>
      </c>
      <c r="Q29" s="254"/>
    </row>
    <row r="30" spans="2:17" ht="12.75" customHeight="1">
      <c r="B30" s="609" t="s">
        <v>88</v>
      </c>
      <c r="C30" s="1025"/>
      <c r="D30" s="11" t="s">
        <v>89</v>
      </c>
      <c r="E30" s="433">
        <f>IFERROR(-_xlfn.XLOOKUP("Net Financial Cost",'Fin. Data'!A:A,'Fin. Data'!B:B,,0)/AVERAGE(_xlfn.XLOOKUP("Net Debt",'Fin. Data'!A:A,'Fin. Data'!B:D,,0)),"")</f>
        <v>4.6846881712107435E-2</v>
      </c>
      <c r="F30" s="1186" t="str">
        <f>Segments!C20</f>
        <v>NEXT Finance</v>
      </c>
      <c r="G30" s="1187"/>
      <c r="H30" s="16">
        <f>Segments!B20</f>
        <v>5.3305408850846836E-2</v>
      </c>
      <c r="I30" s="1224" t="s">
        <v>90</v>
      </c>
      <c r="J30" s="1224"/>
      <c r="K30" s="982">
        <f>AVERAGE(_xlfn.XLOOKUP("Net Financial Cost",'Fin. Data'!A:A,'Fin. Data'!B:D,,0))</f>
        <v>-78.399999999999991</v>
      </c>
      <c r="L30" s="11" t="s">
        <v>91</v>
      </c>
      <c r="M30" s="606">
        <f ca="1">-IFERROR(SUM(E51:E53)/(3*C21),"")</f>
        <v>2.5222870091712231E-4</v>
      </c>
    </row>
    <row r="31" spans="2:17" ht="12.6" customHeight="1">
      <c r="B31" s="609" t="s">
        <v>92</v>
      </c>
      <c r="C31" s="1025"/>
      <c r="D31" s="121"/>
      <c r="E31" s="123"/>
      <c r="F31" s="1186" t="str">
        <f>Segments!C21</f>
        <v>Other</v>
      </c>
      <c r="G31" s="1187"/>
      <c r="H31" s="16">
        <f>Segments!B21</f>
        <v>8.2535057366599898E-2</v>
      </c>
      <c r="I31" s="121"/>
      <c r="J31" s="122"/>
      <c r="K31" s="122"/>
      <c r="L31" s="11" t="s">
        <v>93</v>
      </c>
      <c r="M31" s="613">
        <f ca="1">-IFERROR(L52/C21,"")</f>
        <v>1.5094814759634005E-4</v>
      </c>
    </row>
    <row r="32" spans="2:17" ht="18.600000000000001" thickBot="1">
      <c r="B32" s="1183" t="s">
        <v>94</v>
      </c>
      <c r="C32" s="1184"/>
      <c r="D32" s="1184"/>
      <c r="E32" s="1184"/>
      <c r="F32" s="1184"/>
      <c r="G32" s="1184"/>
      <c r="H32" s="1184"/>
      <c r="I32" s="1184"/>
      <c r="J32" s="1184"/>
      <c r="K32" s="1184"/>
      <c r="L32" s="1184"/>
      <c r="M32" s="1185"/>
    </row>
    <row r="33" spans="1:19" ht="15.95" thickBot="1">
      <c r="B33" s="1222" t="s">
        <v>95</v>
      </c>
      <c r="C33" s="1223"/>
      <c r="D33" s="1223"/>
      <c r="E33" s="1223"/>
      <c r="F33" s="1223"/>
      <c r="G33" s="1223"/>
      <c r="H33" s="438" t="s">
        <v>96</v>
      </c>
      <c r="I33" s="1231" t="s">
        <v>97</v>
      </c>
      <c r="J33" s="1232"/>
      <c r="K33" s="1232"/>
      <c r="L33" s="1232"/>
      <c r="M33" s="1233"/>
      <c r="N33" s="10"/>
    </row>
    <row r="34" spans="1:19" ht="13.35" customHeight="1" thickBot="1">
      <c r="A34" s="10"/>
      <c r="B34" s="439" t="s">
        <v>98</v>
      </c>
      <c r="C34" s="1173" t="s">
        <v>99</v>
      </c>
      <c r="D34" s="1174"/>
      <c r="E34" s="1174"/>
      <c r="F34" s="1174"/>
      <c r="G34" s="1175"/>
      <c r="H34" s="1188" t="s">
        <v>100</v>
      </c>
      <c r="I34" s="1213" t="s">
        <v>101</v>
      </c>
      <c r="J34" s="1214"/>
      <c r="K34" s="1214"/>
      <c r="L34" s="1214"/>
      <c r="M34" s="1215"/>
    </row>
    <row r="35" spans="1:19" ht="63" customHeight="1">
      <c r="A35" s="10"/>
      <c r="B35" s="909" t="s">
        <v>102</v>
      </c>
      <c r="C35" s="1176" t="s">
        <v>103</v>
      </c>
      <c r="D35" s="1177"/>
      <c r="E35" s="1177"/>
      <c r="F35" s="1177"/>
      <c r="G35" s="1178"/>
      <c r="H35" s="1188"/>
      <c r="I35" s="1216"/>
      <c r="J35" s="1217"/>
      <c r="K35" s="1217"/>
      <c r="L35" s="1217"/>
      <c r="M35" s="1218"/>
    </row>
    <row r="36" spans="1:19" ht="30" customHeight="1">
      <c r="A36" s="10"/>
      <c r="B36" s="909" t="s">
        <v>104</v>
      </c>
      <c r="C36" s="1176" t="s">
        <v>105</v>
      </c>
      <c r="D36" s="1177"/>
      <c r="E36" s="1177"/>
      <c r="F36" s="1177"/>
      <c r="G36" s="1178"/>
      <c r="H36" s="1188"/>
      <c r="I36" s="1216"/>
      <c r="J36" s="1217"/>
      <c r="K36" s="1217"/>
      <c r="L36" s="1217"/>
      <c r="M36" s="1218"/>
    </row>
    <row r="37" spans="1:19" ht="30" customHeight="1" thickBot="1">
      <c r="B37" s="910" t="s">
        <v>106</v>
      </c>
      <c r="C37" s="1201" t="s">
        <v>107</v>
      </c>
      <c r="D37" s="1202"/>
      <c r="E37" s="1202"/>
      <c r="F37" s="1202"/>
      <c r="G37" s="1203"/>
      <c r="H37" s="1189"/>
      <c r="I37" s="1219"/>
      <c r="J37" s="1220"/>
      <c r="K37" s="1220"/>
      <c r="L37" s="1220"/>
      <c r="M37" s="1221"/>
    </row>
    <row r="38" spans="1:19" ht="15.95" thickBot="1">
      <c r="B38" s="1234" t="s">
        <v>108</v>
      </c>
      <c r="C38" s="1235"/>
      <c r="D38" s="1235"/>
      <c r="E38" s="1235"/>
      <c r="F38" s="1235"/>
      <c r="G38" s="1236"/>
      <c r="H38" s="441" t="s">
        <v>109</v>
      </c>
      <c r="I38" s="1179" t="s">
        <v>110</v>
      </c>
      <c r="J38" s="1179"/>
      <c r="K38" s="1179"/>
      <c r="L38" s="1179"/>
      <c r="M38" s="1180"/>
    </row>
    <row r="39" spans="1:19" ht="13.35" customHeight="1" thickBot="1">
      <c r="B39" s="442" t="s">
        <v>111</v>
      </c>
      <c r="C39" s="1237" t="s">
        <v>99</v>
      </c>
      <c r="D39" s="1238"/>
      <c r="E39" s="1238"/>
      <c r="F39" s="1238"/>
      <c r="G39" s="1239"/>
      <c r="H39" s="1163">
        <f ca="1">IFERROR(DCF!D75,"")</f>
        <v>9796.5194985596863</v>
      </c>
      <c r="I39" s="1149" t="s">
        <v>112</v>
      </c>
      <c r="J39" s="1151">
        <f>DCF!F50</f>
        <v>8.5000000000000006E-2</v>
      </c>
      <c r="K39" s="1152"/>
      <c r="L39" s="1157" t="s">
        <v>113</v>
      </c>
      <c r="M39" s="1161" t="str">
        <f>IFERROR(#REF!,"")</f>
        <v/>
      </c>
    </row>
    <row r="40" spans="1:19" ht="33.75" customHeight="1" thickBot="1">
      <c r="B40" s="440" t="s">
        <v>114</v>
      </c>
      <c r="C40" s="1204" t="s">
        <v>115</v>
      </c>
      <c r="D40" s="1205"/>
      <c r="E40" s="1205"/>
      <c r="F40" s="1205"/>
      <c r="G40" s="1206"/>
      <c r="H40" s="1164"/>
      <c r="I40" s="1150"/>
      <c r="J40" s="1153"/>
      <c r="K40" s="1154"/>
      <c r="L40" s="1158"/>
      <c r="M40" s="1162"/>
    </row>
    <row r="41" spans="1:19" ht="30" customHeight="1" thickBot="1">
      <c r="B41" s="1053" t="s">
        <v>116</v>
      </c>
      <c r="C41" s="1169" t="s">
        <v>117</v>
      </c>
      <c r="D41" s="1170"/>
      <c r="E41" s="1170"/>
      <c r="F41" s="1170"/>
      <c r="G41" s="1171"/>
      <c r="H41" s="1164"/>
      <c r="I41" s="1149" t="s">
        <v>118</v>
      </c>
      <c r="J41" s="1155">
        <f ca="1">IFERROR(DCF!D74,"")</f>
        <v>-0.27082102727505131</v>
      </c>
      <c r="K41" s="1156"/>
      <c r="L41" s="1159" t="s">
        <v>119</v>
      </c>
      <c r="M41" s="1172" t="str">
        <f>IFERROR(#REF!,"")</f>
        <v/>
      </c>
    </row>
    <row r="42" spans="1:19" ht="30.75" customHeight="1" thickBot="1">
      <c r="B42" s="1054" t="s">
        <v>120</v>
      </c>
      <c r="C42" s="1166" t="s">
        <v>121</v>
      </c>
      <c r="D42" s="1167"/>
      <c r="E42" s="1167"/>
      <c r="F42" s="1167"/>
      <c r="G42" s="1168"/>
      <c r="H42" s="1165"/>
      <c r="I42" s="1150"/>
      <c r="J42" s="1153"/>
      <c r="K42" s="1154"/>
      <c r="L42" s="1160"/>
      <c r="M42" s="1162"/>
    </row>
    <row r="43" spans="1:19" ht="18">
      <c r="B43" s="1146" t="s">
        <v>122</v>
      </c>
      <c r="C43" s="1147"/>
      <c r="D43" s="1147"/>
      <c r="E43" s="1147"/>
      <c r="F43" s="1147"/>
      <c r="G43" s="1147"/>
      <c r="H43" s="1147"/>
      <c r="I43" s="1147"/>
      <c r="J43" s="1147"/>
      <c r="K43" s="1147"/>
      <c r="L43" s="1147"/>
      <c r="M43" s="1148"/>
    </row>
    <row r="44" spans="1:19" ht="12.95">
      <c r="B44" s="534" t="s">
        <v>123</v>
      </c>
      <c r="C44" s="108" t="s">
        <v>124</v>
      </c>
      <c r="D44" s="108" t="s">
        <v>125</v>
      </c>
      <c r="E44" s="126" t="s">
        <v>126</v>
      </c>
      <c r="F44" s="108" t="s">
        <v>127</v>
      </c>
      <c r="G44" s="108" t="s">
        <v>69</v>
      </c>
      <c r="H44" s="125" t="s">
        <v>57</v>
      </c>
      <c r="I44" s="125" t="s">
        <v>128</v>
      </c>
      <c r="J44" s="1144" t="s">
        <v>129</v>
      </c>
      <c r="K44" s="1144"/>
      <c r="L44" s="1144"/>
      <c r="M44" s="1145"/>
    </row>
    <row r="45" spans="1:19" ht="12.95">
      <c r="B45" s="535">
        <f t="shared" ref="B45:B51" si="0">B46-1</f>
        <v>2015</v>
      </c>
      <c r="C45" s="984" cm="1">
        <f t="array" ref="C45:C53">_xlfn.SORTBY(TRANSPOSE(_xlfn.XLOOKUP(C$44,'Fin. Data'!$A:$A,'Fin. Data'!$B:$J,,0)),$B$45:$B$53,-1)</f>
        <v>4176.8999999999996</v>
      </c>
      <c r="D45" s="105" cm="1">
        <f t="array" ref="D45:D53">_xlfn.SORTBY(TRANSPOSE(_xlfn.XLOOKUP(D$44,'Fin. Data'!$A:$A,'Fin. Data'!$B:$J,,0)),$B$45:$B$53,-1)</f>
        <v>0.20895879719409136</v>
      </c>
      <c r="E45" s="984" cm="1">
        <f t="array" ref="E45:E53">_xlfn.SORTBY(TRANSPOSE(_xlfn.XLOOKUP(E$44,'Fin. Data'!$A:$A,'Fin. Data'!$B:$J,,0)),$B$45:$B$53,-1)</f>
        <v>-718.2</v>
      </c>
      <c r="F45" s="985">
        <f>Inputs!J77</f>
        <v>-220.2000000000001</v>
      </c>
      <c r="G45" s="105" cm="1">
        <f t="array" ref="G45:G53">_xlfn.SORTBY(TRANSPOSE(_xlfn.XLOOKUP(G$44,'Fin. Data'!$A:$A,'Fin. Data'!$B:$J,,0)),$B$45:$B$53,-1)</f>
        <v>0.41088365306210034</v>
      </c>
      <c r="H45" s="984" cm="1">
        <f t="array" ref="H45:H53">_xlfn.SORTBY(TRANSPOSE(_xlfn.XLOOKUP(H$44,'Fin. Data'!$A:$A,'Fin. Data'!$B:$J,,0)),$B$45:$B$53,-1)</f>
        <v>118</v>
      </c>
      <c r="I45" s="984" cm="1">
        <f t="array" ref="I45:I53">_xlfn.SORTBY(TRANSPOSE(_xlfn.XLOOKUP(I$44,'Fin. Data'!$A:$A,'Fin. Data'!$B:$J,,0)),$B$45:$B$53,-1)</f>
        <v>-147.30000000000001</v>
      </c>
      <c r="J45" s="351"/>
      <c r="K45" s="121"/>
      <c r="L45" s="106">
        <f>J19</f>
        <v>2023</v>
      </c>
      <c r="M45" s="1049">
        <f>L45-1</f>
        <v>2022</v>
      </c>
    </row>
    <row r="46" spans="1:19" ht="12.95">
      <c r="B46" s="535">
        <f t="shared" si="0"/>
        <v>2016</v>
      </c>
      <c r="C46" s="984">
        <v>4097.3</v>
      </c>
      <c r="D46" s="104">
        <v>0.20198667415127033</v>
      </c>
      <c r="E46" s="984">
        <v>-501.70000000000005</v>
      </c>
      <c r="F46" s="985">
        <f>Inputs!I77</f>
        <v>-39.199999999999932</v>
      </c>
      <c r="G46" s="105">
        <v>0.39454424484364597</v>
      </c>
      <c r="H46" s="984">
        <v>116.7</v>
      </c>
      <c r="I46" s="984">
        <v>-154.30000000000001</v>
      </c>
      <c r="J46" s="1268" t="s">
        <v>65</v>
      </c>
      <c r="K46" s="1269"/>
      <c r="L46" s="982">
        <f>_xlfn.XLOOKUP($J46,'Fin. Data'!$A:$A,'Fin. Data'!B:B,,0)</f>
        <v>800.5</v>
      </c>
      <c r="M46" s="1050">
        <f>_xlfn.XLOOKUP($J46,'Fin. Data'!$A:$A,'Fin. Data'!C:C,,0)</f>
        <v>710.7</v>
      </c>
      <c r="N46" s="19">
        <f t="shared" ref="N46:N54" si="1">(C46/C45)-1</f>
        <v>-1.9057195527783621E-2</v>
      </c>
      <c r="O46" s="19">
        <f t="shared" ref="O46:O54" si="2">(D46/D45)-1</f>
        <v>-3.3366018260264751E-2</v>
      </c>
      <c r="P46" s="18"/>
      <c r="Q46" s="17"/>
      <c r="R46" s="17"/>
      <c r="S46" s="17"/>
    </row>
    <row r="47" spans="1:19" ht="12.95">
      <c r="B47" s="535">
        <f t="shared" si="0"/>
        <v>2017</v>
      </c>
      <c r="C47" s="984">
        <v>4055.5</v>
      </c>
      <c r="D47" s="104">
        <v>0.18764640611515226</v>
      </c>
      <c r="E47" s="984">
        <v>-584.79999999999995</v>
      </c>
      <c r="F47" s="985">
        <f>Inputs!H77</f>
        <v>-4.5999999999999659</v>
      </c>
      <c r="G47" s="105">
        <v>0.42494632051532305</v>
      </c>
      <c r="H47" s="984">
        <v>123</v>
      </c>
      <c r="I47" s="984">
        <v>-111.39999999999999</v>
      </c>
      <c r="J47" s="1268" t="s">
        <v>130</v>
      </c>
      <c r="K47" s="1269"/>
      <c r="L47" s="982">
        <f>_xlfn.XLOOKUP($J47,'Fin. Data'!$A:$A,'Fin. Data'!B:B,,0)</f>
        <v>1120.3</v>
      </c>
      <c r="M47" s="1050">
        <f>_xlfn.XLOOKUP($J47,'Fin. Data'!$A:$A,'Fin. Data'!C:C,,0)</f>
        <v>798.8</v>
      </c>
      <c r="N47" s="19">
        <f t="shared" si="1"/>
        <v>-1.0201840236253146E-2</v>
      </c>
      <c r="O47" s="19">
        <f t="shared" si="2"/>
        <v>-7.0996109502642013E-2</v>
      </c>
      <c r="P47" s="18"/>
      <c r="Q47" s="17">
        <f t="shared" ref="Q47:Q53" si="3">F47/F46-1</f>
        <v>-0.8826530612244905</v>
      </c>
      <c r="R47" s="17">
        <f t="shared" ref="R47:S53" si="4">H47/H46-1</f>
        <v>5.3984575835475557E-2</v>
      </c>
      <c r="S47" s="17">
        <f t="shared" si="4"/>
        <v>-0.27802981205443955</v>
      </c>
    </row>
    <row r="48" spans="1:19" ht="12.95">
      <c r="B48" s="535">
        <f t="shared" si="0"/>
        <v>2018</v>
      </c>
      <c r="C48" s="984">
        <v>4167.3999999999996</v>
      </c>
      <c r="D48" s="104">
        <v>0.20149253731343286</v>
      </c>
      <c r="E48" s="984">
        <v>-540.70000000000005</v>
      </c>
      <c r="F48" s="985">
        <f>Inputs!G77</f>
        <v>24.5</v>
      </c>
      <c r="G48" s="105">
        <v>0.34267621439640894</v>
      </c>
      <c r="H48" s="984">
        <v>260.60000000000002</v>
      </c>
      <c r="I48" s="984">
        <v>-122.9</v>
      </c>
      <c r="J48" s="1268" t="s">
        <v>131</v>
      </c>
      <c r="K48" s="1269"/>
      <c r="L48" s="982">
        <f>_xlfn.XLOOKUP($J48,'Fin. Data'!$A:$A,'Fin. Data'!B:B,,0)</f>
        <v>-334.4</v>
      </c>
      <c r="M48" s="1050">
        <f>_xlfn.XLOOKUP($J48,'Fin. Data'!$A:$A,'Fin. Data'!C:C,,0)</f>
        <v>-271.39999999999998</v>
      </c>
      <c r="N48" s="19">
        <f t="shared" si="1"/>
        <v>2.7592158796695854E-2</v>
      </c>
      <c r="O48" s="19">
        <f t="shared" si="2"/>
        <v>7.3788416655226063E-2</v>
      </c>
      <c r="P48" s="18"/>
      <c r="Q48" s="17">
        <f t="shared" si="3"/>
        <v>-6.3260869565217783</v>
      </c>
      <c r="R48" s="17">
        <f t="shared" si="4"/>
        <v>1.1186991869918703</v>
      </c>
      <c r="S48" s="17">
        <f t="shared" si="4"/>
        <v>0.10323159784560154</v>
      </c>
    </row>
    <row r="49" spans="2:19" ht="12.95">
      <c r="B49" s="535">
        <f t="shared" si="0"/>
        <v>2019</v>
      </c>
      <c r="C49" s="984">
        <v>4266.2</v>
      </c>
      <c r="D49" s="104">
        <v>0.20050630537715064</v>
      </c>
      <c r="E49" s="984">
        <v>-513.79999999999995</v>
      </c>
      <c r="F49" s="985">
        <f>Inputs!F77</f>
        <v>18.899999999999977</v>
      </c>
      <c r="G49" s="105">
        <v>0.33686331091933686</v>
      </c>
      <c r="H49" s="984">
        <v>263</v>
      </c>
      <c r="I49" s="984">
        <v>-139.1</v>
      </c>
      <c r="J49" s="1270" t="s">
        <v>132</v>
      </c>
      <c r="K49" s="1271"/>
      <c r="L49" s="982">
        <f>_xlfn.XLOOKUP($J49,'Fin. Data'!$A:$A,'Fin. Data'!B:B,,0)</f>
        <v>-125.7</v>
      </c>
      <c r="M49" s="1050">
        <f>_xlfn.XLOOKUP($J49,'Fin. Data'!$A:$A,'Fin. Data'!C:C,,0)</f>
        <v>-163.39999999999998</v>
      </c>
      <c r="N49" s="19">
        <f t="shared" si="1"/>
        <v>2.3707827422373651E-2</v>
      </c>
      <c r="O49" s="19">
        <f t="shared" si="2"/>
        <v>-4.8946325726598738E-3</v>
      </c>
      <c r="P49" s="18"/>
      <c r="Q49" s="17">
        <f t="shared" si="3"/>
        <v>-0.22857142857142954</v>
      </c>
      <c r="R49" s="17">
        <f t="shared" si="4"/>
        <v>9.2095165003835966E-3</v>
      </c>
      <c r="S49" s="17">
        <f t="shared" si="4"/>
        <v>0.13181448331977208</v>
      </c>
    </row>
    <row r="50" spans="2:19" ht="12.95">
      <c r="B50" s="535">
        <f t="shared" si="0"/>
        <v>2020</v>
      </c>
      <c r="C50" s="984">
        <v>3534.4</v>
      </c>
      <c r="D50" s="104">
        <v>0.12613173381620643</v>
      </c>
      <c r="E50" s="984">
        <v>-19.3</v>
      </c>
      <c r="F50" s="985">
        <f>Inputs!E77</f>
        <v>462.2</v>
      </c>
      <c r="G50" s="105">
        <v>0.64978712080894097</v>
      </c>
      <c r="H50" s="984">
        <v>333.79999999999995</v>
      </c>
      <c r="I50" s="984">
        <v>-118.1</v>
      </c>
      <c r="J50" s="1270" t="s">
        <v>133</v>
      </c>
      <c r="K50" s="1271"/>
      <c r="L50" s="982">
        <f>_xlfn.XLOOKUP($J50,'Fin. Data'!$A:$A,'Fin. Data'!B:B,,0)</f>
        <v>-153.20000000000002</v>
      </c>
      <c r="M50" s="1050">
        <f>_xlfn.XLOOKUP($J50,'Fin. Data'!$A:$A,'Fin. Data'!C:C,,0)</f>
        <v>-95.4</v>
      </c>
      <c r="N50" s="19">
        <f t="shared" si="1"/>
        <v>-0.17153438657353137</v>
      </c>
      <c r="O50" s="19">
        <f t="shared" si="2"/>
        <v>-0.3709338288441667</v>
      </c>
      <c r="P50" s="18"/>
      <c r="Q50" s="17">
        <f t="shared" si="3"/>
        <v>23.455026455026484</v>
      </c>
      <c r="R50" s="17">
        <f t="shared" si="4"/>
        <v>0.26920152091254734</v>
      </c>
      <c r="S50" s="17">
        <f t="shared" si="4"/>
        <v>-0.15097052480230055</v>
      </c>
    </row>
    <row r="51" spans="2:19" ht="12.95">
      <c r="B51" s="535">
        <f t="shared" si="0"/>
        <v>2021</v>
      </c>
      <c r="C51" s="984">
        <v>4625.8999999999996</v>
      </c>
      <c r="D51" s="104">
        <v>0.19518363994033594</v>
      </c>
      <c r="E51" s="984">
        <v>-353.2</v>
      </c>
      <c r="F51" s="985">
        <f>Inputs!D77</f>
        <v>-314.5</v>
      </c>
      <c r="G51" s="105">
        <v>0.51773067456929023</v>
      </c>
      <c r="H51" s="984">
        <v>207.2</v>
      </c>
      <c r="I51" s="984">
        <v>-259</v>
      </c>
      <c r="J51" s="1268" t="s">
        <v>134</v>
      </c>
      <c r="K51" s="1269"/>
      <c r="L51" s="982">
        <f>_xlfn.XLOOKUP($J51,'Fin. Data'!$A:$A,'Fin. Data'!B:B,,0)</f>
        <v>-663.3</v>
      </c>
      <c r="M51" s="1050">
        <f>_xlfn.XLOOKUP($J51,'Fin. Data'!$A:$A,'Fin. Data'!C:C,,0)</f>
        <v>-727.1</v>
      </c>
      <c r="N51" s="19">
        <f t="shared" si="1"/>
        <v>0.3088218650973289</v>
      </c>
      <c r="O51" s="19">
        <f t="shared" si="2"/>
        <v>0.54745862944173029</v>
      </c>
      <c r="P51" s="18"/>
      <c r="Q51" s="17">
        <f t="shared" si="3"/>
        <v>-1.6804413673734313</v>
      </c>
      <c r="R51" s="17">
        <f t="shared" si="4"/>
        <v>-0.37926902336728574</v>
      </c>
      <c r="S51" s="17">
        <f t="shared" si="4"/>
        <v>1.193056731583404</v>
      </c>
    </row>
    <row r="52" spans="2:19" ht="12.95">
      <c r="B52" s="535">
        <f>B53-1</f>
        <v>2022</v>
      </c>
      <c r="C52" s="984">
        <v>5034</v>
      </c>
      <c r="D52" s="104">
        <v>0.19026618990862137</v>
      </c>
      <c r="E52" s="984">
        <v>-465.9</v>
      </c>
      <c r="F52" s="985">
        <f>Inputs!C$77</f>
        <v>-199.70000000000005</v>
      </c>
      <c r="G52" s="105">
        <v>0.48094783874692504</v>
      </c>
      <c r="H52" s="984">
        <v>166.9</v>
      </c>
      <c r="I52" s="984">
        <v>-258.79999999999995</v>
      </c>
      <c r="J52" s="1270" t="s">
        <v>135</v>
      </c>
      <c r="K52" s="1271"/>
      <c r="L52" s="982">
        <f>_xlfn.XLOOKUP($J52,'Fin. Data'!$A:$A,'Fin. Data'!B:B,,0)</f>
        <v>-248.3</v>
      </c>
      <c r="M52" s="1050">
        <f>_xlfn.XLOOKUP($J52,'Fin. Data'!$A:$A,'Fin. Data'!C:C,,0)</f>
        <v>-237.4</v>
      </c>
      <c r="N52" s="19">
        <f t="shared" si="1"/>
        <v>8.8220670572213056E-2</v>
      </c>
      <c r="O52" s="19">
        <f t="shared" si="2"/>
        <v>-2.5193966221849995E-2</v>
      </c>
      <c r="P52" s="18"/>
      <c r="Q52" s="17">
        <f t="shared" si="3"/>
        <v>-0.36502384737678839</v>
      </c>
      <c r="R52" s="17">
        <f t="shared" si="4"/>
        <v>-0.19449806949806947</v>
      </c>
      <c r="S52" s="17">
        <f t="shared" si="4"/>
        <v>-7.722007722009705E-4</v>
      </c>
    </row>
    <row r="53" spans="2:19" ht="12.95">
      <c r="B53" s="535">
        <f>J19</f>
        <v>2023</v>
      </c>
      <c r="C53" s="984">
        <v>5491</v>
      </c>
      <c r="D53" s="104">
        <v>0.17767255509014751</v>
      </c>
      <c r="E53" s="984">
        <v>-425.6</v>
      </c>
      <c r="F53" s="985">
        <f>Inputs!B77</f>
        <v>122.60000000000002</v>
      </c>
      <c r="G53" s="105">
        <v>0.40571089896915946</v>
      </c>
      <c r="H53" s="984">
        <v>246.8</v>
      </c>
      <c r="I53" s="984">
        <v>-278.90000000000003</v>
      </c>
      <c r="J53" s="1270" t="s">
        <v>136</v>
      </c>
      <c r="K53" s="1271"/>
      <c r="L53" s="982">
        <f>_xlfn.XLOOKUP($J53,'Fin. Data'!$A:$A,'Fin. Data'!B:B,,0)</f>
        <v>-177.3</v>
      </c>
      <c r="M53" s="1050">
        <f>_xlfn.XLOOKUP($J53,'Fin. Data'!$A:$A,'Fin. Data'!C:C,,0)</f>
        <v>-228.5</v>
      </c>
      <c r="N53" s="19">
        <f t="shared" si="1"/>
        <v>9.0782677791021005E-2</v>
      </c>
      <c r="O53" s="19">
        <f t="shared" si="2"/>
        <v>-6.6189556980786657E-2</v>
      </c>
      <c r="P53" s="18"/>
      <c r="Q53" s="17">
        <f t="shared" si="3"/>
        <v>-1.613920881321983</v>
      </c>
      <c r="R53" s="17">
        <f t="shared" si="4"/>
        <v>0.47872977831036545</v>
      </c>
      <c r="S53" s="17">
        <f t="shared" si="4"/>
        <v>7.7666151468315681E-2</v>
      </c>
    </row>
    <row r="54" spans="2:19">
      <c r="B54" s="536" t="s">
        <v>137</v>
      </c>
      <c r="C54" s="107">
        <f>IFERROR((C53/C45)^(1/8)-1,"")</f>
        <v>3.47839184349652E-2</v>
      </c>
      <c r="D54" s="107">
        <f>IFERROR((D53/D45)^(1/8)-1,"")</f>
        <v>-2.0070208768172448E-2</v>
      </c>
      <c r="E54" s="760"/>
      <c r="F54" s="107" t="str">
        <f>IFERROR((F53/F45)^(1/8)-1,"")</f>
        <v/>
      </c>
      <c r="G54" s="120"/>
      <c r="H54" s="107">
        <f>IFERROR((H53/H45)^(1/8)-1,"")</f>
        <v>9.6624371611338633E-2</v>
      </c>
      <c r="I54" s="120"/>
      <c r="J54" s="1268" t="s">
        <v>138</v>
      </c>
      <c r="K54" s="1269"/>
      <c r="L54" s="982">
        <f>_xlfn.XLOOKUP($J54,'Fin. Data'!$A:$A,'Fin. Data'!B:B,,0)</f>
        <v>0</v>
      </c>
      <c r="M54" s="1050">
        <f>_xlfn.XLOOKUP($J54,'Fin. Data'!$A:$A,'Fin. Data'!C:C,,0)</f>
        <v>0</v>
      </c>
      <c r="N54" s="19">
        <f t="shared" si="1"/>
        <v>-0.99999366528529687</v>
      </c>
      <c r="O54" s="19">
        <f t="shared" si="2"/>
        <v>-1.1129617838725245</v>
      </c>
      <c r="P54" s="18"/>
      <c r="Q54" s="17"/>
      <c r="R54" s="17"/>
      <c r="S54" s="17"/>
    </row>
    <row r="55" spans="2:19" ht="12.95">
      <c r="B55" s="536" t="s">
        <v>139</v>
      </c>
      <c r="C55" s="107">
        <f>IFERROR(AVERAGE(N46:N53),"")</f>
        <v>4.229147216775804E-2</v>
      </c>
      <c r="D55" s="107">
        <f>IFERROR(AVERAGE(O46:O53),"")</f>
        <v>6.2091167143232956E-3</v>
      </c>
      <c r="E55" s="120"/>
      <c r="F55" s="107">
        <f>IFERROR(AVERAGE(Q46:Q53),"")</f>
        <v>1.7654755589480831</v>
      </c>
      <c r="G55" s="120"/>
      <c r="H55" s="107">
        <f>IFERROR(AVERAGE(S46:S53),"")</f>
        <v>0.1537137752268789</v>
      </c>
      <c r="I55" s="120"/>
      <c r="J55" s="1290" t="s">
        <v>140</v>
      </c>
      <c r="K55" s="1291"/>
      <c r="L55" s="1096">
        <f>L47-L48+L51-L52-L53</f>
        <v>1216.9999999999998</v>
      </c>
      <c r="M55" s="1097">
        <f>M47-M48+M51-M52-M53</f>
        <v>808.99999999999977</v>
      </c>
    </row>
    <row r="56" spans="2:19">
      <c r="B56" s="536" t="s">
        <v>141</v>
      </c>
      <c r="C56" s="107">
        <f>IFERROR(STDEV(C46:C53)/AVERAGE(C46:C53),"")</f>
        <v>0.14018825268177465</v>
      </c>
      <c r="D56" s="107">
        <f>IFERROR(STDEV(D45:D53)/AVERAGE(D45:D53),"")</f>
        <v>0.13266868321780012</v>
      </c>
      <c r="E56" s="120"/>
      <c r="F56" s="107">
        <f>IFERROR(STDEV(F45:F53)/AVERAGE(F45:F53),"")</f>
        <v>-13.681336118961479</v>
      </c>
      <c r="G56" s="120"/>
      <c r="H56" s="107">
        <f>IFERROR(STDEV(H45:H53)/AVERAGE(H45:H53),"")</f>
        <v>0.38100480341701143</v>
      </c>
      <c r="I56" s="120"/>
      <c r="J56" s="1292" t="s">
        <v>142</v>
      </c>
      <c r="K56" s="1293"/>
      <c r="L56" s="349">
        <f>IFERROR(SUM(I50:I53)/(C53-C49),"")</f>
        <v>-0.7468974526453297</v>
      </c>
      <c r="M56" s="1051">
        <f>IFERROR((SUM(I50:I53)-SUM(H50:H53))/(C53-C49),"")</f>
        <v>-1.526371652514696</v>
      </c>
    </row>
    <row r="57" spans="2:19">
      <c r="B57" s="536" t="s">
        <v>143</v>
      </c>
      <c r="C57" s="107">
        <f>IFERROR(C53/C52-1,"")</f>
        <v>9.0782677791021005E-2</v>
      </c>
      <c r="D57" s="107">
        <f>IFERROR(D53/D52-1,"")</f>
        <v>-6.6189556980786657E-2</v>
      </c>
      <c r="E57" s="120"/>
      <c r="F57" s="107">
        <f>IFERROR(1-(F53/F52),"")</f>
        <v>1.613920881321983</v>
      </c>
      <c r="G57" s="120"/>
      <c r="H57" s="107">
        <f>IFERROR(1-(H53/H52),"")</f>
        <v>-0.47872977831036545</v>
      </c>
      <c r="I57" s="120"/>
      <c r="J57" s="1294" t="s">
        <v>144</v>
      </c>
      <c r="K57" s="1295"/>
      <c r="L57" s="350">
        <f>IFERROR(L56/E26,"")</f>
        <v>-3.3608997692988134</v>
      </c>
      <c r="M57" s="1052">
        <f>IFERROR(M56/E26,"")</f>
        <v>-6.8683888486053037</v>
      </c>
    </row>
    <row r="58" spans="2:19" ht="18">
      <c r="B58" s="1146" t="s">
        <v>145</v>
      </c>
      <c r="C58" s="1147"/>
      <c r="D58" s="1147"/>
      <c r="E58" s="1147"/>
      <c r="F58" s="1147"/>
      <c r="G58" s="1147"/>
      <c r="H58" s="1147"/>
      <c r="I58" s="1147"/>
      <c r="J58" s="1147"/>
      <c r="K58" s="1147"/>
      <c r="L58" s="1147"/>
      <c r="M58" s="1148"/>
    </row>
    <row r="59" spans="2:19" ht="15.6">
      <c r="B59" s="1284" t="s">
        <v>146</v>
      </c>
      <c r="C59" s="1125"/>
      <c r="D59" s="1125"/>
      <c r="E59" s="1125"/>
      <c r="F59" s="1125"/>
      <c r="G59" s="1125"/>
      <c r="H59" s="1125"/>
      <c r="I59" s="1125"/>
      <c r="J59" s="1125" t="s">
        <v>147</v>
      </c>
      <c r="K59" s="1125"/>
      <c r="L59" s="1125"/>
      <c r="M59" s="1126"/>
    </row>
    <row r="60" spans="2:19" ht="12.95">
      <c r="B60" s="1275" t="s">
        <v>148</v>
      </c>
      <c r="C60" s="1144"/>
      <c r="D60" s="1144"/>
      <c r="E60" s="1144" t="s">
        <v>149</v>
      </c>
      <c r="F60" s="1144"/>
      <c r="G60" s="1144"/>
      <c r="H60" s="1144"/>
      <c r="I60" s="1144"/>
      <c r="J60" s="1144" t="s">
        <v>150</v>
      </c>
      <c r="K60" s="1144"/>
      <c r="L60" s="1144"/>
      <c r="M60" s="352" t="s">
        <v>151</v>
      </c>
    </row>
    <row r="61" spans="2:19" ht="15" customHeight="1">
      <c r="B61" s="1272" t="s">
        <v>152</v>
      </c>
      <c r="C61" s="1276"/>
      <c r="D61" s="1277"/>
      <c r="E61" s="1127" t="s">
        <v>153</v>
      </c>
      <c r="F61" s="1136"/>
      <c r="G61" s="1136"/>
      <c r="H61" s="1136"/>
      <c r="I61" s="1137"/>
      <c r="J61" s="1121" t="s">
        <v>154</v>
      </c>
      <c r="K61" s="1122"/>
      <c r="L61" s="1123"/>
      <c r="M61" s="952">
        <v>0.1009</v>
      </c>
    </row>
    <row r="62" spans="2:19" ht="15" customHeight="1">
      <c r="B62" s="1278"/>
      <c r="C62" s="1279"/>
      <c r="D62" s="1280"/>
      <c r="E62" s="1138"/>
      <c r="F62" s="1139"/>
      <c r="G62" s="1139"/>
      <c r="H62" s="1139"/>
      <c r="I62" s="1140"/>
      <c r="J62" s="1115" t="s">
        <v>155</v>
      </c>
      <c r="K62" s="1116"/>
      <c r="L62" s="1116"/>
      <c r="M62" s="952">
        <v>5.21E-2</v>
      </c>
    </row>
    <row r="63" spans="2:19" ht="15" customHeight="1">
      <c r="B63" s="1278"/>
      <c r="C63" s="1279"/>
      <c r="D63" s="1280"/>
      <c r="E63" s="1138"/>
      <c r="F63" s="1139"/>
      <c r="G63" s="1139"/>
      <c r="H63" s="1139"/>
      <c r="I63" s="1140"/>
      <c r="J63" s="1115" t="s">
        <v>156</v>
      </c>
      <c r="K63" s="1116"/>
      <c r="L63" s="1116"/>
      <c r="M63" s="952">
        <v>5.0700000000000002E-2</v>
      </c>
    </row>
    <row r="64" spans="2:19" ht="15" customHeight="1">
      <c r="B64" s="1278"/>
      <c r="C64" s="1279"/>
      <c r="D64" s="1280"/>
      <c r="E64" s="1138"/>
      <c r="F64" s="1139"/>
      <c r="G64" s="1139"/>
      <c r="H64" s="1139"/>
      <c r="I64" s="1140"/>
      <c r="J64" s="1115" t="s">
        <v>157</v>
      </c>
      <c r="K64" s="1116"/>
      <c r="L64" s="1116"/>
      <c r="M64" s="952">
        <v>4.99E-2</v>
      </c>
    </row>
    <row r="65" spans="2:13" ht="12.95">
      <c r="B65" s="1278"/>
      <c r="C65" s="1279"/>
      <c r="D65" s="1280"/>
      <c r="E65" s="1138"/>
      <c r="F65" s="1139"/>
      <c r="G65" s="1139"/>
      <c r="H65" s="1139"/>
      <c r="I65" s="1140"/>
      <c r="J65" s="1115" t="s">
        <v>158</v>
      </c>
      <c r="K65" s="1116"/>
      <c r="L65" s="1116"/>
      <c r="M65" s="952">
        <v>4.99E-2</v>
      </c>
    </row>
    <row r="66" spans="2:13" ht="12.95">
      <c r="B66" s="1278"/>
      <c r="C66" s="1279"/>
      <c r="D66" s="1280"/>
      <c r="E66" s="1138"/>
      <c r="F66" s="1139"/>
      <c r="G66" s="1139"/>
      <c r="H66" s="1139"/>
      <c r="I66" s="1140"/>
      <c r="J66" s="1115" t="s">
        <v>159</v>
      </c>
      <c r="K66" s="1116"/>
      <c r="L66" s="1116"/>
      <c r="M66" s="952">
        <v>3.0700000000000002E-2</v>
      </c>
    </row>
    <row r="67" spans="2:13" ht="12.95">
      <c r="B67" s="1278"/>
      <c r="C67" s="1279"/>
      <c r="D67" s="1280"/>
      <c r="E67" s="1138"/>
      <c r="F67" s="1139"/>
      <c r="G67" s="1139"/>
      <c r="H67" s="1139"/>
      <c r="I67" s="1140"/>
      <c r="J67" s="1115" t="s">
        <v>160</v>
      </c>
      <c r="K67" s="1116"/>
      <c r="L67" s="1116"/>
      <c r="M67" s="952">
        <v>3.0700000000000002E-2</v>
      </c>
    </row>
    <row r="68" spans="2:13" ht="12.95">
      <c r="B68" s="1278"/>
      <c r="C68" s="1279"/>
      <c r="D68" s="1280"/>
      <c r="E68" s="1138"/>
      <c r="F68" s="1139"/>
      <c r="G68" s="1139"/>
      <c r="H68" s="1139"/>
      <c r="I68" s="1140"/>
      <c r="J68" s="1115" t="s">
        <v>161</v>
      </c>
      <c r="K68" s="1116"/>
      <c r="L68" s="1116"/>
      <c r="M68" s="952">
        <v>2.7E-2</v>
      </c>
    </row>
    <row r="69" spans="2:13" ht="12.95">
      <c r="B69" s="1278"/>
      <c r="C69" s="1279"/>
      <c r="D69" s="1280"/>
      <c r="E69" s="1138"/>
      <c r="F69" s="1139"/>
      <c r="G69" s="1139"/>
      <c r="H69" s="1139"/>
      <c r="I69" s="1140"/>
      <c r="J69" s="1115" t="s">
        <v>162</v>
      </c>
      <c r="K69" s="1116"/>
      <c r="L69" s="1116"/>
      <c r="M69" s="952">
        <v>2.47E-2</v>
      </c>
    </row>
    <row r="70" spans="2:13" ht="12.95">
      <c r="B70" s="1281"/>
      <c r="C70" s="1282"/>
      <c r="D70" s="1283"/>
      <c r="E70" s="1141"/>
      <c r="F70" s="1142"/>
      <c r="G70" s="1142"/>
      <c r="H70" s="1142"/>
      <c r="I70" s="1143"/>
      <c r="J70" s="1115" t="s">
        <v>163</v>
      </c>
      <c r="K70" s="1116"/>
      <c r="L70" s="1116"/>
      <c r="M70" s="952">
        <v>2.0500000000000001E-2</v>
      </c>
    </row>
    <row r="71" spans="2:13" ht="12.95">
      <c r="B71" s="1275" t="s">
        <v>164</v>
      </c>
      <c r="C71" s="1144"/>
      <c r="D71" s="1144"/>
      <c r="E71" s="1144" t="s">
        <v>165</v>
      </c>
      <c r="F71" s="1144"/>
      <c r="G71" s="1144"/>
      <c r="H71" s="1144"/>
      <c r="I71" s="1144"/>
      <c r="J71" s="1115" t="s">
        <v>166</v>
      </c>
      <c r="K71" s="1116"/>
      <c r="L71" s="1116"/>
      <c r="M71" s="952">
        <v>1.8599999999999998E-2</v>
      </c>
    </row>
    <row r="72" spans="2:13" ht="15" customHeight="1">
      <c r="B72" s="1272" t="s">
        <v>167</v>
      </c>
      <c r="C72" s="1128"/>
      <c r="D72" s="1129"/>
      <c r="E72" s="1127" t="s">
        <v>168</v>
      </c>
      <c r="F72" s="1128"/>
      <c r="G72" s="1128"/>
      <c r="H72" s="1128"/>
      <c r="I72" s="1129"/>
      <c r="J72" s="1115" t="s">
        <v>169</v>
      </c>
      <c r="K72" s="1116"/>
      <c r="L72" s="1116"/>
      <c r="M72" s="952">
        <v>1.5100000000000001E-2</v>
      </c>
    </row>
    <row r="73" spans="2:13" ht="15" customHeight="1">
      <c r="B73" s="1273"/>
      <c r="C73" s="1131"/>
      <c r="D73" s="1132"/>
      <c r="E73" s="1130"/>
      <c r="F73" s="1131"/>
      <c r="G73" s="1131"/>
      <c r="H73" s="1131"/>
      <c r="I73" s="1132"/>
      <c r="J73" s="1115" t="s">
        <v>170</v>
      </c>
      <c r="K73" s="1116"/>
      <c r="L73" s="1116"/>
      <c r="M73" s="952">
        <v>1.4999999999999999E-2</v>
      </c>
    </row>
    <row r="74" spans="2:13" ht="15" customHeight="1">
      <c r="B74" s="1273"/>
      <c r="C74" s="1131"/>
      <c r="D74" s="1132"/>
      <c r="E74" s="1130"/>
      <c r="F74" s="1131"/>
      <c r="G74" s="1131"/>
      <c r="H74" s="1131"/>
      <c r="I74" s="1132"/>
      <c r="J74" s="1115" t="s">
        <v>171</v>
      </c>
      <c r="K74" s="1116"/>
      <c r="L74" s="1116"/>
      <c r="M74" s="952">
        <v>1.17E-2</v>
      </c>
    </row>
    <row r="75" spans="2:13" ht="15" customHeight="1">
      <c r="B75" s="1273"/>
      <c r="C75" s="1131"/>
      <c r="D75" s="1132"/>
      <c r="E75" s="1130"/>
      <c r="F75" s="1131"/>
      <c r="G75" s="1131"/>
      <c r="H75" s="1131"/>
      <c r="I75" s="1132"/>
      <c r="J75" s="1115" t="s">
        <v>172</v>
      </c>
      <c r="K75" s="1116"/>
      <c r="L75" s="1116"/>
      <c r="M75" s="952">
        <v>1.12E-2</v>
      </c>
    </row>
    <row r="76" spans="2:13" ht="12.95">
      <c r="B76" s="1273"/>
      <c r="C76" s="1131"/>
      <c r="D76" s="1132"/>
      <c r="E76" s="1130"/>
      <c r="F76" s="1131"/>
      <c r="G76" s="1131"/>
      <c r="H76" s="1131"/>
      <c r="I76" s="1132"/>
      <c r="J76" s="1115" t="s">
        <v>173</v>
      </c>
      <c r="K76" s="1116"/>
      <c r="L76" s="1116"/>
      <c r="M76" s="952">
        <v>1.11E-2</v>
      </c>
    </row>
    <row r="77" spans="2:13" ht="12.95">
      <c r="B77" s="1273"/>
      <c r="C77" s="1131"/>
      <c r="D77" s="1132"/>
      <c r="E77" s="1130"/>
      <c r="F77" s="1131"/>
      <c r="G77" s="1131"/>
      <c r="H77" s="1131"/>
      <c r="I77" s="1132"/>
      <c r="J77" s="1115" t="s">
        <v>174</v>
      </c>
      <c r="K77" s="1116"/>
      <c r="L77" s="1116"/>
      <c r="M77" s="952">
        <v>9.7000000000000003E-3</v>
      </c>
    </row>
    <row r="78" spans="2:13" ht="12.95">
      <c r="B78" s="1273"/>
      <c r="C78" s="1131"/>
      <c r="D78" s="1132"/>
      <c r="E78" s="1130"/>
      <c r="F78" s="1131"/>
      <c r="G78" s="1131"/>
      <c r="H78" s="1131"/>
      <c r="I78" s="1132"/>
      <c r="J78" s="1115" t="s">
        <v>175</v>
      </c>
      <c r="K78" s="1116"/>
      <c r="L78" s="1116"/>
      <c r="M78" s="952">
        <v>9.1000000000000004E-3</v>
      </c>
    </row>
    <row r="79" spans="2:13">
      <c r="B79" s="1273"/>
      <c r="C79" s="1131"/>
      <c r="D79" s="1132"/>
      <c r="E79" s="1130"/>
      <c r="F79" s="1131"/>
      <c r="G79" s="1131"/>
      <c r="H79" s="1131"/>
      <c r="I79" s="1132"/>
      <c r="J79" s="1121" t="s">
        <v>176</v>
      </c>
      <c r="K79" s="1122"/>
      <c r="L79" s="1123"/>
      <c r="M79" s="952">
        <v>8.2000000000000007E-3</v>
      </c>
    </row>
    <row r="80" spans="2:13" ht="12.95">
      <c r="B80" s="1273"/>
      <c r="C80" s="1131"/>
      <c r="D80" s="1132"/>
      <c r="E80" s="1130"/>
      <c r="F80" s="1131"/>
      <c r="G80" s="1131"/>
      <c r="H80" s="1131"/>
      <c r="I80" s="1132"/>
      <c r="J80" s="1117" t="s">
        <v>177</v>
      </c>
      <c r="K80" s="1118"/>
      <c r="L80" s="1118"/>
      <c r="M80" s="952" t="s">
        <v>178</v>
      </c>
    </row>
    <row r="81" spans="2:13" ht="12.95">
      <c r="B81" s="1274"/>
      <c r="C81" s="1134"/>
      <c r="D81" s="1135"/>
      <c r="E81" s="1133"/>
      <c r="F81" s="1134"/>
      <c r="G81" s="1134"/>
      <c r="H81" s="1134"/>
      <c r="I81" s="1135"/>
      <c r="J81" s="1117" t="s">
        <v>179</v>
      </c>
      <c r="K81" s="1118"/>
      <c r="L81" s="1118"/>
      <c r="M81" s="952">
        <f>SUM(M61:M80)</f>
        <v>0.54680000000000006</v>
      </c>
    </row>
    <row r="82" spans="2:13" ht="15.6">
      <c r="B82" s="1113" t="s">
        <v>180</v>
      </c>
      <c r="C82" s="1114"/>
      <c r="D82" s="1114"/>
      <c r="E82" s="1114"/>
      <c r="F82" s="1114"/>
      <c r="G82" s="1125" t="s">
        <v>181</v>
      </c>
      <c r="H82" s="1125"/>
      <c r="I82" s="1125"/>
      <c r="J82" s="1125"/>
      <c r="K82" s="1125"/>
      <c r="L82" s="1125"/>
      <c r="M82" s="1126"/>
    </row>
    <row r="83" spans="2:13" s="10" customFormat="1">
      <c r="B83" s="1523"/>
      <c r="C83" s="1105"/>
      <c r="D83" s="1105"/>
      <c r="E83" s="1105"/>
      <c r="F83" s="1106"/>
      <c r="G83"/>
      <c r="H83"/>
      <c r="I83"/>
      <c r="J83"/>
      <c r="K83"/>
      <c r="L83"/>
      <c r="M83" s="47"/>
    </row>
    <row r="84" spans="2:13">
      <c r="B84" s="1107"/>
      <c r="C84" s="1108"/>
      <c r="D84" s="1108"/>
      <c r="E84" s="1108"/>
      <c r="F84" s="1109"/>
      <c r="M84" s="47"/>
    </row>
    <row r="85" spans="2:13">
      <c r="B85" s="1107"/>
      <c r="C85" s="1108"/>
      <c r="D85" s="1108"/>
      <c r="E85" s="1108"/>
      <c r="F85" s="1109"/>
      <c r="M85" s="47"/>
    </row>
    <row r="86" spans="2:13">
      <c r="B86" s="1107"/>
      <c r="C86" s="1108"/>
      <c r="D86" s="1108"/>
      <c r="E86" s="1108"/>
      <c r="F86" s="1109"/>
      <c r="M86" s="47"/>
    </row>
    <row r="87" spans="2:13">
      <c r="B87" s="1107"/>
      <c r="C87" s="1108"/>
      <c r="D87" s="1108"/>
      <c r="E87" s="1108"/>
      <c r="F87" s="1109"/>
      <c r="M87" s="47"/>
    </row>
    <row r="88" spans="2:13">
      <c r="B88" s="1107"/>
      <c r="C88" s="1108"/>
      <c r="D88" s="1108"/>
      <c r="E88" s="1108"/>
      <c r="F88" s="1109"/>
      <c r="M88" s="47"/>
    </row>
    <row r="89" spans="2:13">
      <c r="B89" s="1107"/>
      <c r="C89" s="1108"/>
      <c r="D89" s="1108"/>
      <c r="E89" s="1108"/>
      <c r="F89" s="1109"/>
      <c r="M89" s="47"/>
    </row>
    <row r="90" spans="2:13">
      <c r="B90" s="1107"/>
      <c r="C90" s="1108"/>
      <c r="D90" s="1108"/>
      <c r="E90" s="1108"/>
      <c r="F90" s="1109"/>
      <c r="M90" s="47"/>
    </row>
    <row r="91" spans="2:13">
      <c r="B91" s="1107"/>
      <c r="C91" s="1108"/>
      <c r="D91" s="1108"/>
      <c r="E91" s="1108"/>
      <c r="F91" s="1109"/>
      <c r="M91" s="47"/>
    </row>
    <row r="92" spans="2:13">
      <c r="B92" s="1107"/>
      <c r="C92" s="1108"/>
      <c r="D92" s="1108"/>
      <c r="E92" s="1108"/>
      <c r="F92" s="1109"/>
      <c r="M92" s="47"/>
    </row>
    <row r="93" spans="2:13">
      <c r="B93" s="1107"/>
      <c r="C93" s="1108"/>
      <c r="D93" s="1108"/>
      <c r="E93" s="1108"/>
      <c r="F93" s="1109"/>
      <c r="M93" s="47"/>
    </row>
    <row r="94" spans="2:13">
      <c r="B94" s="1107"/>
      <c r="C94" s="1108"/>
      <c r="D94" s="1108"/>
      <c r="E94" s="1108"/>
      <c r="F94" s="1109"/>
      <c r="M94" s="47"/>
    </row>
    <row r="95" spans="2:13">
      <c r="B95" s="1107"/>
      <c r="C95" s="1108"/>
      <c r="D95" s="1108"/>
      <c r="E95" s="1108"/>
      <c r="F95" s="1109"/>
      <c r="M95" s="47"/>
    </row>
    <row r="96" spans="2:13">
      <c r="B96" s="1107"/>
      <c r="C96" s="1108"/>
      <c r="D96" s="1108"/>
      <c r="E96" s="1108"/>
      <c r="F96" s="1109"/>
      <c r="M96" s="47"/>
    </row>
    <row r="97" spans="2:13">
      <c r="B97" s="1107"/>
      <c r="C97" s="1108"/>
      <c r="D97" s="1108"/>
      <c r="E97" s="1108"/>
      <c r="F97" s="1109"/>
      <c r="M97" s="47"/>
    </row>
    <row r="98" spans="2:13">
      <c r="B98" s="1107"/>
      <c r="C98" s="1108"/>
      <c r="D98" s="1108"/>
      <c r="E98" s="1108"/>
      <c r="F98" s="1109"/>
      <c r="M98" s="47"/>
    </row>
    <row r="99" spans="2:13">
      <c r="B99" s="1107"/>
      <c r="C99" s="1108"/>
      <c r="D99" s="1108"/>
      <c r="E99" s="1108"/>
      <c r="F99" s="1109"/>
      <c r="M99" s="47"/>
    </row>
    <row r="100" spans="2:13">
      <c r="B100" s="1107"/>
      <c r="C100" s="1108"/>
      <c r="D100" s="1108"/>
      <c r="E100" s="1108"/>
      <c r="F100" s="1109"/>
      <c r="M100" s="47"/>
    </row>
    <row r="101" spans="2:13">
      <c r="B101" s="1107"/>
      <c r="C101" s="1108"/>
      <c r="D101" s="1108"/>
      <c r="E101" s="1108"/>
      <c r="F101" s="1109"/>
      <c r="M101" s="47"/>
    </row>
    <row r="102" spans="2:13">
      <c r="B102" s="1107"/>
      <c r="C102" s="1108"/>
      <c r="D102" s="1108"/>
      <c r="E102" s="1108"/>
      <c r="F102" s="1109"/>
      <c r="M102" s="47"/>
    </row>
    <row r="103" spans="2:13">
      <c r="B103" s="1107"/>
      <c r="C103" s="1108"/>
      <c r="D103" s="1108"/>
      <c r="E103" s="1108"/>
      <c r="F103" s="1109"/>
      <c r="M103" s="47"/>
    </row>
    <row r="104" spans="2:13">
      <c r="B104" s="1107"/>
      <c r="C104" s="1108"/>
      <c r="D104" s="1108"/>
      <c r="E104" s="1108"/>
      <c r="F104" s="1109"/>
      <c r="M104" s="47"/>
    </row>
    <row r="105" spans="2:13">
      <c r="B105" s="1107"/>
      <c r="C105" s="1108"/>
      <c r="D105" s="1108"/>
      <c r="E105" s="1108"/>
      <c r="F105" s="1109"/>
      <c r="M105" s="47"/>
    </row>
    <row r="106" spans="2:13" ht="12.95" thickBot="1">
      <c r="B106" s="1107"/>
      <c r="C106" s="1108"/>
      <c r="D106" s="1108"/>
      <c r="E106" s="1108"/>
      <c r="F106" s="1109"/>
      <c r="M106" s="47"/>
    </row>
    <row r="107" spans="2:13" ht="64.5" customHeight="1" thickBot="1">
      <c r="B107" s="1110"/>
      <c r="C107" s="1111"/>
      <c r="D107" s="1111"/>
      <c r="E107" s="1111"/>
      <c r="F107" s="1112"/>
      <c r="G107" s="1124" t="e" vm="1">
        <f>E2</f>
        <v>#VALUE!</v>
      </c>
      <c r="H107" s="1124"/>
      <c r="I107" s="986" t="e" vm="3">
        <f>Peers!C2</f>
        <v>#VALUE!</v>
      </c>
      <c r="J107" s="1119" t="e" vm="4">
        <f>Peers!C4</f>
        <v>#VALUE!</v>
      </c>
      <c r="K107" s="1120"/>
      <c r="L107" s="987" t="e" vm="5">
        <f>Peers!C3</f>
        <v>#VALUE!</v>
      </c>
      <c r="M107" s="988" t="e" vm="6">
        <f>Peers!C5</f>
        <v>#VALUE!</v>
      </c>
    </row>
  </sheetData>
  <mergeCells count="140">
    <mergeCell ref="J59:M59"/>
    <mergeCell ref="J12:K12"/>
    <mergeCell ref="J13:K13"/>
    <mergeCell ref="J14:K14"/>
    <mergeCell ref="J15:K15"/>
    <mergeCell ref="J16:K16"/>
    <mergeCell ref="L4:M4"/>
    <mergeCell ref="L5:M5"/>
    <mergeCell ref="L6:M6"/>
    <mergeCell ref="L7:M7"/>
    <mergeCell ref="L8:M8"/>
    <mergeCell ref="L9:M9"/>
    <mergeCell ref="L10:M10"/>
    <mergeCell ref="L11:M11"/>
    <mergeCell ref="L12:M12"/>
    <mergeCell ref="L13:M13"/>
    <mergeCell ref="L14:M14"/>
    <mergeCell ref="L15:M15"/>
    <mergeCell ref="L16:M16"/>
    <mergeCell ref="J5:K5"/>
    <mergeCell ref="J11:K11"/>
    <mergeCell ref="J55:K55"/>
    <mergeCell ref="J56:K56"/>
    <mergeCell ref="J57:K57"/>
    <mergeCell ref="B58:M58"/>
    <mergeCell ref="B72:D81"/>
    <mergeCell ref="J63:L63"/>
    <mergeCell ref="J64:L64"/>
    <mergeCell ref="J65:L65"/>
    <mergeCell ref="J66:L66"/>
    <mergeCell ref="J68:L68"/>
    <mergeCell ref="J69:L69"/>
    <mergeCell ref="J61:L61"/>
    <mergeCell ref="J62:L62"/>
    <mergeCell ref="J74:L74"/>
    <mergeCell ref="J76:L76"/>
    <mergeCell ref="J60:L60"/>
    <mergeCell ref="E71:I71"/>
    <mergeCell ref="E60:I60"/>
    <mergeCell ref="J75:L75"/>
    <mergeCell ref="J70:L70"/>
    <mergeCell ref="J71:L71"/>
    <mergeCell ref="J72:L72"/>
    <mergeCell ref="J73:L73"/>
    <mergeCell ref="B60:D60"/>
    <mergeCell ref="B71:D71"/>
    <mergeCell ref="B61:D70"/>
    <mergeCell ref="B59:I59"/>
    <mergeCell ref="J46:K46"/>
    <mergeCell ref="J47:K47"/>
    <mergeCell ref="J48:K48"/>
    <mergeCell ref="J49:K49"/>
    <mergeCell ref="J50:K50"/>
    <mergeCell ref="J51:K51"/>
    <mergeCell ref="J52:K52"/>
    <mergeCell ref="J53:K53"/>
    <mergeCell ref="J54:K54"/>
    <mergeCell ref="E2:K2"/>
    <mergeCell ref="F19:G19"/>
    <mergeCell ref="F25:G25"/>
    <mergeCell ref="J20:K20"/>
    <mergeCell ref="I21:J21"/>
    <mergeCell ref="I22:J22"/>
    <mergeCell ref="I23:J23"/>
    <mergeCell ref="I24:J24"/>
    <mergeCell ref="I25:J25"/>
    <mergeCell ref="D4:G16"/>
    <mergeCell ref="D3:G3"/>
    <mergeCell ref="H3:M3"/>
    <mergeCell ref="F18:H18"/>
    <mergeCell ref="F21:G21"/>
    <mergeCell ref="F22:G22"/>
    <mergeCell ref="F23:G23"/>
    <mergeCell ref="F24:G24"/>
    <mergeCell ref="F20:G20"/>
    <mergeCell ref="J4:K4"/>
    <mergeCell ref="J6:K6"/>
    <mergeCell ref="B17:M17"/>
    <mergeCell ref="J7:K7"/>
    <mergeCell ref="J8:K8"/>
    <mergeCell ref="J9:K9"/>
    <mergeCell ref="J10:K10"/>
    <mergeCell ref="I18:K18"/>
    <mergeCell ref="B3:C15"/>
    <mergeCell ref="C37:G37"/>
    <mergeCell ref="C40:G40"/>
    <mergeCell ref="F28:G29"/>
    <mergeCell ref="F26:G27"/>
    <mergeCell ref="H28:H29"/>
    <mergeCell ref="H26:H27"/>
    <mergeCell ref="I34:M37"/>
    <mergeCell ref="B33:G33"/>
    <mergeCell ref="I26:J26"/>
    <mergeCell ref="I27:J27"/>
    <mergeCell ref="B16:C16"/>
    <mergeCell ref="L18:M18"/>
    <mergeCell ref="B18:C18"/>
    <mergeCell ref="D18:E18"/>
    <mergeCell ref="J19:K19"/>
    <mergeCell ref="I28:J28"/>
    <mergeCell ref="I29:J29"/>
    <mergeCell ref="I30:J30"/>
    <mergeCell ref="I33:M33"/>
    <mergeCell ref="B38:G38"/>
    <mergeCell ref="C39:G39"/>
    <mergeCell ref="C34:G34"/>
    <mergeCell ref="C35:G35"/>
    <mergeCell ref="I38:M38"/>
    <mergeCell ref="B28:C28"/>
    <mergeCell ref="B32:M32"/>
    <mergeCell ref="F31:G31"/>
    <mergeCell ref="F30:G30"/>
    <mergeCell ref="H34:H37"/>
    <mergeCell ref="C36:G36"/>
    <mergeCell ref="J44:M44"/>
    <mergeCell ref="B43:M43"/>
    <mergeCell ref="I39:I40"/>
    <mergeCell ref="I41:I42"/>
    <mergeCell ref="J39:K40"/>
    <mergeCell ref="J41:K42"/>
    <mergeCell ref="L39:L40"/>
    <mergeCell ref="L41:L42"/>
    <mergeCell ref="M39:M40"/>
    <mergeCell ref="H39:H42"/>
    <mergeCell ref="C42:G42"/>
    <mergeCell ref="C41:G41"/>
    <mergeCell ref="M41:M42"/>
    <mergeCell ref="B83:F107"/>
    <mergeCell ref="B82:F82"/>
    <mergeCell ref="J77:L77"/>
    <mergeCell ref="J78:L78"/>
    <mergeCell ref="J81:L81"/>
    <mergeCell ref="J80:L80"/>
    <mergeCell ref="J107:K107"/>
    <mergeCell ref="J79:L79"/>
    <mergeCell ref="J67:L67"/>
    <mergeCell ref="G107:H107"/>
    <mergeCell ref="G82:M82"/>
    <mergeCell ref="E72:I81"/>
    <mergeCell ref="E61:I70"/>
  </mergeCells>
  <phoneticPr fontId="0" type="noConversion"/>
  <conditionalFormatting sqref="C45:C53 D45:E45">
    <cfRule type="dataBar" priority="14">
      <dataBar>
        <cfvo type="min"/>
        <cfvo type="max"/>
        <color rgb="FF63C384"/>
      </dataBar>
      <extLst>
        <ext xmlns:x14="http://schemas.microsoft.com/office/spreadsheetml/2009/9/main" uri="{B025F937-C7B1-47D3-B67F-A62EFF666E3E}">
          <x14:id>{F4773E1D-8C81-41A2-B9F2-E9E8E2054B23}</x14:id>
        </ext>
      </extLst>
    </cfRule>
  </conditionalFormatting>
  <conditionalFormatting sqref="D45:D53">
    <cfRule type="dataBar" priority="13">
      <dataBar>
        <cfvo type="min"/>
        <cfvo type="max"/>
        <color rgb="FF638EC6"/>
      </dataBar>
      <extLst>
        <ext xmlns:x14="http://schemas.microsoft.com/office/spreadsheetml/2009/9/main" uri="{B025F937-C7B1-47D3-B67F-A62EFF666E3E}">
          <x14:id>{AB45923C-EAD5-474F-8382-F5BEE7164463}</x14:id>
        </ext>
      </extLst>
    </cfRule>
  </conditionalFormatting>
  <conditionalFormatting sqref="D46:D53">
    <cfRule type="dataBar" priority="20">
      <dataBar>
        <cfvo type="min"/>
        <cfvo type="max"/>
        <color rgb="FF638EC6"/>
      </dataBar>
      <extLst>
        <ext xmlns:x14="http://schemas.microsoft.com/office/spreadsheetml/2009/9/main" uri="{B025F937-C7B1-47D3-B67F-A62EFF666E3E}">
          <x14:id>{8F05AC94-FB75-41DC-A030-BD50695363B2}</x14:id>
        </ext>
      </extLst>
    </cfRule>
    <cfRule type="dataBar" priority="22">
      <dataBar>
        <cfvo type="min"/>
        <cfvo type="max"/>
        <color rgb="FF63C384"/>
      </dataBar>
      <extLst>
        <ext xmlns:x14="http://schemas.microsoft.com/office/spreadsheetml/2009/9/main" uri="{B025F937-C7B1-47D3-B67F-A62EFF666E3E}">
          <x14:id>{16E131EF-4CFA-4C45-B407-C7FA5F1CCD58}</x14:id>
        </ext>
      </extLst>
    </cfRule>
  </conditionalFormatting>
  <conditionalFormatting sqref="E45:E53">
    <cfRule type="dataBar" priority="12">
      <dataBar>
        <cfvo type="min"/>
        <cfvo type="max"/>
        <color rgb="FFFF555A"/>
      </dataBar>
      <extLst>
        <ext xmlns:x14="http://schemas.microsoft.com/office/spreadsheetml/2009/9/main" uri="{B025F937-C7B1-47D3-B67F-A62EFF666E3E}">
          <x14:id>{4C108334-4BC4-4B0F-A919-0620BA53FECB}</x14:id>
        </ext>
      </extLst>
    </cfRule>
  </conditionalFormatting>
  <conditionalFormatting sqref="E46:E53">
    <cfRule type="dataBar" priority="15">
      <dataBar>
        <cfvo type="min"/>
        <cfvo type="max"/>
        <color rgb="FF63C384"/>
      </dataBar>
      <extLst>
        <ext xmlns:x14="http://schemas.microsoft.com/office/spreadsheetml/2009/9/main" uri="{B025F937-C7B1-47D3-B67F-A62EFF666E3E}">
          <x14:id>{3D2B4733-6086-41B3-B3A7-1CB39146AAEB}</x14:id>
        </ext>
      </extLst>
    </cfRule>
  </conditionalFormatting>
  <conditionalFormatting sqref="E54:E57 G54:G57 I54:I57">
    <cfRule type="dataBar" priority="17">
      <dataBar>
        <cfvo type="min"/>
        <cfvo type="max"/>
        <color rgb="FF638EC6"/>
      </dataBar>
      <extLst>
        <ext xmlns:x14="http://schemas.microsoft.com/office/spreadsheetml/2009/9/main" uri="{B025F937-C7B1-47D3-B67F-A62EFF666E3E}">
          <x14:id>{4382A5A4-8938-4754-913D-04C8EB3E9944}</x14:id>
        </ext>
      </extLst>
    </cfRule>
    <cfRule type="dataBar" priority="18">
      <dataBar>
        <cfvo type="min"/>
        <cfvo type="max"/>
        <color rgb="FF63C384"/>
      </dataBar>
      <extLst>
        <ext xmlns:x14="http://schemas.microsoft.com/office/spreadsheetml/2009/9/main" uri="{B025F937-C7B1-47D3-B67F-A62EFF666E3E}">
          <x14:id>{CA48BEF9-536B-483E-93D1-1D70FAC05115}</x14:id>
        </ext>
      </extLst>
    </cfRule>
  </conditionalFormatting>
  <conditionalFormatting sqref="F45:F53">
    <cfRule type="dataBar" priority="19">
      <dataBar>
        <cfvo type="min"/>
        <cfvo type="max"/>
        <color rgb="FF63C384"/>
      </dataBar>
      <extLst>
        <ext xmlns:x14="http://schemas.microsoft.com/office/spreadsheetml/2009/9/main" uri="{B025F937-C7B1-47D3-B67F-A62EFF666E3E}">
          <x14:id>{FD1FEF9A-F365-4DFE-A927-1852D99D71EB}</x14:id>
        </ext>
      </extLst>
    </cfRule>
  </conditionalFormatting>
  <conditionalFormatting sqref="G45:G53">
    <cfRule type="dataBar" priority="21">
      <dataBar>
        <cfvo type="min"/>
        <cfvo type="max"/>
        <color rgb="FF63C384"/>
      </dataBar>
      <extLst>
        <ext xmlns:x14="http://schemas.microsoft.com/office/spreadsheetml/2009/9/main" uri="{B025F937-C7B1-47D3-B67F-A62EFF666E3E}">
          <x14:id>{ADD19CCF-E818-42F8-BF99-60EF2D3A801A}</x14:id>
        </ext>
      </extLst>
    </cfRule>
  </conditionalFormatting>
  <conditionalFormatting sqref="H20">
    <cfRule type="dataBar" priority="3">
      <dataBar>
        <cfvo type="min"/>
        <cfvo type="max"/>
        <color rgb="FF638EC6"/>
      </dataBar>
      <extLst>
        <ext xmlns:x14="http://schemas.microsoft.com/office/spreadsheetml/2009/9/main" uri="{B025F937-C7B1-47D3-B67F-A62EFF666E3E}">
          <x14:id>{7158746E-E346-4808-8CC0-60A11769CCBD}</x14:id>
        </ext>
      </extLst>
    </cfRule>
  </conditionalFormatting>
  <conditionalFormatting sqref="H20:H24">
    <cfRule type="dataBar" priority="1">
      <dataBar>
        <cfvo type="min"/>
        <cfvo type="max"/>
        <color rgb="FF638EC6"/>
      </dataBar>
      <extLst>
        <ext xmlns:x14="http://schemas.microsoft.com/office/spreadsheetml/2009/9/main" uri="{B025F937-C7B1-47D3-B67F-A62EFF666E3E}">
          <x14:id>{CB1DA507-0C8E-408A-8EFA-C282712FCB7A}</x14:id>
        </ext>
      </extLst>
    </cfRule>
  </conditionalFormatting>
  <conditionalFormatting sqref="H21">
    <cfRule type="dataBar" priority="2">
      <dataBar>
        <cfvo type="min"/>
        <cfvo type="max"/>
        <color rgb="FF638EC6"/>
      </dataBar>
      <extLst>
        <ext xmlns:x14="http://schemas.microsoft.com/office/spreadsheetml/2009/9/main" uri="{B025F937-C7B1-47D3-B67F-A62EFF666E3E}">
          <x14:id>{9E7C7EFB-CB19-4496-8984-673425E45806}</x14:id>
        </ext>
      </extLst>
    </cfRule>
  </conditionalFormatting>
  <conditionalFormatting sqref="H21:H24">
    <cfRule type="dataBar" priority="11">
      <dataBar>
        <cfvo type="min"/>
        <cfvo type="max"/>
        <color rgb="FF638EC6"/>
      </dataBar>
      <extLst>
        <ext xmlns:x14="http://schemas.microsoft.com/office/spreadsheetml/2009/9/main" uri="{B025F937-C7B1-47D3-B67F-A62EFF666E3E}">
          <x14:id>{FB1A4ECC-D3E1-4C53-9ADF-103FFC3A87EE}</x14:id>
        </ext>
      </extLst>
    </cfRule>
  </conditionalFormatting>
  <conditionalFormatting sqref="H26 H28 H30:H31">
    <cfRule type="dataBar" priority="349">
      <dataBar>
        <cfvo type="min"/>
        <cfvo type="max"/>
        <color rgb="FF638EC6"/>
      </dataBar>
      <extLst>
        <ext xmlns:x14="http://schemas.microsoft.com/office/spreadsheetml/2009/9/main" uri="{B025F937-C7B1-47D3-B67F-A62EFF666E3E}">
          <x14:id>{6EB89896-7685-489D-A212-BEDCDA6C1614}</x14:id>
        </ext>
      </extLst>
    </cfRule>
  </conditionalFormatting>
  <conditionalFormatting sqref="H45:H53">
    <cfRule type="dataBar" priority="24">
      <dataBar>
        <cfvo type="min"/>
        <cfvo type="max"/>
        <color rgb="FF63C384"/>
      </dataBar>
      <extLst>
        <ext xmlns:x14="http://schemas.microsoft.com/office/spreadsheetml/2009/9/main" uri="{B025F937-C7B1-47D3-B67F-A62EFF666E3E}">
          <x14:id>{595E424D-F3AE-4040-A937-2E859AA15AD2}</x14:id>
        </ext>
      </extLst>
    </cfRule>
  </conditionalFormatting>
  <conditionalFormatting sqref="I45:I53">
    <cfRule type="dataBar" priority="16">
      <dataBar>
        <cfvo type="min"/>
        <cfvo type="max"/>
        <color rgb="FF63C384"/>
      </dataBar>
      <extLst>
        <ext xmlns:x14="http://schemas.microsoft.com/office/spreadsheetml/2009/9/main" uri="{B025F937-C7B1-47D3-B67F-A62EFF666E3E}">
          <x14:id>{60823727-C433-4BFE-A422-F2DB16A0B39B}</x14:id>
        </ext>
      </extLst>
    </cfRule>
  </conditionalFormatting>
  <conditionalFormatting sqref="J41:K42">
    <cfRule type="cellIs" dxfId="39" priority="4" operator="lessThan">
      <formula>0</formula>
    </cfRule>
    <cfRule type="cellIs" dxfId="38" priority="5" operator="greaterThan">
      <formula>0</formula>
    </cfRule>
  </conditionalFormatting>
  <conditionalFormatting sqref="M39:M42">
    <cfRule type="cellIs" dxfId="37" priority="6" operator="lessThan">
      <formula>0</formula>
    </cfRule>
    <cfRule type="cellIs" dxfId="36" priority="7" operator="greaterThan">
      <formula>0</formula>
    </cfRule>
  </conditionalFormatting>
  <printOptions horizontalCentered="1" verticalCentered="1"/>
  <pageMargins left="0" right="0" top="0.19685039370078741" bottom="0.19685039370078741" header="0" footer="0"/>
  <pageSetup paperSize="134" scale="46" orientation="landscape" r:id="rId1"/>
  <headerFooter alignWithMargins="0"/>
  <ignoredErrors>
    <ignoredError sqref="N46:S56"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F4773E1D-8C81-41A2-B9F2-E9E8E2054B23}">
            <x14:dataBar minLength="0" maxLength="100" border="1" negativeBarBorderColorSameAsPositive="0">
              <x14:cfvo type="autoMin"/>
              <x14:cfvo type="autoMax"/>
              <x14:borderColor rgb="FF63C384"/>
              <x14:negativeFillColor rgb="FFFF0000"/>
              <x14:negativeBorderColor rgb="FFFF0000"/>
              <x14:axisColor rgb="FF000000"/>
            </x14:dataBar>
          </x14:cfRule>
          <xm:sqref>C45:C53 D45:E45</xm:sqref>
        </x14:conditionalFormatting>
        <x14:conditionalFormatting xmlns:xm="http://schemas.microsoft.com/office/excel/2006/main">
          <x14:cfRule type="dataBar" id="{AB45923C-EAD5-474F-8382-F5BEE7164463}">
            <x14:dataBar minLength="0" maxLength="100" gradient="0">
              <x14:cfvo type="autoMin"/>
              <x14:cfvo type="autoMax"/>
              <x14:negativeFillColor rgb="FFFF0000"/>
              <x14:axisColor rgb="FF000000"/>
            </x14:dataBar>
          </x14:cfRule>
          <xm:sqref>D45:D53</xm:sqref>
        </x14:conditionalFormatting>
        <x14:conditionalFormatting xmlns:xm="http://schemas.microsoft.com/office/excel/2006/main">
          <x14:cfRule type="dataBar" id="{8F05AC94-FB75-41DC-A030-BD50695363B2}">
            <x14:dataBar minLength="0" maxLength="100" gradient="0">
              <x14:cfvo type="autoMin"/>
              <x14:cfvo type="autoMax"/>
              <x14:negativeFillColor rgb="FFFF0000"/>
              <x14:axisColor rgb="FF000000"/>
            </x14:dataBar>
          </x14:cfRule>
          <x14:cfRule type="dataBar" id="{16E131EF-4CFA-4C45-B407-C7FA5F1CCD58}">
            <x14:dataBar minLength="0" maxLength="100" gradient="0">
              <x14:cfvo type="autoMin"/>
              <x14:cfvo type="autoMax"/>
              <x14:negativeFillColor rgb="FFFF0000"/>
              <x14:axisColor rgb="FF000000"/>
            </x14:dataBar>
          </x14:cfRule>
          <xm:sqref>D46:D53</xm:sqref>
        </x14:conditionalFormatting>
        <x14:conditionalFormatting xmlns:xm="http://schemas.microsoft.com/office/excel/2006/main">
          <x14:cfRule type="dataBar" id="{4C108334-4BC4-4B0F-A919-0620BA53FECB}">
            <x14:dataBar minLength="0" maxLength="100" border="1" negativeBarBorderColorSameAsPositive="0">
              <x14:cfvo type="autoMin"/>
              <x14:cfvo type="autoMax"/>
              <x14:borderColor rgb="FFFF555A"/>
              <x14:negativeFillColor rgb="FFFF0000"/>
              <x14:negativeBorderColor rgb="FFFF0000"/>
              <x14:axisColor rgb="FF000000"/>
            </x14:dataBar>
          </x14:cfRule>
          <xm:sqref>E45:E53</xm:sqref>
        </x14:conditionalFormatting>
        <x14:conditionalFormatting xmlns:xm="http://schemas.microsoft.com/office/excel/2006/main">
          <x14:cfRule type="dataBar" id="{3D2B4733-6086-41B3-B3A7-1CB39146AAEB}">
            <x14:dataBar minLength="0" maxLength="100" border="1" negativeBarBorderColorSameAsPositive="0">
              <x14:cfvo type="autoMin"/>
              <x14:cfvo type="autoMax"/>
              <x14:borderColor rgb="FF63C384"/>
              <x14:negativeFillColor rgb="FFFF0000"/>
              <x14:negativeBorderColor rgb="FFFF0000"/>
              <x14:axisColor rgb="FF000000"/>
            </x14:dataBar>
          </x14:cfRule>
          <xm:sqref>E46:E53</xm:sqref>
        </x14:conditionalFormatting>
        <x14:conditionalFormatting xmlns:xm="http://schemas.microsoft.com/office/excel/2006/main">
          <x14:cfRule type="dataBar" id="{4382A5A4-8938-4754-913D-04C8EB3E9944}">
            <x14:dataBar minLength="0" maxLength="100" gradient="0">
              <x14:cfvo type="autoMin"/>
              <x14:cfvo type="autoMax"/>
              <x14:negativeFillColor rgb="FFFF0000"/>
              <x14:axisColor rgb="FF000000"/>
            </x14:dataBar>
          </x14:cfRule>
          <x14:cfRule type="dataBar" id="{CA48BEF9-536B-483E-93D1-1D70FAC05115}">
            <x14:dataBar minLength="0" maxLength="100" gradient="0">
              <x14:cfvo type="autoMin"/>
              <x14:cfvo type="autoMax"/>
              <x14:negativeFillColor rgb="FFFF0000"/>
              <x14:axisColor rgb="FF000000"/>
            </x14:dataBar>
          </x14:cfRule>
          <xm:sqref>E54:E57 G54:G57 I54:I57</xm:sqref>
        </x14:conditionalFormatting>
        <x14:conditionalFormatting xmlns:xm="http://schemas.microsoft.com/office/excel/2006/main">
          <x14:cfRule type="dataBar" id="{FD1FEF9A-F365-4DFE-A927-1852D99D71EB}">
            <x14:dataBar minLength="0" maxLength="100" gradient="0">
              <x14:cfvo type="autoMin"/>
              <x14:cfvo type="autoMax"/>
              <x14:negativeFillColor rgb="FFFF0000"/>
              <x14:axisColor rgb="FF000000"/>
            </x14:dataBar>
          </x14:cfRule>
          <xm:sqref>F45:F53</xm:sqref>
        </x14:conditionalFormatting>
        <x14:conditionalFormatting xmlns:xm="http://schemas.microsoft.com/office/excel/2006/main">
          <x14:cfRule type="dataBar" id="{ADD19CCF-E818-42F8-BF99-60EF2D3A801A}">
            <x14:dataBar minLength="0" maxLength="100" border="1" negativeBarBorderColorSameAsPositive="0">
              <x14:cfvo type="autoMin"/>
              <x14:cfvo type="autoMax"/>
              <x14:borderColor rgb="FF63C384"/>
              <x14:negativeFillColor rgb="FFFF0000"/>
              <x14:negativeBorderColor rgb="FFFF0000"/>
              <x14:axisColor rgb="FF000000"/>
            </x14:dataBar>
          </x14:cfRule>
          <xm:sqref>G45:G53</xm:sqref>
        </x14:conditionalFormatting>
        <x14:conditionalFormatting xmlns:xm="http://schemas.microsoft.com/office/excel/2006/main">
          <x14:cfRule type="dataBar" id="{7158746E-E346-4808-8CC0-60A11769CCBD}">
            <x14:dataBar minLength="0" maxLength="100" border="1" negativeBarBorderColorSameAsPositive="0">
              <x14:cfvo type="autoMin"/>
              <x14:cfvo type="autoMax"/>
              <x14:borderColor rgb="FF638EC6"/>
              <x14:negativeFillColor rgb="FFFF0000"/>
              <x14:negativeBorderColor rgb="FFFF0000"/>
              <x14:axisColor rgb="FF000000"/>
            </x14:dataBar>
          </x14:cfRule>
          <xm:sqref>H20</xm:sqref>
        </x14:conditionalFormatting>
        <x14:conditionalFormatting xmlns:xm="http://schemas.microsoft.com/office/excel/2006/main">
          <x14:cfRule type="dataBar" id="{CB1DA507-0C8E-408A-8EFA-C282712FCB7A}">
            <x14:dataBar minLength="0" maxLength="100" border="1" negativeBarBorderColorSameAsPositive="0">
              <x14:cfvo type="autoMin"/>
              <x14:cfvo type="autoMax"/>
              <x14:borderColor rgb="FF638EC6"/>
              <x14:negativeFillColor rgb="FFFF0000"/>
              <x14:negativeBorderColor rgb="FFFF0000"/>
              <x14:axisColor rgb="FF000000"/>
            </x14:dataBar>
          </x14:cfRule>
          <xm:sqref>H20:H24</xm:sqref>
        </x14:conditionalFormatting>
        <x14:conditionalFormatting xmlns:xm="http://schemas.microsoft.com/office/excel/2006/main">
          <x14:cfRule type="dataBar" id="{9E7C7EFB-CB19-4496-8984-673425E45806}">
            <x14:dataBar minLength="0" maxLength="100" border="1" negativeBarBorderColorSameAsPositive="0">
              <x14:cfvo type="autoMin"/>
              <x14:cfvo type="autoMax"/>
              <x14:borderColor rgb="FF638EC6"/>
              <x14:negativeFillColor rgb="FFFF0000"/>
              <x14:negativeBorderColor rgb="FFFF0000"/>
              <x14:axisColor rgb="FF000000"/>
            </x14:dataBar>
          </x14:cfRule>
          <xm:sqref>H21</xm:sqref>
        </x14:conditionalFormatting>
        <x14:conditionalFormatting xmlns:xm="http://schemas.microsoft.com/office/excel/2006/main">
          <x14:cfRule type="dataBar" id="{FB1A4ECC-D3E1-4C53-9ADF-103FFC3A87EE}">
            <x14:dataBar minLength="0" maxLength="100" border="1" negativeBarBorderColorSameAsPositive="0">
              <x14:cfvo type="autoMin"/>
              <x14:cfvo type="autoMax"/>
              <x14:borderColor rgb="FF638EC6"/>
              <x14:negativeFillColor rgb="FFFF0000"/>
              <x14:negativeBorderColor rgb="FFFF0000"/>
              <x14:axisColor rgb="FF000000"/>
            </x14:dataBar>
          </x14:cfRule>
          <xm:sqref>H21:H24</xm:sqref>
        </x14:conditionalFormatting>
        <x14:conditionalFormatting xmlns:xm="http://schemas.microsoft.com/office/excel/2006/main">
          <x14:cfRule type="dataBar" id="{6EB89896-7685-489D-A212-BEDCDA6C1614}">
            <x14:dataBar minLength="0" maxLength="100" border="1" negativeBarBorderColorSameAsPositive="0">
              <x14:cfvo type="autoMin"/>
              <x14:cfvo type="autoMax"/>
              <x14:borderColor rgb="FF638EC6"/>
              <x14:negativeFillColor rgb="FFFF0000"/>
              <x14:negativeBorderColor rgb="FFFF0000"/>
              <x14:axisColor rgb="FF000000"/>
            </x14:dataBar>
          </x14:cfRule>
          <xm:sqref>H26 H28 H30:H31</xm:sqref>
        </x14:conditionalFormatting>
        <x14:conditionalFormatting xmlns:xm="http://schemas.microsoft.com/office/excel/2006/main">
          <x14:cfRule type="dataBar" id="{595E424D-F3AE-4040-A937-2E859AA15AD2}">
            <x14:dataBar minLength="0" maxLength="100" border="1" negativeBarBorderColorSameAsPositive="0">
              <x14:cfvo type="autoMin"/>
              <x14:cfvo type="autoMax"/>
              <x14:borderColor rgb="FF63C384"/>
              <x14:negativeFillColor rgb="FFFF0000"/>
              <x14:negativeBorderColor rgb="FFFF0000"/>
              <x14:axisColor rgb="FF000000"/>
            </x14:dataBar>
          </x14:cfRule>
          <xm:sqref>H45:H53</xm:sqref>
        </x14:conditionalFormatting>
        <x14:conditionalFormatting xmlns:xm="http://schemas.microsoft.com/office/excel/2006/main">
          <x14:cfRule type="dataBar" id="{60823727-C433-4BFE-A422-F2DB16A0B39B}">
            <x14:dataBar minLength="0" maxLength="100" border="1" negativeBarBorderColorSameAsPositive="0">
              <x14:cfvo type="autoMin"/>
              <x14:cfvo type="autoMax"/>
              <x14:borderColor rgb="FF63C384"/>
              <x14:negativeFillColor rgb="FFFF0000"/>
              <x14:negativeBorderColor rgb="FFFF0000"/>
              <x14:axisColor rgb="FF000000"/>
            </x14:dataBar>
          </x14:cfRule>
          <xm:sqref>I45:I53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theme="9"/>
  </sheetPr>
  <dimension ref="B1:EA1048545"/>
  <sheetViews>
    <sheetView showGridLines="0" topLeftCell="A38" zoomScale="115" zoomScaleNormal="115" workbookViewId="0">
      <selection activeCell="D33" sqref="D33:H33"/>
    </sheetView>
  </sheetViews>
  <sheetFormatPr defaultColWidth="11.42578125" defaultRowHeight="12.6"/>
  <cols>
    <col min="1" max="1" width="3" customWidth="1"/>
    <col min="2" max="2" width="13" customWidth="1"/>
    <col min="3" max="3" width="16.28515625" customWidth="1"/>
    <col min="4" max="4" width="15.5703125" style="2" customWidth="1"/>
    <col min="5" max="5" width="15.5703125" customWidth="1"/>
    <col min="6" max="6" width="15.85546875" bestFit="1" customWidth="1"/>
    <col min="7" max="9" width="15.5703125" customWidth="1"/>
    <col min="10" max="10" width="15.85546875" customWidth="1"/>
    <col min="11" max="11" width="14" customWidth="1"/>
    <col min="12" max="12" width="14.42578125" customWidth="1"/>
    <col min="13" max="13" width="11.42578125" customWidth="1"/>
    <col min="14" max="14" width="16.42578125" customWidth="1"/>
    <col min="15" max="15" width="14" customWidth="1"/>
    <col min="16" max="16" width="15.42578125" customWidth="1"/>
    <col min="17" max="17" width="21" customWidth="1"/>
    <col min="18" max="18" width="24.140625" bestFit="1" customWidth="1"/>
    <col min="19" max="19" width="13.42578125" bestFit="1" customWidth="1"/>
    <col min="20" max="20" width="15" bestFit="1" customWidth="1"/>
    <col min="22" max="22" width="16" bestFit="1" customWidth="1"/>
    <col min="23" max="23" width="13.42578125" bestFit="1" customWidth="1"/>
    <col min="24" max="24" width="15" bestFit="1" customWidth="1"/>
    <col min="25" max="25" width="11.5703125" customWidth="1"/>
    <col min="26" max="26" width="16" bestFit="1" customWidth="1"/>
    <col min="27" max="27" width="13.42578125" bestFit="1" customWidth="1"/>
    <col min="33" max="33" width="1.42578125" customWidth="1"/>
    <col min="59" max="59" width="2.5703125" customWidth="1"/>
    <col min="85" max="85" width="2" customWidth="1"/>
    <col min="111" max="111" width="2" customWidth="1"/>
  </cols>
  <sheetData>
    <row r="1" spans="2:25" ht="7.5" customHeight="1"/>
    <row r="2" spans="2:25" ht="20.45" thickBot="1">
      <c r="B2" s="1383" t="str">
        <f>"Regions "&amp;"("&amp;OP!$J$19&amp;")"</f>
        <v>Regions (2023)</v>
      </c>
      <c r="C2" s="1384"/>
      <c r="D2" s="1384"/>
      <c r="E2" s="1384"/>
      <c r="F2" s="1384"/>
      <c r="G2" s="1384"/>
      <c r="H2" s="1384"/>
      <c r="I2" s="1384"/>
      <c r="J2" s="1384"/>
      <c r="K2" s="1384"/>
      <c r="L2" s="1384"/>
      <c r="M2" s="1384"/>
      <c r="N2" s="1384"/>
      <c r="O2" s="1384"/>
      <c r="P2" s="1384"/>
      <c r="Q2" s="1379" t="s">
        <v>182</v>
      </c>
      <c r="R2" s="1380"/>
      <c r="S2" s="1380"/>
      <c r="T2" s="1380"/>
      <c r="U2" s="1380"/>
      <c r="V2" s="1380"/>
      <c r="W2" s="1380"/>
      <c r="X2" s="1380"/>
      <c r="Y2" s="1381"/>
    </row>
    <row r="3" spans="2:25" ht="18.600000000000001" thickBot="1">
      <c r="B3" s="155"/>
      <c r="C3" s="156"/>
      <c r="D3" s="1385" t="s">
        <v>183</v>
      </c>
      <c r="E3" s="1385"/>
      <c r="F3" s="1385"/>
      <c r="G3" s="1385"/>
      <c r="H3" s="1385"/>
      <c r="I3" s="1386"/>
      <c r="J3" s="137"/>
      <c r="K3" s="1382" t="s">
        <v>184</v>
      </c>
      <c r="L3" s="1382"/>
      <c r="M3" s="1382"/>
      <c r="N3" s="1382"/>
      <c r="O3" s="1382"/>
      <c r="P3" s="1382"/>
      <c r="Q3" s="1387"/>
      <c r="R3" s="1388"/>
      <c r="S3" s="1388"/>
      <c r="T3" s="1388"/>
      <c r="U3" s="1388"/>
      <c r="V3" s="1388"/>
      <c r="W3" s="1388"/>
      <c r="X3" s="1388"/>
      <c r="Y3" s="1389"/>
    </row>
    <row r="4" spans="2:25" ht="13.5" thickBot="1">
      <c r="B4" s="143" t="s">
        <v>185</v>
      </c>
      <c r="C4" s="144" t="s">
        <v>186</v>
      </c>
      <c r="D4" s="145">
        <f>OP!J19</f>
        <v>2023</v>
      </c>
      <c r="E4" s="145">
        <f>D4-1</f>
        <v>2022</v>
      </c>
      <c r="F4" s="145">
        <f>E4-1</f>
        <v>2021</v>
      </c>
      <c r="G4" s="145">
        <f>F4-1</f>
        <v>2020</v>
      </c>
      <c r="H4" s="145">
        <f>G4-1</f>
        <v>2019</v>
      </c>
      <c r="I4" s="145">
        <f>H4-1</f>
        <v>2018</v>
      </c>
      <c r="J4" s="138"/>
      <c r="K4" s="145">
        <f>OP!J19</f>
        <v>2023</v>
      </c>
      <c r="L4" s="145">
        <f t="shared" ref="L4:P4" si="0">K4-1</f>
        <v>2022</v>
      </c>
      <c r="M4" s="145">
        <f t="shared" si="0"/>
        <v>2021</v>
      </c>
      <c r="N4" s="145">
        <f t="shared" si="0"/>
        <v>2020</v>
      </c>
      <c r="O4" s="145">
        <f t="shared" si="0"/>
        <v>2019</v>
      </c>
      <c r="P4" s="157">
        <f t="shared" si="0"/>
        <v>2018</v>
      </c>
      <c r="Q4" s="1387"/>
      <c r="R4" s="1388"/>
      <c r="S4" s="1388"/>
      <c r="T4" s="1388"/>
      <c r="U4" s="1388"/>
      <c r="V4" s="1388"/>
      <c r="W4" s="1388"/>
      <c r="X4" s="1388"/>
      <c r="Y4" s="1389"/>
    </row>
    <row r="5" spans="2:25" ht="12.95">
      <c r="B5" s="141">
        <f>IFERROR(D5/$D$13,"")</f>
        <v>0.8378437443088691</v>
      </c>
      <c r="C5" s="142" t="s">
        <v>187</v>
      </c>
      <c r="D5" s="692">
        <v>4600.6000000000004</v>
      </c>
      <c r="E5" s="692">
        <v>4290.7</v>
      </c>
      <c r="F5" s="692">
        <v>3837.5</v>
      </c>
      <c r="G5" s="692">
        <v>2931.5</v>
      </c>
      <c r="H5" s="692">
        <v>3665</v>
      </c>
      <c r="I5" s="692">
        <v>3656.9</v>
      </c>
      <c r="J5" s="139"/>
      <c r="K5" s="266">
        <f t="shared" ref="K5:O10" si="1">(D5-E5)/E5</f>
        <v>7.2225977113291664E-2</v>
      </c>
      <c r="L5" s="266">
        <f t="shared" si="1"/>
        <v>0.1180977198697068</v>
      </c>
      <c r="M5" s="266">
        <f t="shared" si="1"/>
        <v>0.30905679686167492</v>
      </c>
      <c r="N5" s="266">
        <f t="shared" si="1"/>
        <v>-0.20013642564802184</v>
      </c>
      <c r="O5" s="266">
        <f t="shared" si="1"/>
        <v>2.214990839235393E-3</v>
      </c>
      <c r="P5" s="266" t="s">
        <v>68</v>
      </c>
      <c r="Q5" s="1387"/>
      <c r="R5" s="1388"/>
      <c r="S5" s="1388"/>
      <c r="T5" s="1388"/>
      <c r="U5" s="1388"/>
      <c r="V5" s="1388"/>
      <c r="W5" s="1388"/>
      <c r="X5" s="1388"/>
      <c r="Y5" s="1389"/>
    </row>
    <row r="6" spans="2:25" ht="12.95">
      <c r="B6" s="141">
        <f>IFERROR(D6/$D$13,"")</f>
        <v>9.504643962848297E-2</v>
      </c>
      <c r="C6" s="142" t="s">
        <v>188</v>
      </c>
      <c r="D6" s="692">
        <v>521.9</v>
      </c>
      <c r="E6" s="692">
        <v>415.3</v>
      </c>
      <c r="F6" s="692">
        <v>447</v>
      </c>
      <c r="G6" s="692">
        <v>311.60000000000002</v>
      </c>
      <c r="H6" s="692">
        <v>317.60000000000002</v>
      </c>
      <c r="I6" s="692">
        <v>279.2</v>
      </c>
      <c r="J6" s="139"/>
      <c r="K6" s="266">
        <f t="shared" ref="K6:O9" si="2">(D6-E6)/E6</f>
        <v>0.2566819166867324</v>
      </c>
      <c r="L6" s="266">
        <f t="shared" si="2"/>
        <v>-7.0917225950782967E-2</v>
      </c>
      <c r="M6" s="266">
        <f t="shared" si="2"/>
        <v>0.43453145057766357</v>
      </c>
      <c r="N6" s="266">
        <f t="shared" si="2"/>
        <v>-1.8891687657430729E-2</v>
      </c>
      <c r="O6" s="266">
        <f t="shared" si="2"/>
        <v>0.13753581661891132</v>
      </c>
      <c r="P6" s="266" t="s">
        <v>68</v>
      </c>
      <c r="Q6" s="1387"/>
      <c r="R6" s="1388"/>
      <c r="S6" s="1388"/>
      <c r="T6" s="1388"/>
      <c r="U6" s="1388"/>
      <c r="V6" s="1388"/>
      <c r="W6" s="1388"/>
      <c r="X6" s="1388"/>
      <c r="Y6" s="1389"/>
    </row>
    <row r="7" spans="2:25" ht="12.95">
      <c r="B7" s="141">
        <f>IFERROR(D7/$D$13,"")</f>
        <v>4.6439628482972138E-2</v>
      </c>
      <c r="C7" s="142" t="s">
        <v>189</v>
      </c>
      <c r="D7" s="692">
        <v>255</v>
      </c>
      <c r="E7" s="692">
        <v>235.6</v>
      </c>
      <c r="F7" s="692">
        <v>247</v>
      </c>
      <c r="G7" s="692">
        <v>215.8</v>
      </c>
      <c r="H7" s="692">
        <v>189.9</v>
      </c>
      <c r="I7" s="692">
        <v>138.69999999999999</v>
      </c>
      <c r="J7" s="139"/>
      <c r="K7" s="266">
        <f t="shared" si="2"/>
        <v>8.2342954159592557E-2</v>
      </c>
      <c r="L7" s="266">
        <f t="shared" si="2"/>
        <v>-4.6153846153846177E-2</v>
      </c>
      <c r="M7" s="266">
        <f t="shared" si="2"/>
        <v>0.14457831325301199</v>
      </c>
      <c r="N7" s="266">
        <f t="shared" si="2"/>
        <v>0.13638757240652977</v>
      </c>
      <c r="O7" s="266">
        <f t="shared" si="2"/>
        <v>0.36914203316510469</v>
      </c>
      <c r="P7" s="266" t="s">
        <v>68</v>
      </c>
      <c r="Q7" s="1387"/>
      <c r="R7" s="1388"/>
      <c r="S7" s="1388"/>
      <c r="T7" s="1388"/>
      <c r="U7" s="1388"/>
      <c r="V7" s="1388"/>
      <c r="W7" s="1388"/>
      <c r="X7" s="1388"/>
      <c r="Y7" s="1389"/>
    </row>
    <row r="8" spans="2:25" ht="12.95">
      <c r="B8" s="141">
        <f>IFERROR(D8/$D$13,"")</f>
        <v>7.6306683664177739E-3</v>
      </c>
      <c r="C8" s="142" t="s">
        <v>190</v>
      </c>
      <c r="D8" s="692">
        <v>41.9</v>
      </c>
      <c r="E8" s="692">
        <v>48.5</v>
      </c>
      <c r="F8" s="692">
        <v>53</v>
      </c>
      <c r="G8" s="692">
        <v>43.3</v>
      </c>
      <c r="H8" s="692">
        <v>58.3</v>
      </c>
      <c r="I8" s="692">
        <v>56.1</v>
      </c>
      <c r="J8" s="139"/>
      <c r="K8" s="266">
        <f t="shared" si="2"/>
        <v>-0.13608247422680414</v>
      </c>
      <c r="L8" s="266">
        <f t="shared" si="2"/>
        <v>-8.4905660377358486E-2</v>
      </c>
      <c r="M8" s="266">
        <f t="shared" si="2"/>
        <v>0.22401847575057746</v>
      </c>
      <c r="N8" s="266">
        <f t="shared" si="2"/>
        <v>-0.25728987993138935</v>
      </c>
      <c r="O8" s="266">
        <f t="shared" si="2"/>
        <v>3.9215686274509727E-2</v>
      </c>
      <c r="P8" s="266" t="s">
        <v>68</v>
      </c>
      <c r="Q8" s="1387"/>
      <c r="R8" s="1388"/>
      <c r="S8" s="1388"/>
      <c r="T8" s="1388"/>
      <c r="U8" s="1388"/>
      <c r="V8" s="1388"/>
      <c r="W8" s="1388"/>
      <c r="X8" s="1388"/>
      <c r="Y8" s="1389"/>
    </row>
    <row r="9" spans="2:25" ht="13.5" thickBot="1">
      <c r="B9" s="141">
        <f>IFERROR(D9/$D$13,"")</f>
        <v>1.3039519213258058E-2</v>
      </c>
      <c r="C9" s="142" t="s">
        <v>191</v>
      </c>
      <c r="D9" s="692">
        <v>71.599999999999994</v>
      </c>
      <c r="E9" s="692">
        <v>43.9</v>
      </c>
      <c r="F9" s="692">
        <v>41.4</v>
      </c>
      <c r="G9" s="692">
        <v>32.200000000000003</v>
      </c>
      <c r="H9" s="692">
        <v>35.4</v>
      </c>
      <c r="I9" s="692">
        <v>36.5</v>
      </c>
      <c r="J9" s="139"/>
      <c r="K9" s="266">
        <f t="shared" si="2"/>
        <v>0.63097949886104776</v>
      </c>
      <c r="L9" s="266">
        <f t="shared" si="2"/>
        <v>6.0386473429951695E-2</v>
      </c>
      <c r="M9" s="266">
        <f t="shared" si="2"/>
        <v>0.28571428571428553</v>
      </c>
      <c r="N9" s="266">
        <f t="shared" si="2"/>
        <v>-9.0395480225988589E-2</v>
      </c>
      <c r="O9" s="266">
        <f t="shared" si="2"/>
        <v>-3.0136986301369902E-2</v>
      </c>
      <c r="P9" s="266" t="s">
        <v>68</v>
      </c>
      <c r="Q9" s="1387"/>
      <c r="R9" s="1388"/>
      <c r="S9" s="1388"/>
      <c r="T9" s="1388"/>
      <c r="U9" s="1388"/>
      <c r="V9" s="1388"/>
      <c r="W9" s="1388"/>
      <c r="X9" s="1388"/>
      <c r="Y9" s="1389"/>
    </row>
    <row r="10" spans="2:25" ht="13.7" hidden="1" customHeight="1">
      <c r="B10" s="141">
        <f t="shared" ref="B10" si="3">IFERROR(D10/$D$13,"")</f>
        <v>0</v>
      </c>
      <c r="C10" s="131"/>
      <c r="D10" s="712"/>
      <c r="E10" s="712"/>
      <c r="F10" s="712"/>
      <c r="G10" s="712"/>
      <c r="H10" s="712"/>
      <c r="I10" s="712"/>
      <c r="J10" s="139"/>
      <c r="K10" s="266" t="e">
        <f t="shared" si="1"/>
        <v>#DIV/0!</v>
      </c>
      <c r="L10" s="266" t="e">
        <f t="shared" si="1"/>
        <v>#DIV/0!</v>
      </c>
      <c r="M10" s="266" t="e">
        <f t="shared" si="1"/>
        <v>#DIV/0!</v>
      </c>
      <c r="N10" s="266" t="e">
        <f t="shared" si="1"/>
        <v>#DIV/0!</v>
      </c>
      <c r="O10" s="266" t="e">
        <f t="shared" si="1"/>
        <v>#DIV/0!</v>
      </c>
      <c r="P10" s="266" t="s">
        <v>68</v>
      </c>
      <c r="Q10" s="1387"/>
      <c r="R10" s="1388"/>
      <c r="S10" s="1388"/>
      <c r="T10" s="1388"/>
      <c r="U10" s="1388"/>
      <c r="V10" s="1388"/>
      <c r="W10" s="1388"/>
      <c r="X10" s="1388"/>
      <c r="Y10" s="1389"/>
    </row>
    <row r="11" spans="2:25" ht="13.7" hidden="1" customHeight="1">
      <c r="B11" s="132">
        <f>IFERROR(D11/$D$13,"")</f>
        <v>0</v>
      </c>
      <c r="C11" s="131"/>
      <c r="D11" s="712"/>
      <c r="E11" s="712"/>
      <c r="F11" s="712"/>
      <c r="G11" s="712"/>
      <c r="H11" s="712"/>
      <c r="I11" s="712"/>
      <c r="J11" s="139"/>
      <c r="K11" s="135"/>
      <c r="L11" s="135"/>
      <c r="M11" s="135"/>
      <c r="N11" s="135"/>
      <c r="O11" s="135"/>
      <c r="P11" s="158"/>
      <c r="Q11" s="1387"/>
      <c r="R11" s="1388"/>
      <c r="S11" s="1388"/>
      <c r="T11" s="1388"/>
      <c r="U11" s="1388"/>
      <c r="V11" s="1388"/>
      <c r="W11" s="1388"/>
      <c r="X11" s="1388"/>
      <c r="Y11" s="1389"/>
    </row>
    <row r="12" spans="2:25" ht="13.7" hidden="1" customHeight="1" thickBot="1">
      <c r="B12" s="133">
        <f>IFERROR(D12/$D$13,"")</f>
        <v>0</v>
      </c>
      <c r="C12" s="146"/>
      <c r="D12" s="713"/>
      <c r="E12" s="713"/>
      <c r="F12" s="713"/>
      <c r="G12" s="713"/>
      <c r="H12" s="713"/>
      <c r="I12" s="713"/>
      <c r="J12" s="139"/>
      <c r="K12" s="136"/>
      <c r="L12" s="136"/>
      <c r="M12" s="136"/>
      <c r="N12" s="136"/>
      <c r="O12" s="136"/>
      <c r="P12" s="159"/>
      <c r="Q12" s="1387"/>
      <c r="R12" s="1388"/>
      <c r="S12" s="1388"/>
      <c r="T12" s="1388"/>
      <c r="U12" s="1388"/>
      <c r="V12" s="1388"/>
      <c r="W12" s="1388"/>
      <c r="X12" s="1388"/>
      <c r="Y12" s="1389"/>
    </row>
    <row r="13" spans="2:25" ht="13.5" thickBot="1">
      <c r="B13" s="134">
        <f>SUM(B5:B12)</f>
        <v>1</v>
      </c>
      <c r="C13" s="561" t="s">
        <v>179</v>
      </c>
      <c r="D13" s="693">
        <f t="shared" ref="D13:I13" si="4">SUM(D5:D12)</f>
        <v>5491</v>
      </c>
      <c r="E13" s="694">
        <f t="shared" si="4"/>
        <v>5034</v>
      </c>
      <c r="F13" s="694">
        <f t="shared" si="4"/>
        <v>4625.8999999999996</v>
      </c>
      <c r="G13" s="694">
        <f t="shared" si="4"/>
        <v>3534.4</v>
      </c>
      <c r="H13" s="694">
        <f t="shared" si="4"/>
        <v>4266.2</v>
      </c>
      <c r="I13" s="695">
        <f t="shared" si="4"/>
        <v>4167.3999999999996</v>
      </c>
      <c r="J13" s="562"/>
      <c r="K13" s="268">
        <f>(D13-E13)/E13</f>
        <v>9.078267779102106E-2</v>
      </c>
      <c r="L13" s="268">
        <f>(E13-F13)/F13</f>
        <v>8.8220670572213056E-2</v>
      </c>
      <c r="M13" s="268">
        <f>(F13-G13)/G13</f>
        <v>0.30882186509732895</v>
      </c>
      <c r="N13" s="268">
        <f t="shared" ref="N13:O13" si="5">(G13-H13)/H13</f>
        <v>-0.17153438657353143</v>
      </c>
      <c r="O13" s="268">
        <f t="shared" si="5"/>
        <v>2.370782742237371E-2</v>
      </c>
      <c r="P13" s="268" t="s">
        <v>68</v>
      </c>
      <c r="Q13" s="1387"/>
      <c r="R13" s="1388"/>
      <c r="S13" s="1388"/>
      <c r="T13" s="1388"/>
      <c r="U13" s="1388"/>
      <c r="V13" s="1388"/>
      <c r="W13" s="1388"/>
      <c r="X13" s="1388"/>
      <c r="Y13" s="1389"/>
    </row>
    <row r="14" spans="2:25" ht="12.95">
      <c r="B14" s="153"/>
      <c r="C14" s="6"/>
      <c r="D14" s="14"/>
      <c r="E14" s="14"/>
      <c r="F14" s="14"/>
      <c r="G14" s="14"/>
      <c r="H14" s="14"/>
      <c r="I14" s="14"/>
      <c r="J14" s="14"/>
      <c r="K14" s="14"/>
      <c r="L14" s="14"/>
      <c r="M14" s="14"/>
      <c r="N14" s="14"/>
      <c r="O14" s="14"/>
      <c r="P14" s="14"/>
      <c r="Q14" s="1387"/>
      <c r="R14" s="1388"/>
      <c r="S14" s="1388"/>
      <c r="T14" s="1388"/>
      <c r="U14" s="1388"/>
      <c r="V14" s="1388"/>
      <c r="W14" s="1388"/>
      <c r="X14" s="1388"/>
      <c r="Y14" s="1389"/>
    </row>
    <row r="15" spans="2:25" ht="20.45" thickBot="1">
      <c r="B15" s="1383" t="str">
        <f>"Categories "&amp;"("&amp;OP!$J$19&amp;")"</f>
        <v>Categories (2023)</v>
      </c>
      <c r="C15" s="1384"/>
      <c r="D15" s="1384"/>
      <c r="E15" s="1384"/>
      <c r="F15" s="1384"/>
      <c r="G15" s="1384"/>
      <c r="H15" s="1384"/>
      <c r="I15" s="1384"/>
      <c r="J15" s="1384"/>
      <c r="K15" s="1384"/>
      <c r="L15" s="1384"/>
      <c r="M15" s="1384"/>
      <c r="N15" s="1384"/>
      <c r="O15" s="1384"/>
      <c r="P15" s="1384"/>
      <c r="Q15" s="1387"/>
      <c r="R15" s="1388"/>
      <c r="S15" s="1388"/>
      <c r="T15" s="1388"/>
      <c r="U15" s="1388"/>
      <c r="V15" s="1388"/>
      <c r="W15" s="1388"/>
      <c r="X15" s="1388"/>
      <c r="Y15" s="1389"/>
    </row>
    <row r="16" spans="2:25" ht="20.45" thickBot="1">
      <c r="B16" s="155"/>
      <c r="C16" s="156"/>
      <c r="D16" s="1320" t="s">
        <v>183</v>
      </c>
      <c r="E16" s="1321"/>
      <c r="F16" s="1321"/>
      <c r="G16" s="1321"/>
      <c r="H16" s="1321"/>
      <c r="I16" s="1322"/>
      <c r="J16" s="137"/>
      <c r="K16" s="1314" t="s">
        <v>184</v>
      </c>
      <c r="L16" s="1315"/>
      <c r="M16" s="1315"/>
      <c r="N16" s="1315"/>
      <c r="O16" s="1315"/>
      <c r="P16" s="1315"/>
      <c r="Q16" s="1387"/>
      <c r="R16" s="1388"/>
      <c r="S16" s="1388"/>
      <c r="T16" s="1388"/>
      <c r="U16" s="1388"/>
      <c r="V16" s="1388"/>
      <c r="W16" s="1388"/>
      <c r="X16" s="1388"/>
      <c r="Y16" s="1389"/>
    </row>
    <row r="17" spans="2:25" ht="13.5" thickBot="1">
      <c r="B17" s="154" t="s">
        <v>185</v>
      </c>
      <c r="C17" s="127" t="s">
        <v>192</v>
      </c>
      <c r="D17" s="145">
        <f>OP!J19</f>
        <v>2023</v>
      </c>
      <c r="E17" s="145">
        <f>D17-1</f>
        <v>2022</v>
      </c>
      <c r="F17" s="145">
        <f>E17-1</f>
        <v>2021</v>
      </c>
      <c r="G17" s="145">
        <f>F17-1</f>
        <v>2020</v>
      </c>
      <c r="H17" s="145">
        <f>G17-1</f>
        <v>2019</v>
      </c>
      <c r="I17" s="145">
        <f>H17-1</f>
        <v>2018</v>
      </c>
      <c r="J17" s="138"/>
      <c r="K17" s="140">
        <f>OP!J19</f>
        <v>2023</v>
      </c>
      <c r="L17" s="140">
        <f t="shared" ref="L17:P17" si="6">K17-1</f>
        <v>2022</v>
      </c>
      <c r="M17" s="140">
        <f t="shared" si="6"/>
        <v>2021</v>
      </c>
      <c r="N17" s="140">
        <f t="shared" si="6"/>
        <v>2020</v>
      </c>
      <c r="O17" s="140">
        <f t="shared" si="6"/>
        <v>2019</v>
      </c>
      <c r="P17" s="160">
        <f t="shared" si="6"/>
        <v>2018</v>
      </c>
      <c r="Q17" s="1387"/>
      <c r="R17" s="1388"/>
      <c r="S17" s="1388"/>
      <c r="T17" s="1388"/>
      <c r="U17" s="1388"/>
      <c r="V17" s="1388"/>
      <c r="W17" s="1388"/>
      <c r="X17" s="1388"/>
      <c r="Y17" s="1389"/>
    </row>
    <row r="18" spans="2:25" ht="13.5" thickBot="1">
      <c r="B18" s="141">
        <f>IFERROR(D18/$D$22,"")</f>
        <v>0.52839191404115826</v>
      </c>
      <c r="C18" s="130" t="s">
        <v>193</v>
      </c>
      <c r="D18" s="692">
        <f>2911.9-10.5</f>
        <v>2901.4</v>
      </c>
      <c r="E18" s="692">
        <f>2744.2-0.6</f>
        <v>2743.6</v>
      </c>
      <c r="F18" s="692">
        <f>2874.4</f>
        <v>2874.4</v>
      </c>
      <c r="G18" s="692">
        <f>2279.5</f>
        <v>2279.5</v>
      </c>
      <c r="H18" s="692">
        <f>2056.3-1.6</f>
        <v>2054.7000000000003</v>
      </c>
      <c r="I18" s="692">
        <f>1864.6</f>
        <v>1864.6</v>
      </c>
      <c r="J18" s="139"/>
      <c r="K18" s="269">
        <f>(D18-E18)/E18</f>
        <v>5.7515672838606278E-2</v>
      </c>
      <c r="L18" s="269">
        <f t="shared" ref="L18:O22" si="7">(E18-F18)/F18</f>
        <v>-4.5505148900640197E-2</v>
      </c>
      <c r="M18" s="269">
        <f t="shared" si="7"/>
        <v>0.26097828471155959</v>
      </c>
      <c r="N18" s="269">
        <f t="shared" si="7"/>
        <v>0.10940769942083987</v>
      </c>
      <c r="O18" s="269">
        <f t="shared" si="7"/>
        <v>0.10195216132146324</v>
      </c>
      <c r="P18" s="269" t="s">
        <v>68</v>
      </c>
      <c r="Q18" s="1387"/>
      <c r="R18" s="1388"/>
      <c r="S18" s="1388"/>
      <c r="T18" s="1388"/>
      <c r="U18" s="1388"/>
      <c r="V18" s="1388"/>
      <c r="W18" s="1388"/>
      <c r="X18" s="1388"/>
      <c r="Y18" s="1389"/>
    </row>
    <row r="19" spans="2:25" ht="12.95">
      <c r="B19" s="141">
        <f>IFERROR(D19/$D$22,"")</f>
        <v>0.33576761974139496</v>
      </c>
      <c r="C19" s="480" t="s">
        <v>194</v>
      </c>
      <c r="D19" s="692">
        <f>1844.6-0.9</f>
        <v>1843.6999999999998</v>
      </c>
      <c r="E19" s="692">
        <f>1849.5-0.4</f>
        <v>1849.1</v>
      </c>
      <c r="F19" s="692">
        <f>1426.1-0.2+49.2</f>
        <v>1475.1</v>
      </c>
      <c r="G19" s="692">
        <f>952.2-0.3+33.2</f>
        <v>985.10000000000014</v>
      </c>
      <c r="H19" s="692">
        <f>1851.5-3.3+56.9</f>
        <v>1905.1000000000001</v>
      </c>
      <c r="I19" s="692">
        <f>1960.5-4.6+62.2</f>
        <v>2018.1000000000001</v>
      </c>
      <c r="J19" s="139"/>
      <c r="K19" s="269">
        <f>(D19-E19)/E19</f>
        <v>-2.9203396246823272E-3</v>
      </c>
      <c r="L19" s="269">
        <f t="shared" ref="L19" si="8">(E19-F19)/F19</f>
        <v>0.25354213273676363</v>
      </c>
      <c r="M19" s="269">
        <f t="shared" ref="M19" si="9">(F19-G19)/G19</f>
        <v>0.4974114303116432</v>
      </c>
      <c r="N19" s="269">
        <f t="shared" ref="N19" si="10">(G19-H19)/H19</f>
        <v>-0.48291428271481807</v>
      </c>
      <c r="O19" s="269">
        <f t="shared" ref="O19" si="11">(H19-I19)/I19</f>
        <v>-5.5993260988058069E-2</v>
      </c>
      <c r="P19" s="481" t="s">
        <v>68</v>
      </c>
      <c r="Q19" s="1387"/>
      <c r="R19" s="1388"/>
      <c r="S19" s="1388"/>
      <c r="T19" s="1388"/>
      <c r="U19" s="1388"/>
      <c r="V19" s="1388"/>
      <c r="W19" s="1388"/>
      <c r="X19" s="1388"/>
      <c r="Y19" s="1389"/>
    </row>
    <row r="20" spans="2:25" ht="12.95">
      <c r="B20" s="141">
        <f>IFERROR(D20/$D$22,"")</f>
        <v>5.3305408850846836E-2</v>
      </c>
      <c r="C20" s="131" t="s">
        <v>195</v>
      </c>
      <c r="D20" s="692">
        <f>292.7</f>
        <v>292.7</v>
      </c>
      <c r="E20" s="692">
        <f>274.4</f>
        <v>274.39999999999998</v>
      </c>
      <c r="F20" s="692">
        <v>249.4</v>
      </c>
      <c r="G20" s="692">
        <v>250.3</v>
      </c>
      <c r="H20" s="692">
        <v>268.7</v>
      </c>
      <c r="I20" s="692">
        <f>250.3</f>
        <v>250.3</v>
      </c>
      <c r="J20" s="139"/>
      <c r="K20" s="270">
        <f t="shared" ref="K20:K21" si="12">(D20-E20)/E20</f>
        <v>6.6690962099125409E-2</v>
      </c>
      <c r="L20" s="270">
        <f>(E20-F20)/F20</f>
        <v>0.10024057738572563</v>
      </c>
      <c r="M20" s="270">
        <f>(F20-G20)/G20</f>
        <v>-3.5956851777866785E-3</v>
      </c>
      <c r="N20" s="270">
        <f t="shared" si="7"/>
        <v>-6.8477856345366503E-2</v>
      </c>
      <c r="O20" s="270">
        <f t="shared" si="7"/>
        <v>7.3511785856971545E-2</v>
      </c>
      <c r="P20" s="270" t="s">
        <v>68</v>
      </c>
      <c r="Q20" s="1387"/>
      <c r="R20" s="1388"/>
      <c r="S20" s="1388"/>
      <c r="T20" s="1388"/>
      <c r="U20" s="1388"/>
      <c r="V20" s="1388"/>
      <c r="W20" s="1388"/>
      <c r="X20" s="1388"/>
      <c r="Y20" s="1389"/>
    </row>
    <row r="21" spans="2:25" ht="13.5" thickBot="1">
      <c r="B21" s="141">
        <f>IFERROR(D21/$D$22,"")</f>
        <v>8.2535057366599898E-2</v>
      </c>
      <c r="C21" s="131" t="s">
        <v>196</v>
      </c>
      <c r="D21" s="692">
        <f>363.8+192.4+543.8-170.9-475.9</f>
        <v>453.20000000000005</v>
      </c>
      <c r="E21" s="692">
        <f>75.7+175+602.5-156.1-530.2</f>
        <v>166.89999999999998</v>
      </c>
      <c r="F21" s="692">
        <f>134.1-130.3+1-0.8+180-167.3+495.5-485.2</f>
        <v>26.999999999999943</v>
      </c>
      <c r="G21" s="692">
        <f>401.4-394.6+79.3-74.1+0.7-0.6+200.6-193.2</f>
        <v>19.499999999999972</v>
      </c>
      <c r="H21" s="692">
        <f>542.9-533.4+94.9-81.8+211.3-196.2</f>
        <v>37.700000000000045</v>
      </c>
      <c r="I21" s="692">
        <f>550.1-543.2+95.4-80.4+215.4-202.9</f>
        <v>34.399999999999977</v>
      </c>
      <c r="J21" s="139"/>
      <c r="K21" s="270">
        <f t="shared" si="12"/>
        <v>1.7153984421809474</v>
      </c>
      <c r="L21" s="270">
        <f>(E21-F21)/F21</f>
        <v>5.1814814814814936</v>
      </c>
      <c r="M21" s="270">
        <f>(F21-G21)/G21</f>
        <v>0.38461538461538369</v>
      </c>
      <c r="N21" s="270">
        <f t="shared" si="7"/>
        <v>-0.48275862068965653</v>
      </c>
      <c r="O21" s="270">
        <f t="shared" si="7"/>
        <v>9.5930232558141579E-2</v>
      </c>
      <c r="P21" s="270" t="s">
        <v>68</v>
      </c>
      <c r="Q21" s="1387"/>
      <c r="R21" s="1388"/>
      <c r="S21" s="1388"/>
      <c r="T21" s="1388"/>
      <c r="U21" s="1388"/>
      <c r="V21" s="1388"/>
      <c r="W21" s="1388"/>
      <c r="X21" s="1388"/>
      <c r="Y21" s="1389"/>
    </row>
    <row r="22" spans="2:25" ht="13.5" thickBot="1">
      <c r="B22" s="134">
        <f>SUM(B18:B21)</f>
        <v>1</v>
      </c>
      <c r="C22" s="561" t="s">
        <v>179</v>
      </c>
      <c r="D22" s="693">
        <f t="shared" ref="D22:I22" si="13">SUM(D18:D21)</f>
        <v>5491</v>
      </c>
      <c r="E22" s="694">
        <f t="shared" si="13"/>
        <v>5033.9999999999991</v>
      </c>
      <c r="F22" s="694">
        <f t="shared" si="13"/>
        <v>4625.8999999999996</v>
      </c>
      <c r="G22" s="694">
        <f t="shared" si="13"/>
        <v>3534.4000000000005</v>
      </c>
      <c r="H22" s="694">
        <f t="shared" si="13"/>
        <v>4266.2</v>
      </c>
      <c r="I22" s="695">
        <f t="shared" si="13"/>
        <v>4167.3999999999996</v>
      </c>
      <c r="J22" s="562"/>
      <c r="K22" s="267">
        <f>(D22-E22)/E22</f>
        <v>9.0782677791021255E-2</v>
      </c>
      <c r="L22" s="268">
        <f t="shared" si="7"/>
        <v>8.8220670572212861E-2</v>
      </c>
      <c r="M22" s="268">
        <f t="shared" ref="M22" si="14">(F22-G22)/G22</f>
        <v>0.30882186509732878</v>
      </c>
      <c r="N22" s="268">
        <f t="shared" ref="N22" si="15">(G22-H22)/H22</f>
        <v>-0.17153438657353132</v>
      </c>
      <c r="O22" s="268">
        <f t="shared" ref="O22" si="16">(H22-I22)/I22</f>
        <v>2.370782742237371E-2</v>
      </c>
      <c r="P22" s="268" t="s">
        <v>68</v>
      </c>
      <c r="Q22" s="1387"/>
      <c r="R22" s="1388"/>
      <c r="S22" s="1388"/>
      <c r="T22" s="1388"/>
      <c r="U22" s="1388"/>
      <c r="V22" s="1388"/>
      <c r="W22" s="1388"/>
      <c r="X22" s="1388"/>
      <c r="Y22" s="1389"/>
    </row>
    <row r="23" spans="2:25" ht="12.95">
      <c r="B23" s="153"/>
      <c r="C23" s="6"/>
      <c r="D23" s="14"/>
      <c r="E23" s="14"/>
      <c r="F23" s="14"/>
      <c r="G23" s="14"/>
      <c r="H23" s="14"/>
      <c r="I23" s="14"/>
      <c r="J23" s="14"/>
      <c r="K23" s="14"/>
      <c r="L23" s="14"/>
      <c r="M23" s="14"/>
      <c r="N23" s="14"/>
      <c r="O23" s="14"/>
      <c r="P23" s="14"/>
      <c r="Q23" s="1387"/>
      <c r="R23" s="1388"/>
      <c r="S23" s="1388"/>
      <c r="T23" s="1388"/>
      <c r="U23" s="1388"/>
      <c r="V23" s="1388"/>
      <c r="W23" s="1388"/>
      <c r="X23" s="1388"/>
      <c r="Y23" s="1389"/>
    </row>
    <row r="24" spans="2:25" ht="20.45" thickBot="1">
      <c r="B24" s="1317" t="s">
        <v>197</v>
      </c>
      <c r="C24" s="1318"/>
      <c r="D24" s="1318"/>
      <c r="E24" s="1318"/>
      <c r="F24" s="1318"/>
      <c r="G24" s="1318"/>
      <c r="H24" s="1318"/>
      <c r="I24" s="1318"/>
      <c r="J24" s="1104"/>
      <c r="K24" s="1104"/>
      <c r="L24" s="1104"/>
      <c r="M24" s="1104"/>
      <c r="N24" s="1104"/>
      <c r="O24" s="1104"/>
      <c r="P24" s="1104"/>
      <c r="Q24" s="1387"/>
      <c r="R24" s="1388"/>
      <c r="S24" s="1388"/>
      <c r="T24" s="1388"/>
      <c r="U24" s="1388"/>
      <c r="V24" s="1388"/>
      <c r="W24" s="1388"/>
      <c r="X24" s="1388"/>
      <c r="Y24" s="1389"/>
    </row>
    <row r="25" spans="2:25" ht="20.45" thickBot="1">
      <c r="B25" s="155"/>
      <c r="C25" s="156"/>
      <c r="D25" s="1320" t="s">
        <v>183</v>
      </c>
      <c r="E25" s="1321"/>
      <c r="F25" s="1321"/>
      <c r="G25" s="1321"/>
      <c r="H25" s="1321"/>
      <c r="I25" s="1322"/>
      <c r="J25" s="137"/>
      <c r="K25" s="1314" t="s">
        <v>184</v>
      </c>
      <c r="L25" s="1315"/>
      <c r="M25" s="1315"/>
      <c r="N25" s="1315"/>
      <c r="O25" s="1315"/>
      <c r="P25" s="1315"/>
      <c r="Q25" s="1387"/>
      <c r="R25" s="1388"/>
      <c r="S25" s="1388"/>
      <c r="T25" s="1388"/>
      <c r="U25" s="1388"/>
      <c r="V25" s="1388"/>
      <c r="W25" s="1388"/>
      <c r="X25" s="1388"/>
      <c r="Y25" s="1389"/>
    </row>
    <row r="26" spans="2:25" ht="13.5" thickBot="1">
      <c r="B26" s="154" t="s">
        <v>185</v>
      </c>
      <c r="C26" s="127" t="s">
        <v>192</v>
      </c>
      <c r="D26" s="145">
        <v>2023</v>
      </c>
      <c r="E26" s="145">
        <f>D26-1</f>
        <v>2022</v>
      </c>
      <c r="F26" s="145">
        <f>E26-1</f>
        <v>2021</v>
      </c>
      <c r="G26" s="145">
        <f>F26-1</f>
        <v>2020</v>
      </c>
      <c r="H26" s="145">
        <f>G26-1</f>
        <v>2019</v>
      </c>
      <c r="I26" s="145">
        <f>H26-1</f>
        <v>2018</v>
      </c>
      <c r="J26" s="138"/>
      <c r="K26" s="140">
        <v>2023</v>
      </c>
      <c r="L26" s="140">
        <f t="shared" ref="L26" si="17">K26-1</f>
        <v>2022</v>
      </c>
      <c r="M26" s="140">
        <f t="shared" ref="M26" si="18">L26-1</f>
        <v>2021</v>
      </c>
      <c r="N26" s="140">
        <f t="shared" ref="N26" si="19">M26-1</f>
        <v>2020</v>
      </c>
      <c r="O26" s="140">
        <f t="shared" ref="O26" si="20">N26-1</f>
        <v>2019</v>
      </c>
      <c r="P26" s="160">
        <f t="shared" ref="P26" si="21">O26-1</f>
        <v>2018</v>
      </c>
      <c r="Q26" s="1387"/>
      <c r="R26" s="1388"/>
      <c r="S26" s="1388"/>
      <c r="T26" s="1388"/>
      <c r="U26" s="1388"/>
      <c r="V26" s="1388"/>
      <c r="W26" s="1388"/>
      <c r="X26" s="1388"/>
      <c r="Y26" s="1389"/>
    </row>
    <row r="27" spans="2:25" ht="13.5" thickBot="1">
      <c r="B27" s="141">
        <f>IFERROR(D27/$D$31,"")</f>
        <v>0.52163825279935438</v>
      </c>
      <c r="C27" s="130" t="s">
        <v>193</v>
      </c>
      <c r="D27" s="692">
        <v>517.1</v>
      </c>
      <c r="E27" s="692">
        <f>467.3</f>
        <v>467.3</v>
      </c>
      <c r="F27" s="692">
        <v>588.5</v>
      </c>
      <c r="G27" s="692">
        <v>472.1</v>
      </c>
      <c r="H27" s="692">
        <v>399.6</v>
      </c>
      <c r="I27" s="692">
        <v>352.6</v>
      </c>
      <c r="J27" s="139"/>
      <c r="K27" s="269">
        <f t="shared" ref="K27:M28" si="22">(D27-E27)/E27</f>
        <v>0.10656965546757974</v>
      </c>
      <c r="L27" s="269">
        <f t="shared" si="22"/>
        <v>-0.20594732370433302</v>
      </c>
      <c r="M27" s="269">
        <f t="shared" si="22"/>
        <v>0.24655793264138948</v>
      </c>
      <c r="N27" s="269">
        <f t="shared" ref="N27:N31" si="23">(G27-H27)/H27</f>
        <v>0.18143143143143142</v>
      </c>
      <c r="O27" s="269">
        <f>(H27-I27)/I27</f>
        <v>0.13329551900170164</v>
      </c>
      <c r="P27" s="269" t="s">
        <v>68</v>
      </c>
      <c r="Q27" s="1387"/>
      <c r="R27" s="1388"/>
      <c r="S27" s="1388"/>
      <c r="T27" s="1388"/>
      <c r="U27" s="1388"/>
      <c r="V27" s="1388"/>
      <c r="W27" s="1388"/>
      <c r="X27" s="1388"/>
      <c r="Y27" s="1389"/>
    </row>
    <row r="28" spans="2:25" ht="12.95">
      <c r="B28" s="141">
        <f>IFERROR(D28/$D$31,"")</f>
        <v>0.24684757389286796</v>
      </c>
      <c r="C28" s="480" t="s">
        <v>194</v>
      </c>
      <c r="D28" s="692">
        <v>244.7</v>
      </c>
      <c r="E28" s="692">
        <v>240.5</v>
      </c>
      <c r="F28" s="692">
        <f>107+5.7</f>
        <v>112.7</v>
      </c>
      <c r="G28" s="692">
        <f>-205.9+3.4</f>
        <v>-202.5</v>
      </c>
      <c r="H28" s="692">
        <f>163.9+6.2</f>
        <v>170.1</v>
      </c>
      <c r="I28" s="692">
        <f>212.3+6.2</f>
        <v>218.5</v>
      </c>
      <c r="J28" s="139"/>
      <c r="K28" s="269">
        <f t="shared" si="22"/>
        <v>1.7463617463617416E-2</v>
      </c>
      <c r="L28" s="269">
        <f t="shared" si="22"/>
        <v>1.1339840283939662</v>
      </c>
      <c r="M28" s="269">
        <f t="shared" si="22"/>
        <v>-1.556543209876543</v>
      </c>
      <c r="N28" s="269">
        <f>(G28-H28)/H28</f>
        <v>-2.1904761904761907</v>
      </c>
      <c r="O28" s="269">
        <f>(H28-I28)/I28</f>
        <v>-0.22151029748283754</v>
      </c>
      <c r="P28" s="481" t="s">
        <v>68</v>
      </c>
      <c r="Q28" s="1387"/>
      <c r="R28" s="1388"/>
      <c r="S28" s="1388"/>
      <c r="T28" s="1388"/>
      <c r="U28" s="1388"/>
      <c r="V28" s="1388"/>
      <c r="W28" s="1388"/>
      <c r="X28" s="1388"/>
      <c r="Y28" s="1389"/>
    </row>
    <row r="29" spans="2:25" ht="12.95">
      <c r="B29" s="141">
        <f>IFERROR(D29/$D$31,"")</f>
        <v>0.16483405628972059</v>
      </c>
      <c r="C29" s="131" t="s">
        <v>195</v>
      </c>
      <c r="D29" s="692">
        <v>163.4</v>
      </c>
      <c r="E29" s="692">
        <v>170.5</v>
      </c>
      <c r="F29" s="692">
        <v>141.80000000000001</v>
      </c>
      <c r="G29" s="692">
        <v>112.4</v>
      </c>
      <c r="H29" s="692">
        <f>127.3</f>
        <v>127.3</v>
      </c>
      <c r="I29" s="692">
        <v>127.3</v>
      </c>
      <c r="J29" s="139"/>
      <c r="K29" s="270">
        <f t="shared" ref="K29:K30" si="24">(D29-E29)/E29</f>
        <v>-4.1642228739002897E-2</v>
      </c>
      <c r="L29" s="270">
        <f>(E29-F29)/F29</f>
        <v>0.20239774330042304</v>
      </c>
      <c r="M29" s="270">
        <f>(F29-G29)/G29</f>
        <v>0.26156583629893243</v>
      </c>
      <c r="N29" s="270">
        <f>(G29-H29)/H29</f>
        <v>-0.1170463472113118</v>
      </c>
      <c r="O29" s="270">
        <f>(H29-I29)/I29</f>
        <v>0</v>
      </c>
      <c r="P29" s="270" t="s">
        <v>68</v>
      </c>
      <c r="Q29" s="1387"/>
      <c r="R29" s="1388"/>
      <c r="S29" s="1388"/>
      <c r="T29" s="1388"/>
      <c r="U29" s="1388"/>
      <c r="V29" s="1388"/>
      <c r="W29" s="1388"/>
      <c r="X29" s="1388"/>
      <c r="Y29" s="1389"/>
    </row>
    <row r="30" spans="2:25" ht="13.5" thickBot="1">
      <c r="B30" s="141">
        <f>IFERROR(D30/$D$31,"")</f>
        <v>6.6680117018057095E-2</v>
      </c>
      <c r="C30" s="131" t="s">
        <v>196</v>
      </c>
      <c r="D30" s="692">
        <f>31.2+1.7+33.2</f>
        <v>66.099999999999994</v>
      </c>
      <c r="E30" s="692">
        <f>15.2+37+28.1</f>
        <v>80.300000000000011</v>
      </c>
      <c r="F30" s="692">
        <f>28+20.5+10.8</f>
        <v>59.3</v>
      </c>
      <c r="G30" s="692">
        <f>17.8+5.2-39.9</f>
        <v>-16.899999999999999</v>
      </c>
      <c r="H30" s="692">
        <f>32+13-2.2</f>
        <v>42.8</v>
      </c>
      <c r="I30" s="692">
        <f>29.6+11+6.7</f>
        <v>47.300000000000004</v>
      </c>
      <c r="J30" s="139"/>
      <c r="K30" s="270">
        <f t="shared" si="24"/>
        <v>-0.1768368617683688</v>
      </c>
      <c r="L30" s="270">
        <f t="shared" ref="L30:L31" si="25">(E30-F30)/F30</f>
        <v>0.35413153456998342</v>
      </c>
      <c r="M30" s="270">
        <f t="shared" ref="M30:M31" si="26">(F30-G30)/G30</f>
        <v>-4.5088757396449699</v>
      </c>
      <c r="N30" s="270">
        <f t="shared" si="23"/>
        <v>-1.3948598130841121</v>
      </c>
      <c r="O30" s="270">
        <f t="shared" ref="O30:O31" si="27">(H30-I30)/I30</f>
        <v>-9.5137420718816215E-2</v>
      </c>
      <c r="P30" s="270" t="s">
        <v>68</v>
      </c>
      <c r="Q30" s="1387"/>
      <c r="R30" s="1388"/>
      <c r="S30" s="1388"/>
      <c r="T30" s="1388"/>
      <c r="U30" s="1388"/>
      <c r="V30" s="1388"/>
      <c r="W30" s="1388"/>
      <c r="X30" s="1388"/>
      <c r="Y30" s="1389"/>
    </row>
    <row r="31" spans="2:25" ht="13.5" thickBot="1">
      <c r="B31" s="134">
        <f>SUM(B27:B30)</f>
        <v>1</v>
      </c>
      <c r="C31" s="561" t="s">
        <v>179</v>
      </c>
      <c r="D31" s="693">
        <f t="shared" ref="D31:I31" si="28">SUM(D27:D30)</f>
        <v>991.3</v>
      </c>
      <c r="E31" s="694">
        <f t="shared" si="28"/>
        <v>958.59999999999991</v>
      </c>
      <c r="F31" s="694">
        <f t="shared" si="28"/>
        <v>902.3</v>
      </c>
      <c r="G31" s="694">
        <f t="shared" si="28"/>
        <v>365.1</v>
      </c>
      <c r="H31" s="694">
        <f t="shared" si="28"/>
        <v>739.8</v>
      </c>
      <c r="I31" s="695">
        <f t="shared" si="28"/>
        <v>745.69999999999993</v>
      </c>
      <c r="J31" s="562"/>
      <c r="K31" s="267">
        <f>(D31-E31)/E31</f>
        <v>3.4112247026914302E-2</v>
      </c>
      <c r="L31" s="268">
        <f t="shared" si="25"/>
        <v>6.2396098858472741E-2</v>
      </c>
      <c r="M31" s="268">
        <f t="shared" si="26"/>
        <v>1.4713777047384275</v>
      </c>
      <c r="N31" s="268">
        <f t="shared" si="23"/>
        <v>-0.50648824006488236</v>
      </c>
      <c r="O31" s="268">
        <f t="shared" si="27"/>
        <v>-7.9120289660721179E-3</v>
      </c>
      <c r="P31" s="268" t="s">
        <v>68</v>
      </c>
      <c r="Q31" s="1390"/>
      <c r="R31" s="1391"/>
      <c r="S31" s="1391"/>
      <c r="T31" s="1391"/>
      <c r="U31" s="1391"/>
      <c r="V31" s="1391"/>
      <c r="W31" s="1391"/>
      <c r="X31" s="1391"/>
      <c r="Y31" s="1392"/>
    </row>
    <row r="32" spans="2:25" ht="13.5" thickBot="1">
      <c r="C32" s="13"/>
      <c r="D32" s="14"/>
      <c r="E32" s="15"/>
      <c r="F32" s="14"/>
      <c r="G32" s="15"/>
      <c r="H32" s="14"/>
      <c r="I32" s="15"/>
    </row>
    <row r="33" spans="2:34" ht="20.45" thickBot="1">
      <c r="B33" s="1320" t="s">
        <v>70</v>
      </c>
      <c r="C33" s="1322"/>
      <c r="D33" s="1320" t="s">
        <v>198</v>
      </c>
      <c r="E33" s="1321"/>
      <c r="F33" s="1321"/>
      <c r="G33" s="1321"/>
      <c r="H33" s="1321"/>
      <c r="I33" s="1340" t="s">
        <v>199</v>
      </c>
      <c r="J33" s="1341"/>
      <c r="K33" s="1341"/>
      <c r="L33" s="1341"/>
      <c r="M33" s="1341"/>
      <c r="N33" s="1341"/>
      <c r="O33" s="1341"/>
      <c r="P33" s="1341"/>
      <c r="Q33" s="1341"/>
      <c r="R33" s="1341"/>
      <c r="S33" s="1341"/>
      <c r="T33" s="1341"/>
      <c r="U33" s="1341"/>
      <c r="V33" s="1341"/>
      <c r="W33" s="1341"/>
      <c r="X33" s="1341"/>
      <c r="Y33" s="1341"/>
      <c r="Z33" s="1341"/>
      <c r="AA33" s="1341"/>
      <c r="AB33" s="1341"/>
      <c r="AC33" s="1341"/>
      <c r="AD33" s="1341"/>
      <c r="AE33" s="1341"/>
      <c r="AF33" s="1341"/>
      <c r="AG33" s="1341"/>
      <c r="AH33" s="1342"/>
    </row>
    <row r="34" spans="2:34" ht="42" customHeight="1" thickBot="1">
      <c r="B34" s="1307" t="s">
        <v>193</v>
      </c>
      <c r="C34" s="1307"/>
      <c r="D34" s="1354" t="s">
        <v>200</v>
      </c>
      <c r="E34" s="1354"/>
      <c r="F34" s="1354"/>
      <c r="G34" s="1354"/>
      <c r="H34" s="1354"/>
      <c r="I34" s="128"/>
      <c r="AH34" s="150"/>
    </row>
    <row r="35" spans="2:34" ht="28.7" customHeight="1" thickBot="1">
      <c r="B35" s="1307"/>
      <c r="C35" s="1307"/>
      <c r="D35" s="1354"/>
      <c r="E35" s="1354"/>
      <c r="F35" s="1354"/>
      <c r="G35" s="1354"/>
      <c r="H35" s="1354"/>
      <c r="I35" s="128"/>
      <c r="AH35" s="150"/>
    </row>
    <row r="36" spans="2:34" ht="21.6" customHeight="1" thickBot="1">
      <c r="B36" s="1307"/>
      <c r="C36" s="1307"/>
      <c r="D36" s="1354"/>
      <c r="E36" s="1354"/>
      <c r="F36" s="1354"/>
      <c r="G36" s="1354"/>
      <c r="H36" s="1354"/>
      <c r="I36" s="128"/>
      <c r="AH36" s="150"/>
    </row>
    <row r="37" spans="2:34" ht="75.599999999999994" customHeight="1" thickBot="1">
      <c r="B37" s="1307" t="s">
        <v>194</v>
      </c>
      <c r="C37" s="1307"/>
      <c r="D37" s="1354" t="s">
        <v>201</v>
      </c>
      <c r="E37" s="1355"/>
      <c r="F37" s="1355"/>
      <c r="G37" s="1355"/>
      <c r="H37" s="1355"/>
      <c r="I37" s="128"/>
      <c r="AH37" s="150"/>
    </row>
    <row r="38" spans="2:34" ht="73.349999999999994" customHeight="1" thickBot="1">
      <c r="B38" s="1352" t="s">
        <v>195</v>
      </c>
      <c r="C38" s="1353"/>
      <c r="D38" s="1356" t="s">
        <v>202</v>
      </c>
      <c r="E38" s="1357"/>
      <c r="F38" s="1357"/>
      <c r="G38" s="1357"/>
      <c r="H38" s="1357"/>
      <c r="I38" s="128"/>
      <c r="AH38" s="150"/>
    </row>
    <row r="39" spans="2:34" ht="57" customHeight="1">
      <c r="B39" s="1358" t="s">
        <v>196</v>
      </c>
      <c r="C39" s="1358"/>
      <c r="D39" s="1360" t="s">
        <v>203</v>
      </c>
      <c r="E39" s="1360"/>
      <c r="F39" s="1360"/>
      <c r="G39" s="1360"/>
      <c r="H39" s="1360"/>
      <c r="I39" s="128"/>
      <c r="AH39" s="150"/>
    </row>
    <row r="40" spans="2:34" ht="56.25" customHeight="1" thickBot="1">
      <c r="B40" s="1359"/>
      <c r="C40" s="1359"/>
      <c r="D40" s="1361"/>
      <c r="E40" s="1361"/>
      <c r="F40" s="1361"/>
      <c r="G40" s="1361"/>
      <c r="H40" s="1361"/>
      <c r="I40" s="129"/>
      <c r="J40" s="151"/>
      <c r="K40" s="151"/>
      <c r="L40" s="151"/>
      <c r="M40" s="151"/>
      <c r="N40" s="151"/>
      <c r="O40" s="151"/>
      <c r="P40" s="151"/>
      <c r="Q40" s="151"/>
      <c r="R40" s="151"/>
      <c r="S40" s="151"/>
      <c r="T40" s="151"/>
      <c r="U40" s="151"/>
      <c r="V40" s="151"/>
      <c r="W40" s="151"/>
      <c r="X40" s="151"/>
      <c r="Y40" s="151"/>
      <c r="Z40" s="151"/>
      <c r="AA40" s="151"/>
      <c r="AB40" s="151"/>
      <c r="AC40" s="151"/>
      <c r="AD40" s="151"/>
      <c r="AE40" s="151"/>
      <c r="AF40" s="151"/>
      <c r="AG40" s="151"/>
      <c r="AH40" s="152"/>
    </row>
    <row r="41" spans="2:34" ht="20.45" thickBot="1">
      <c r="B41" s="1320" t="s">
        <v>204</v>
      </c>
      <c r="C41" s="1321"/>
      <c r="D41" s="1321"/>
      <c r="E41" s="1321"/>
      <c r="F41" s="1321"/>
      <c r="G41" s="1321"/>
      <c r="H41" s="1321"/>
      <c r="I41" s="1310"/>
      <c r="J41" s="1349" t="s">
        <v>205</v>
      </c>
      <c r="K41" s="1350"/>
      <c r="L41" s="1350"/>
      <c r="M41" s="1350"/>
      <c r="N41" s="1350"/>
      <c r="O41" s="1350"/>
      <c r="P41" s="1350"/>
      <c r="Q41" s="1351"/>
    </row>
    <row r="42" spans="2:34" ht="12.95">
      <c r="B42" s="1365" t="s">
        <v>206</v>
      </c>
      <c r="C42" s="1367"/>
      <c r="D42" s="1365" t="s">
        <v>198</v>
      </c>
      <c r="E42" s="1366"/>
      <c r="F42" s="1366"/>
      <c r="G42" s="1366"/>
      <c r="H42" s="1366"/>
      <c r="I42" s="1367"/>
      <c r="J42" s="147"/>
      <c r="K42" s="148"/>
      <c r="L42" s="148"/>
      <c r="M42" s="148"/>
      <c r="N42" s="148"/>
      <c r="O42" s="148"/>
      <c r="P42" s="148"/>
      <c r="Q42" s="149"/>
    </row>
    <row r="43" spans="2:34" ht="94.5" customHeight="1">
      <c r="B43" s="1372" t="s">
        <v>207</v>
      </c>
      <c r="C43" s="1373"/>
      <c r="D43" s="1334" t="s">
        <v>208</v>
      </c>
      <c r="E43" s="1335"/>
      <c r="F43" s="1335"/>
      <c r="G43" s="1335"/>
      <c r="H43" s="1335"/>
      <c r="I43" s="1336"/>
      <c r="J43" s="128"/>
      <c r="Q43" s="150"/>
    </row>
    <row r="44" spans="2:34" ht="47.25" customHeight="1" thickBot="1">
      <c r="B44" s="1368" t="s">
        <v>209</v>
      </c>
      <c r="C44" s="1369"/>
      <c r="D44" s="1334" t="s">
        <v>210</v>
      </c>
      <c r="E44" s="1335"/>
      <c r="F44" s="1335"/>
      <c r="G44" s="1335"/>
      <c r="H44" s="1335"/>
      <c r="I44" s="1336"/>
      <c r="J44" s="128"/>
      <c r="Q44" s="150"/>
    </row>
    <row r="45" spans="2:34" ht="77.25" customHeight="1" thickBot="1">
      <c r="B45" s="1374" t="s">
        <v>211</v>
      </c>
      <c r="C45" s="1375"/>
      <c r="D45" s="1334" t="s">
        <v>212</v>
      </c>
      <c r="E45" s="1335"/>
      <c r="F45" s="1335"/>
      <c r="G45" s="1335"/>
      <c r="H45" s="1335"/>
      <c r="I45" s="1336"/>
      <c r="J45" s="128"/>
      <c r="Q45" s="150"/>
    </row>
    <row r="46" spans="2:34" ht="13.5" customHeight="1" thickBot="1">
      <c r="B46" s="1365" t="s">
        <v>213</v>
      </c>
      <c r="C46" s="1366"/>
      <c r="D46" s="1366"/>
      <c r="E46" s="1366"/>
      <c r="F46" s="1366"/>
      <c r="G46" s="1366"/>
      <c r="H46" s="1366"/>
      <c r="I46" s="1367"/>
      <c r="J46" s="128"/>
      <c r="Q46" s="150"/>
    </row>
    <row r="47" spans="2:34" ht="13.5" customHeight="1">
      <c r="B47" s="1370" t="s">
        <v>214</v>
      </c>
      <c r="C47" s="1371"/>
      <c r="D47" s="1376" t="s">
        <v>215</v>
      </c>
      <c r="E47" s="1377"/>
      <c r="F47" s="1378"/>
      <c r="G47" s="1376" t="s">
        <v>216</v>
      </c>
      <c r="H47" s="1377"/>
      <c r="I47" s="1378"/>
      <c r="J47" s="128"/>
      <c r="Q47" s="150"/>
    </row>
    <row r="48" spans="2:34" ht="12.75" customHeight="1">
      <c r="B48" s="1328" t="s">
        <v>217</v>
      </c>
      <c r="C48" s="1329"/>
      <c r="D48" s="1337">
        <v>7.6499999999999999E-2</v>
      </c>
      <c r="E48" s="1338"/>
      <c r="F48" s="1339"/>
      <c r="G48" s="1362" t="s">
        <v>218</v>
      </c>
      <c r="H48" s="1363"/>
      <c r="I48" s="1364"/>
      <c r="J48" s="128"/>
      <c r="Q48" s="150"/>
    </row>
    <row r="49" spans="2:17" ht="12.75" customHeight="1">
      <c r="B49" s="1328" t="s">
        <v>219</v>
      </c>
      <c r="C49" s="1329"/>
      <c r="D49" s="1337">
        <v>8.1000000000000003E-2</v>
      </c>
      <c r="E49" s="1338"/>
      <c r="F49" s="1339"/>
      <c r="G49" s="1362" t="s">
        <v>220</v>
      </c>
      <c r="H49" s="1363"/>
      <c r="I49" s="1364"/>
      <c r="J49" s="128"/>
      <c r="Q49" s="150"/>
    </row>
    <row r="50" spans="2:17" ht="13.5" customHeight="1" thickBot="1">
      <c r="B50" s="1328" t="s">
        <v>221</v>
      </c>
      <c r="C50" s="1329"/>
      <c r="D50" s="1346">
        <v>7.6899999999999996E-2</v>
      </c>
      <c r="E50" s="1347"/>
      <c r="F50" s="1348"/>
      <c r="G50" s="1343" t="s">
        <v>222</v>
      </c>
      <c r="H50" s="1344"/>
      <c r="I50" s="1345"/>
      <c r="J50" s="128"/>
      <c r="Q50" s="150"/>
    </row>
    <row r="51" spans="2:17" ht="12.6" customHeight="1" thickBot="1">
      <c r="B51" s="1330" t="s">
        <v>223</v>
      </c>
      <c r="C51" s="1331"/>
      <c r="D51" s="1332">
        <f>AVERAGE(D48:F50)</f>
        <v>7.8133333333333332E-2</v>
      </c>
      <c r="E51" s="1332"/>
      <c r="F51" s="1332"/>
      <c r="G51" s="1332"/>
      <c r="H51" s="1332"/>
      <c r="I51" s="1333"/>
      <c r="Q51" s="150"/>
    </row>
    <row r="52" spans="2:17" ht="21" customHeight="1" thickBot="1">
      <c r="B52" s="1308" t="s">
        <v>224</v>
      </c>
      <c r="C52" s="1309"/>
      <c r="D52" s="1309"/>
      <c r="E52" s="1309"/>
      <c r="F52" s="1309"/>
      <c r="G52" s="1309"/>
      <c r="H52" s="1309"/>
      <c r="I52" s="1310"/>
      <c r="J52" s="128"/>
      <c r="Q52" s="150"/>
    </row>
    <row r="53" spans="2:17" ht="58.5" customHeight="1" thickBot="1">
      <c r="B53" s="1325" t="s">
        <v>225</v>
      </c>
      <c r="C53" s="1326"/>
      <c r="D53" s="1326"/>
      <c r="E53" s="1326"/>
      <c r="F53" s="1326"/>
      <c r="G53" s="1326"/>
      <c r="H53" s="1326"/>
      <c r="I53" s="1327"/>
      <c r="J53" s="128"/>
      <c r="Q53" s="150"/>
    </row>
    <row r="54" spans="2:17" ht="60" customHeight="1" thickBot="1">
      <c r="B54" s="1325" t="s">
        <v>226</v>
      </c>
      <c r="C54" s="1326"/>
      <c r="D54" s="1326"/>
      <c r="E54" s="1326"/>
      <c r="F54" s="1326"/>
      <c r="G54" s="1326"/>
      <c r="H54" s="1326"/>
      <c r="I54" s="1327"/>
      <c r="J54" s="128"/>
      <c r="Q54" s="150"/>
    </row>
    <row r="55" spans="2:17" ht="48.75" customHeight="1" thickBot="1">
      <c r="B55" s="1325" t="s">
        <v>227</v>
      </c>
      <c r="C55" s="1326"/>
      <c r="D55" s="1326"/>
      <c r="E55" s="1326"/>
      <c r="F55" s="1326"/>
      <c r="G55" s="1326"/>
      <c r="H55" s="1326"/>
      <c r="I55" s="1327"/>
      <c r="J55" s="128"/>
      <c r="Q55" s="150"/>
    </row>
    <row r="56" spans="2:17" ht="55.5" customHeight="1" thickBot="1">
      <c r="B56" s="1325" t="s">
        <v>228</v>
      </c>
      <c r="C56" s="1326"/>
      <c r="D56" s="1326"/>
      <c r="E56" s="1326"/>
      <c r="F56" s="1326"/>
      <c r="G56" s="1326"/>
      <c r="H56" s="1326"/>
      <c r="I56" s="1327"/>
      <c r="J56" s="128"/>
      <c r="Q56" s="150"/>
    </row>
    <row r="57" spans="2:17" ht="55.5" customHeight="1" thickBot="1">
      <c r="B57" s="1398" t="s">
        <v>229</v>
      </c>
      <c r="C57" s="1399"/>
      <c r="D57" s="1399"/>
      <c r="E57" s="1399"/>
      <c r="F57" s="1399"/>
      <c r="G57" s="1399"/>
      <c r="H57" s="1399"/>
      <c r="I57" s="1400"/>
      <c r="J57" s="129"/>
      <c r="K57" s="151"/>
      <c r="L57" s="151"/>
      <c r="M57" s="151"/>
      <c r="N57" s="151"/>
      <c r="O57" s="151"/>
      <c r="P57" s="151"/>
      <c r="Q57" s="152"/>
    </row>
    <row r="58" spans="2:17" ht="13.5" customHeight="1" thickBot="1"/>
    <row r="59" spans="2:17" ht="21" customHeight="1" thickBot="1">
      <c r="B59" s="1311" t="s">
        <v>230</v>
      </c>
      <c r="C59" s="1312"/>
      <c r="D59" s="1312"/>
      <c r="E59" s="1312"/>
      <c r="F59" s="1312"/>
      <c r="G59" s="1312"/>
      <c r="H59" s="1312"/>
      <c r="I59" s="1312"/>
      <c r="J59" s="1312"/>
      <c r="K59" s="1312"/>
      <c r="L59" s="1312"/>
      <c r="M59" s="1312"/>
      <c r="N59" s="1312"/>
      <c r="O59" s="1312"/>
      <c r="P59" s="1313"/>
    </row>
    <row r="60" spans="2:17" ht="21" customHeight="1" thickBot="1">
      <c r="B60" s="1323"/>
      <c r="C60" s="1324"/>
      <c r="D60" s="1320" t="s">
        <v>183</v>
      </c>
      <c r="E60" s="1321"/>
      <c r="F60" s="1321"/>
      <c r="G60" s="1321"/>
      <c r="H60" s="1321"/>
      <c r="I60" s="1322"/>
      <c r="J60" s="137"/>
      <c r="K60" s="1314" t="s">
        <v>184</v>
      </c>
      <c r="L60" s="1315"/>
      <c r="M60" s="1315"/>
      <c r="N60" s="1315"/>
      <c r="O60" s="1315"/>
      <c r="P60" s="1316"/>
    </row>
    <row r="61" spans="2:17" ht="13.5" customHeight="1" thickBot="1">
      <c r="B61" s="697" t="s">
        <v>185</v>
      </c>
      <c r="C61" s="698" t="s">
        <v>192</v>
      </c>
      <c r="D61" s="738">
        <v>2018</v>
      </c>
      <c r="E61" s="738">
        <f>D61+1</f>
        <v>2019</v>
      </c>
      <c r="F61" s="738">
        <f t="shared" ref="F61:I61" si="29">E61+1</f>
        <v>2020</v>
      </c>
      <c r="G61" s="738">
        <f t="shared" si="29"/>
        <v>2021</v>
      </c>
      <c r="H61" s="738">
        <f t="shared" si="29"/>
        <v>2022</v>
      </c>
      <c r="I61" s="738">
        <f t="shared" si="29"/>
        <v>2023</v>
      </c>
      <c r="J61" s="138"/>
      <c r="K61" s="738">
        <v>2018</v>
      </c>
      <c r="L61" s="738">
        <f>K61+1</f>
        <v>2019</v>
      </c>
      <c r="M61" s="738">
        <f t="shared" ref="M61:P61" si="30">L61+1</f>
        <v>2020</v>
      </c>
      <c r="N61" s="738">
        <f t="shared" si="30"/>
        <v>2021</v>
      </c>
      <c r="O61" s="738">
        <f t="shared" si="30"/>
        <v>2022</v>
      </c>
      <c r="P61" s="738">
        <f t="shared" si="30"/>
        <v>2023</v>
      </c>
    </row>
    <row r="62" spans="2:17" ht="12.75" customHeight="1">
      <c r="B62" s="141">
        <f>IFERROR(I62/$I$66,"")</f>
        <v>0.62417325898067699</v>
      </c>
      <c r="C62" s="130" t="s">
        <v>193</v>
      </c>
      <c r="D62" s="692">
        <f>Y1048541</f>
        <v>95</v>
      </c>
      <c r="E62" s="692">
        <f>U1048541</f>
        <v>127.9</v>
      </c>
      <c r="F62" s="692">
        <f>Q1048541</f>
        <v>238.9</v>
      </c>
      <c r="G62" s="692">
        <f>M1048541</f>
        <v>336.6</v>
      </c>
      <c r="H62" s="692">
        <f>I1048541</f>
        <v>445.1</v>
      </c>
      <c r="I62" s="692">
        <f>E1048541</f>
        <v>481.3</v>
      </c>
      <c r="J62" s="139"/>
      <c r="K62" s="266" t="s">
        <v>68</v>
      </c>
      <c r="L62" s="266">
        <f t="shared" ref="L62:P63" si="31">E62/D62-1</f>
        <v>0.34631578947368435</v>
      </c>
      <c r="M62" s="266">
        <f t="shared" si="31"/>
        <v>0.8678655199374512</v>
      </c>
      <c r="N62" s="266">
        <f t="shared" si="31"/>
        <v>0.40895772289660948</v>
      </c>
      <c r="O62" s="266">
        <f t="shared" si="31"/>
        <v>0.32234105763517529</v>
      </c>
      <c r="P62" s="266">
        <f t="shared" si="31"/>
        <v>8.1330038193664356E-2</v>
      </c>
    </row>
    <row r="63" spans="2:17" ht="12.75" customHeight="1">
      <c r="B63" s="141">
        <f>IFERROR(I63/$I$66,"")</f>
        <v>0.27311632732460123</v>
      </c>
      <c r="C63" s="480" t="s">
        <v>194</v>
      </c>
      <c r="D63" s="692">
        <f>Y1048542</f>
        <v>383.40000000000003</v>
      </c>
      <c r="E63" s="692">
        <f>U1048542</f>
        <v>345.4</v>
      </c>
      <c r="F63" s="692">
        <f>Q1048542</f>
        <v>239.9</v>
      </c>
      <c r="G63" s="692">
        <f>M1048542</f>
        <v>213.2</v>
      </c>
      <c r="H63" s="692">
        <f>I1048542</f>
        <v>205.7</v>
      </c>
      <c r="I63" s="692">
        <f>E1048542</f>
        <v>210.6</v>
      </c>
      <c r="J63" s="139"/>
      <c r="K63" s="266" t="s">
        <v>68</v>
      </c>
      <c r="L63" s="266">
        <f t="shared" si="31"/>
        <v>-9.9113197704747136E-2</v>
      </c>
      <c r="M63" s="266">
        <f t="shared" si="31"/>
        <v>-0.30544296467863341</v>
      </c>
      <c r="N63" s="266">
        <f t="shared" si="31"/>
        <v>-0.11129637348895383</v>
      </c>
      <c r="O63" s="266">
        <f t="shared" si="31"/>
        <v>-3.5178236397748641E-2</v>
      </c>
      <c r="P63" s="266">
        <f t="shared" si="31"/>
        <v>2.3821098687408782E-2</v>
      </c>
    </row>
    <row r="64" spans="2:17" ht="12.75" customHeight="1">
      <c r="B64" s="141">
        <f>IFERROR(I64/$I$66,"")</f>
        <v>0</v>
      </c>
      <c r="C64" s="131" t="s">
        <v>195</v>
      </c>
      <c r="D64" s="692">
        <f>Y1048543</f>
        <v>0</v>
      </c>
      <c r="E64" s="692">
        <f>U1048543</f>
        <v>0</v>
      </c>
      <c r="F64" s="692">
        <f>Q1048543</f>
        <v>0</v>
      </c>
      <c r="G64" s="692">
        <f>M1048543</f>
        <v>0</v>
      </c>
      <c r="H64" s="692">
        <f>I1048543</f>
        <v>0</v>
      </c>
      <c r="I64" s="692">
        <f>E1048543</f>
        <v>0</v>
      </c>
      <c r="J64" s="139"/>
      <c r="K64" s="266" t="s">
        <v>68</v>
      </c>
      <c r="L64" s="266" t="s">
        <v>68</v>
      </c>
      <c r="M64" s="266" t="s">
        <v>68</v>
      </c>
      <c r="N64" s="266" t="s">
        <v>68</v>
      </c>
      <c r="O64" s="266" t="s">
        <v>68</v>
      </c>
      <c r="P64" s="266" t="s">
        <v>68</v>
      </c>
    </row>
    <row r="65" spans="2:17" ht="13.5" customHeight="1" thickBot="1">
      <c r="B65" s="141">
        <f>IFERROR(I65/$I$66,"")</f>
        <v>0.10271041369472182</v>
      </c>
      <c r="C65" s="131" t="s">
        <v>196</v>
      </c>
      <c r="D65" s="692">
        <f>Y1048544</f>
        <v>86.5</v>
      </c>
      <c r="E65" s="692">
        <f>U1048544</f>
        <v>105.2</v>
      </c>
      <c r="F65" s="692">
        <f>Q1048544</f>
        <v>12.2</v>
      </c>
      <c r="G65" s="692">
        <f>M1048544</f>
        <v>86.600000000000009</v>
      </c>
      <c r="H65" s="692">
        <f>I1048544</f>
        <v>65.400000000000006</v>
      </c>
      <c r="I65" s="692">
        <f>E1048544</f>
        <v>79.199999999999989</v>
      </c>
      <c r="J65" s="139"/>
      <c r="K65" s="266" t="s">
        <v>68</v>
      </c>
      <c r="L65" s="266">
        <f>E65/D65-1</f>
        <v>0.21618497109826595</v>
      </c>
      <c r="M65" s="266">
        <f>F65/E65-1</f>
        <v>-0.88403041825095063</v>
      </c>
      <c r="N65" s="266">
        <f>G65/F65-1</f>
        <v>6.0983606557377064</v>
      </c>
      <c r="O65" s="266">
        <f>H65/G65-1</f>
        <v>-0.24480369515011546</v>
      </c>
      <c r="P65" s="266">
        <f>I65/H65-1</f>
        <v>0.21100917431192623</v>
      </c>
    </row>
    <row r="66" spans="2:17" ht="13.5" customHeight="1" thickBot="1">
      <c r="B66" s="141">
        <f>IFERROR(I66/$I$66,"")</f>
        <v>1</v>
      </c>
      <c r="C66" s="561" t="s">
        <v>179</v>
      </c>
      <c r="D66" s="693">
        <f>Y1048545</f>
        <v>564.90000000000009</v>
      </c>
      <c r="E66" s="694">
        <f>U1048545</f>
        <v>578.5</v>
      </c>
      <c r="F66" s="694">
        <f>Q1048545</f>
        <v>491</v>
      </c>
      <c r="G66" s="694">
        <f>M1048545</f>
        <v>636.4</v>
      </c>
      <c r="H66" s="694">
        <f>I1048545</f>
        <v>716.19999999999993</v>
      </c>
      <c r="I66" s="695">
        <f>E1048545</f>
        <v>771.09999999999991</v>
      </c>
      <c r="J66" s="562"/>
      <c r="K66" s="740" t="s">
        <v>68</v>
      </c>
      <c r="L66" s="740">
        <f>E66/D66-1</f>
        <v>2.4075057532306543E-2</v>
      </c>
      <c r="M66" s="740">
        <f t="shared" ref="M66:P66" si="32">F66/E66-1</f>
        <v>-0.15125324114088157</v>
      </c>
      <c r="N66" s="740">
        <f t="shared" si="32"/>
        <v>0.29613034623217915</v>
      </c>
      <c r="O66" s="740">
        <f t="shared" si="32"/>
        <v>0.12539283469516027</v>
      </c>
      <c r="P66" s="740">
        <f t="shared" si="32"/>
        <v>7.665456576375318E-2</v>
      </c>
    </row>
    <row r="67" spans="2:17" ht="12.75" customHeight="1">
      <c r="B67" s="739"/>
      <c r="I67" s="737"/>
      <c r="P67" s="150"/>
    </row>
    <row r="68" spans="2:17" ht="21" customHeight="1" thickBot="1">
      <c r="B68" s="1317" t="s">
        <v>231</v>
      </c>
      <c r="C68" s="1318"/>
      <c r="D68" s="1318"/>
      <c r="E68" s="1318"/>
      <c r="F68" s="1318"/>
      <c r="G68" s="1318"/>
      <c r="H68" s="1318"/>
      <c r="I68" s="1318"/>
      <c r="J68" s="1318"/>
      <c r="K68" s="1318"/>
      <c r="L68" s="1318"/>
      <c r="M68" s="1318"/>
      <c r="N68" s="1318"/>
      <c r="O68" s="1318"/>
      <c r="P68" s="1319"/>
    </row>
    <row r="69" spans="2:17" ht="21" customHeight="1" thickBot="1">
      <c r="B69" s="1323"/>
      <c r="C69" s="1324"/>
      <c r="D69" s="1320" t="s">
        <v>183</v>
      </c>
      <c r="E69" s="1321"/>
      <c r="F69" s="1321"/>
      <c r="G69" s="1321"/>
      <c r="H69" s="1321"/>
      <c r="I69" s="1322"/>
      <c r="J69" s="137"/>
      <c r="K69" s="1314" t="s">
        <v>184</v>
      </c>
      <c r="L69" s="1315"/>
      <c r="M69" s="1315"/>
      <c r="N69" s="1315"/>
      <c r="O69" s="1315"/>
      <c r="P69" s="1316"/>
    </row>
    <row r="70" spans="2:17" ht="13.5" customHeight="1" thickBot="1">
      <c r="B70" s="697" t="s">
        <v>185</v>
      </c>
      <c r="C70" s="698" t="s">
        <v>192</v>
      </c>
      <c r="D70" s="738">
        <v>2018</v>
      </c>
      <c r="E70" s="738">
        <f>D70+1</f>
        <v>2019</v>
      </c>
      <c r="F70" s="738">
        <f t="shared" ref="F70:I70" si="33">E70+1</f>
        <v>2020</v>
      </c>
      <c r="G70" s="738">
        <f t="shared" si="33"/>
        <v>2021</v>
      </c>
      <c r="H70" s="738">
        <f t="shared" si="33"/>
        <v>2022</v>
      </c>
      <c r="I70" s="738">
        <f t="shared" si="33"/>
        <v>2023</v>
      </c>
      <c r="J70" s="138"/>
      <c r="K70" s="738">
        <v>2018</v>
      </c>
      <c r="L70" s="738">
        <f>K70+1</f>
        <v>2019</v>
      </c>
      <c r="M70" s="738">
        <f t="shared" ref="M70:P70" si="34">L70+1</f>
        <v>2020</v>
      </c>
      <c r="N70" s="738">
        <f t="shared" si="34"/>
        <v>2021</v>
      </c>
      <c r="O70" s="738">
        <f t="shared" si="34"/>
        <v>2022</v>
      </c>
      <c r="P70" s="738">
        <f t="shared" si="34"/>
        <v>2023</v>
      </c>
      <c r="Q70" s="737"/>
    </row>
    <row r="71" spans="2:17" ht="12.75" customHeight="1">
      <c r="B71" s="141">
        <f>IFERROR(I71/$I$75,"")</f>
        <v>0.20841274162809695</v>
      </c>
      <c r="C71" s="130" t="s">
        <v>193</v>
      </c>
      <c r="D71" s="692" t="str">
        <f>Z1048541</f>
        <v>N/A</v>
      </c>
      <c r="E71" s="692" t="str">
        <f>V1048541</f>
        <v>N/A</v>
      </c>
      <c r="F71" s="692">
        <f>R1048541</f>
        <v>111.3</v>
      </c>
      <c r="G71" s="692">
        <f>N1048541</f>
        <v>94.9</v>
      </c>
      <c r="H71" s="692">
        <f>J1048541</f>
        <v>132.80000000000001</v>
      </c>
      <c r="I71" s="692">
        <f>F1048541</f>
        <v>153.1</v>
      </c>
      <c r="J71" s="139"/>
      <c r="K71" s="266" t="s">
        <v>68</v>
      </c>
      <c r="L71" s="741" t="s">
        <v>68</v>
      </c>
      <c r="M71" s="741" t="s">
        <v>68</v>
      </c>
      <c r="N71" s="266">
        <f t="shared" ref="N71:P72" si="35">G71/F71-1</f>
        <v>-0.14734950584007178</v>
      </c>
      <c r="O71" s="266">
        <f t="shared" si="35"/>
        <v>0.3993677555321391</v>
      </c>
      <c r="P71" s="266">
        <f t="shared" si="35"/>
        <v>0.15286144578313232</v>
      </c>
    </row>
    <row r="72" spans="2:17" ht="12.75" customHeight="1">
      <c r="B72" s="141">
        <f t="shared" ref="B72:B75" si="36">IFERROR(I72/$I$75,"")</f>
        <v>0.6652600054451403</v>
      </c>
      <c r="C72" s="480" t="s">
        <v>194</v>
      </c>
      <c r="D72" s="692" t="str">
        <f>Z1048542</f>
        <v>N/A</v>
      </c>
      <c r="E72" s="692" t="str">
        <f>V1048542</f>
        <v>N/A</v>
      </c>
      <c r="F72" s="692">
        <f>R1048542</f>
        <v>593</v>
      </c>
      <c r="G72" s="692">
        <f>N1048542</f>
        <v>534.6</v>
      </c>
      <c r="H72" s="692">
        <f>J1048542</f>
        <v>521</v>
      </c>
      <c r="I72" s="692">
        <f>F1048542</f>
        <v>488.7</v>
      </c>
      <c r="J72" s="139"/>
      <c r="K72" s="266" t="s">
        <v>68</v>
      </c>
      <c r="L72" s="741" t="s">
        <v>68</v>
      </c>
      <c r="M72" s="741" t="s">
        <v>68</v>
      </c>
      <c r="N72" s="266">
        <f t="shared" si="35"/>
        <v>-9.8482293423271416E-2</v>
      </c>
      <c r="O72" s="266">
        <f t="shared" si="35"/>
        <v>-2.5439580995136546E-2</v>
      </c>
      <c r="P72" s="266">
        <f t="shared" si="35"/>
        <v>-6.1996161228406899E-2</v>
      </c>
      <c r="Q72" s="737"/>
    </row>
    <row r="73" spans="2:17" ht="12.75" customHeight="1">
      <c r="B73" s="141">
        <f t="shared" si="36"/>
        <v>0</v>
      </c>
      <c r="C73" s="131" t="s">
        <v>195</v>
      </c>
      <c r="D73" s="692" t="str">
        <f>Z1048543</f>
        <v>N/A</v>
      </c>
      <c r="E73" s="692" t="str">
        <f>V1048543</f>
        <v>N/A</v>
      </c>
      <c r="F73" s="692">
        <f>R1048543</f>
        <v>0</v>
      </c>
      <c r="G73" s="692">
        <f>N1048543</f>
        <v>0</v>
      </c>
      <c r="H73" s="692">
        <f>J1048543</f>
        <v>0</v>
      </c>
      <c r="I73" s="692">
        <f>F1048543</f>
        <v>0</v>
      </c>
      <c r="J73" s="139"/>
      <c r="K73" s="266" t="s">
        <v>68</v>
      </c>
      <c r="L73" s="741" t="s">
        <v>68</v>
      </c>
      <c r="M73" s="741" t="s">
        <v>68</v>
      </c>
      <c r="N73" s="266" t="s">
        <v>68</v>
      </c>
      <c r="O73" s="266" t="s">
        <v>68</v>
      </c>
      <c r="P73" s="266" t="s">
        <v>68</v>
      </c>
    </row>
    <row r="74" spans="2:17" ht="13.5" customHeight="1" thickBot="1">
      <c r="B74" s="141">
        <f t="shared" si="36"/>
        <v>0.12632725292676289</v>
      </c>
      <c r="C74" s="131" t="s">
        <v>196</v>
      </c>
      <c r="D74" s="692" t="str">
        <f>Z1048544</f>
        <v>N/A</v>
      </c>
      <c r="E74" s="692" t="str">
        <f>V1048544</f>
        <v>N/A</v>
      </c>
      <c r="F74" s="692">
        <f>R1048544</f>
        <v>15.8</v>
      </c>
      <c r="G74" s="692">
        <f>N1048544</f>
        <v>9.6</v>
      </c>
      <c r="H74" s="692">
        <f>J1048544</f>
        <v>8.1999999999999993</v>
      </c>
      <c r="I74" s="692">
        <f>F1048544</f>
        <v>92.8</v>
      </c>
      <c r="J74" s="139"/>
      <c r="K74" s="266" t="s">
        <v>68</v>
      </c>
      <c r="L74" s="741" t="s">
        <v>68</v>
      </c>
      <c r="M74" s="741" t="s">
        <v>68</v>
      </c>
      <c r="N74" s="266">
        <f>G74/F74-1</f>
        <v>-0.39240506329113933</v>
      </c>
      <c r="O74" s="266">
        <f>H74/G74-1</f>
        <v>-0.14583333333333337</v>
      </c>
      <c r="P74" s="266">
        <f>I74/H74-1</f>
        <v>10.317073170731708</v>
      </c>
    </row>
    <row r="75" spans="2:17" ht="13.5" customHeight="1" thickBot="1">
      <c r="B75" s="141">
        <f t="shared" si="36"/>
        <v>1</v>
      </c>
      <c r="C75" s="561" t="s">
        <v>179</v>
      </c>
      <c r="D75" s="693" t="str">
        <f>Z1048545</f>
        <v>N/A</v>
      </c>
      <c r="E75" s="694" t="str">
        <f>V1048545</f>
        <v>N/A</v>
      </c>
      <c r="F75" s="694">
        <f>R1048545</f>
        <v>720.09999999999991</v>
      </c>
      <c r="G75" s="694">
        <f>N1048545</f>
        <v>639.1</v>
      </c>
      <c r="H75" s="694">
        <f>J1048545</f>
        <v>662</v>
      </c>
      <c r="I75" s="694">
        <f>F1048545</f>
        <v>734.59999999999991</v>
      </c>
      <c r="J75" s="562"/>
      <c r="K75" s="740" t="s">
        <v>68</v>
      </c>
      <c r="L75" s="740" t="s">
        <v>68</v>
      </c>
      <c r="M75" s="740" t="s">
        <v>68</v>
      </c>
      <c r="N75" s="740">
        <f t="shared" ref="N75" si="37">G75/F75-1</f>
        <v>-0.11248437716983739</v>
      </c>
      <c r="O75" s="740">
        <f t="shared" ref="O75" si="38">H75/G75-1</f>
        <v>3.5831638241276664E-2</v>
      </c>
      <c r="P75" s="740">
        <f t="shared" ref="P75" si="39">I75/H75-1</f>
        <v>0.10966767371601205</v>
      </c>
    </row>
    <row r="76" spans="2:17" ht="12.75" customHeight="1">
      <c r="B76" s="739"/>
      <c r="I76" s="737"/>
      <c r="P76" s="150"/>
    </row>
    <row r="77" spans="2:17" ht="21" customHeight="1" thickBot="1">
      <c r="B77" s="1317" t="s">
        <v>232</v>
      </c>
      <c r="C77" s="1318"/>
      <c r="D77" s="1318"/>
      <c r="E77" s="1318"/>
      <c r="F77" s="1318"/>
      <c r="G77" s="1318"/>
      <c r="H77" s="1318"/>
      <c r="I77" s="1318"/>
      <c r="J77" s="1318"/>
      <c r="K77" s="1318"/>
      <c r="L77" s="1318"/>
      <c r="M77" s="1318"/>
      <c r="N77" s="1318"/>
      <c r="O77" s="1318"/>
      <c r="P77" s="1319"/>
    </row>
    <row r="78" spans="2:17" ht="21" customHeight="1" thickBot="1">
      <c r="B78" s="1323"/>
      <c r="C78" s="1324"/>
      <c r="D78" s="1320" t="s">
        <v>183</v>
      </c>
      <c r="E78" s="1321"/>
      <c r="F78" s="1321"/>
      <c r="G78" s="1321"/>
      <c r="H78" s="1321"/>
      <c r="I78" s="1322"/>
      <c r="J78" s="137"/>
      <c r="K78" s="1314" t="s">
        <v>184</v>
      </c>
      <c r="L78" s="1315"/>
      <c r="M78" s="1315"/>
      <c r="N78" s="1315"/>
      <c r="O78" s="1315"/>
      <c r="P78" s="1316"/>
    </row>
    <row r="79" spans="2:17" ht="13.5" customHeight="1" thickBot="1">
      <c r="B79" s="697" t="s">
        <v>185</v>
      </c>
      <c r="C79" s="698" t="s">
        <v>192</v>
      </c>
      <c r="D79" s="738">
        <v>2018</v>
      </c>
      <c r="E79" s="738">
        <f>D79+1</f>
        <v>2019</v>
      </c>
      <c r="F79" s="738">
        <f t="shared" ref="F79:I79" si="40">E79+1</f>
        <v>2020</v>
      </c>
      <c r="G79" s="738">
        <f t="shared" si="40"/>
        <v>2021</v>
      </c>
      <c r="H79" s="738">
        <f t="shared" si="40"/>
        <v>2022</v>
      </c>
      <c r="I79" s="738">
        <f t="shared" si="40"/>
        <v>2023</v>
      </c>
      <c r="J79" s="138"/>
      <c r="K79" s="738">
        <v>2018</v>
      </c>
      <c r="L79" s="738">
        <f>K79+1</f>
        <v>2019</v>
      </c>
      <c r="M79" s="738">
        <f t="shared" ref="M79:P79" si="41">L79+1</f>
        <v>2020</v>
      </c>
      <c r="N79" s="738">
        <f t="shared" si="41"/>
        <v>2021</v>
      </c>
      <c r="O79" s="738">
        <f t="shared" si="41"/>
        <v>2022</v>
      </c>
      <c r="P79" s="738">
        <f t="shared" si="41"/>
        <v>2023</v>
      </c>
    </row>
    <row r="80" spans="2:17" ht="12.75" customHeight="1">
      <c r="B80" s="141">
        <f>IFERROR(I80/$I$84,"")</f>
        <v>0.4263261296660118</v>
      </c>
      <c r="C80" s="130" t="s">
        <v>193</v>
      </c>
      <c r="D80" s="692">
        <f>AA1048541</f>
        <v>31.8</v>
      </c>
      <c r="E80" s="692">
        <f>W1048541</f>
        <v>52.3</v>
      </c>
      <c r="F80" s="692">
        <f>S1048541</f>
        <v>97.3</v>
      </c>
      <c r="G80" s="692">
        <f>O1048541</f>
        <v>130.19999999999999</v>
      </c>
      <c r="H80" s="692">
        <f>K1048541</f>
        <v>144.9</v>
      </c>
      <c r="I80" s="692">
        <f>G1048541</f>
        <v>86.8</v>
      </c>
      <c r="J80" s="139"/>
      <c r="K80" s="266" t="s">
        <v>68</v>
      </c>
      <c r="L80" s="266">
        <f t="shared" ref="L80:P81" si="42">E80/D80-1</f>
        <v>0.64465408805031443</v>
      </c>
      <c r="M80" s="266">
        <f t="shared" si="42"/>
        <v>0.86042065009560242</v>
      </c>
      <c r="N80" s="266">
        <f t="shared" si="42"/>
        <v>0.33812949640287759</v>
      </c>
      <c r="O80" s="266">
        <f t="shared" si="42"/>
        <v>0.11290322580645173</v>
      </c>
      <c r="P80" s="266">
        <f t="shared" si="42"/>
        <v>-0.40096618357487923</v>
      </c>
    </row>
    <row r="81" spans="2:45" ht="12.75" customHeight="1">
      <c r="B81" s="141">
        <f t="shared" ref="B81:B84" si="43">IFERROR(I81/$I$84,"")</f>
        <v>0.3619842829076621</v>
      </c>
      <c r="C81" s="480" t="s">
        <v>194</v>
      </c>
      <c r="D81" s="692">
        <f>AA1048542</f>
        <v>93.1</v>
      </c>
      <c r="E81" s="692">
        <f>W1048542</f>
        <v>68.8</v>
      </c>
      <c r="F81" s="692">
        <f>S1048542</f>
        <v>49.6</v>
      </c>
      <c r="G81" s="692">
        <f>O1048542</f>
        <v>50.3</v>
      </c>
      <c r="H81" s="692">
        <f>K1048542</f>
        <v>63.9</v>
      </c>
      <c r="I81" s="692">
        <f>G1048542</f>
        <v>73.7</v>
      </c>
      <c r="J81" s="139"/>
      <c r="K81" s="266" t="s">
        <v>68</v>
      </c>
      <c r="L81" s="266">
        <f t="shared" si="42"/>
        <v>-0.26100966702470463</v>
      </c>
      <c r="M81" s="266">
        <f t="shared" si="42"/>
        <v>-0.27906976744186041</v>
      </c>
      <c r="N81" s="266">
        <f t="shared" si="42"/>
        <v>1.4112903225806273E-2</v>
      </c>
      <c r="O81" s="266">
        <f t="shared" si="42"/>
        <v>0.27037773359840966</v>
      </c>
      <c r="P81" s="266">
        <f t="shared" si="42"/>
        <v>0.15336463223787167</v>
      </c>
    </row>
    <row r="82" spans="2:45" ht="12.75" customHeight="1">
      <c r="B82" s="141">
        <f t="shared" si="43"/>
        <v>0</v>
      </c>
      <c r="C82" s="131" t="s">
        <v>195</v>
      </c>
      <c r="D82" s="692">
        <f>AA1048543</f>
        <v>0</v>
      </c>
      <c r="E82" s="692">
        <f>W1048543</f>
        <v>0</v>
      </c>
      <c r="F82" s="692">
        <f>S1048543</f>
        <v>0</v>
      </c>
      <c r="G82" s="692">
        <f>O1048543</f>
        <v>0</v>
      </c>
      <c r="H82" s="692">
        <f>K1048543</f>
        <v>0</v>
      </c>
      <c r="I82" s="692">
        <f>G1048543</f>
        <v>0</v>
      </c>
      <c r="J82" s="139"/>
      <c r="K82" s="266" t="s">
        <v>68</v>
      </c>
      <c r="L82" s="266" t="s">
        <v>68</v>
      </c>
      <c r="M82" s="266" t="s">
        <v>68</v>
      </c>
      <c r="N82" s="266" t="s">
        <v>68</v>
      </c>
      <c r="O82" s="266" t="s">
        <v>68</v>
      </c>
      <c r="P82" s="266" t="s">
        <v>68</v>
      </c>
    </row>
    <row r="83" spans="2:45" ht="13.5" customHeight="1" thickBot="1">
      <c r="B83" s="141">
        <f t="shared" si="43"/>
        <v>0.21168958742632615</v>
      </c>
      <c r="C83" s="131" t="s">
        <v>196</v>
      </c>
      <c r="D83" s="692">
        <f>AA1048544</f>
        <v>3.7</v>
      </c>
      <c r="E83" s="692">
        <f>W1048544</f>
        <v>17.700000000000003</v>
      </c>
      <c r="F83" s="692">
        <f>S1048544</f>
        <v>15.9</v>
      </c>
      <c r="G83" s="692">
        <f>O1048544</f>
        <v>81.399999999999991</v>
      </c>
      <c r="H83" s="692">
        <f>K1048544</f>
        <v>39.6</v>
      </c>
      <c r="I83" s="692">
        <f>G1048544</f>
        <v>43.1</v>
      </c>
      <c r="J83" s="139"/>
      <c r="K83" s="266" t="s">
        <v>68</v>
      </c>
      <c r="L83" s="266">
        <f>E83/D83-1</f>
        <v>3.7837837837837842</v>
      </c>
      <c r="M83" s="266">
        <f>F83/E83-1</f>
        <v>-0.10169491525423746</v>
      </c>
      <c r="N83" s="266">
        <f>G83/F83-1</f>
        <v>4.1194968553459113</v>
      </c>
      <c r="O83" s="266">
        <f>H83/G83-1</f>
        <v>-0.51351351351351338</v>
      </c>
      <c r="P83" s="266">
        <f>I83/H83-1</f>
        <v>8.8383838383838453E-2</v>
      </c>
    </row>
    <row r="84" spans="2:45" ht="13.5" customHeight="1" thickBot="1">
      <c r="B84" s="742">
        <f t="shared" si="43"/>
        <v>1</v>
      </c>
      <c r="C84" s="743" t="s">
        <v>179</v>
      </c>
      <c r="D84" s="744">
        <f>AA1048545</f>
        <v>128.6</v>
      </c>
      <c r="E84" s="745">
        <f>W1048545</f>
        <v>138.80000000000001</v>
      </c>
      <c r="F84" s="745">
        <f>S1048545</f>
        <v>162.80000000000001</v>
      </c>
      <c r="G84" s="745">
        <f>O1048545</f>
        <v>261.89999999999998</v>
      </c>
      <c r="H84" s="745">
        <f>K1048545</f>
        <v>248.4</v>
      </c>
      <c r="I84" s="746">
        <f>G1048545</f>
        <v>203.6</v>
      </c>
      <c r="J84" s="562"/>
      <c r="K84" s="740" t="s">
        <v>68</v>
      </c>
      <c r="L84" s="740">
        <f>E84/D84-1</f>
        <v>7.9315707620528864E-2</v>
      </c>
      <c r="M84" s="740">
        <f t="shared" ref="M84" si="44">F84/E84-1</f>
        <v>0.17291066282420742</v>
      </c>
      <c r="N84" s="740">
        <f t="shared" ref="N84" si="45">G84/F84-1</f>
        <v>0.60872235872235847</v>
      </c>
      <c r="O84" s="740">
        <f t="shared" ref="O84" si="46">H84/G84-1</f>
        <v>-5.1546391752577247E-2</v>
      </c>
      <c r="P84" s="740">
        <f t="shared" ref="P84" si="47">I84/H84-1</f>
        <v>-0.18035426731078907</v>
      </c>
      <c r="T84" s="1048"/>
      <c r="U84" s="1048"/>
      <c r="V84" s="1048"/>
      <c r="W84" s="1048"/>
      <c r="X84" s="1048"/>
      <c r="Y84" s="1048"/>
      <c r="Z84" s="1048"/>
      <c r="AA84" s="1048"/>
      <c r="AB84" s="1048"/>
      <c r="AC84" s="1048"/>
      <c r="AD84" s="1048"/>
      <c r="AE84" s="1048"/>
      <c r="AF84" s="1048"/>
      <c r="AG84" s="1048"/>
      <c r="AH84" s="1048"/>
      <c r="AI84" s="1048"/>
      <c r="AJ84" s="1048"/>
      <c r="AK84" s="1048"/>
      <c r="AL84" s="1048"/>
      <c r="AM84" s="1048"/>
      <c r="AN84" s="1048"/>
      <c r="AO84" s="1048"/>
      <c r="AP84" s="1048"/>
      <c r="AQ84" s="1048"/>
      <c r="AR84" s="1048"/>
      <c r="AS84" s="1048"/>
    </row>
    <row r="85" spans="2:45" ht="12.75" customHeight="1">
      <c r="T85" s="1048"/>
      <c r="U85" s="1048"/>
      <c r="V85" s="1048"/>
      <c r="W85" s="1048"/>
      <c r="X85" s="1048"/>
      <c r="Y85" s="1048"/>
      <c r="Z85" s="1048"/>
      <c r="AA85" s="1048"/>
      <c r="AB85" s="1048"/>
      <c r="AC85" s="1048"/>
      <c r="AD85" s="1048"/>
      <c r="AE85" s="1048"/>
      <c r="AF85" s="1048"/>
      <c r="AG85" s="1048"/>
      <c r="AH85" s="1048"/>
      <c r="AI85" s="1048"/>
      <c r="AJ85" s="1048"/>
      <c r="AK85" s="1048"/>
      <c r="AL85" s="1048"/>
      <c r="AM85" s="1048"/>
      <c r="AN85" s="1048"/>
      <c r="AO85" s="1048"/>
      <c r="AP85" s="1048"/>
      <c r="AQ85" s="1048"/>
      <c r="AR85" s="1048"/>
      <c r="AS85" s="1048"/>
    </row>
    <row r="89" spans="2:45">
      <c r="D89"/>
    </row>
    <row r="90" spans="2:45">
      <c r="D90"/>
    </row>
    <row r="91" spans="2:45">
      <c r="D91"/>
    </row>
    <row r="92" spans="2:45">
      <c r="D92"/>
    </row>
    <row r="93" spans="2:45">
      <c r="D93"/>
    </row>
    <row r="94" spans="2:45">
      <c r="D94"/>
    </row>
    <row r="95" spans="2:45">
      <c r="D95"/>
    </row>
    <row r="96" spans="2:45">
      <c r="D96"/>
    </row>
    <row r="97" spans="4:4">
      <c r="D97"/>
    </row>
    <row r="98" spans="4:4">
      <c r="D98"/>
    </row>
    <row r="99" spans="4:4">
      <c r="D99"/>
    </row>
    <row r="100" spans="4:4">
      <c r="D100"/>
    </row>
    <row r="101" spans="4:4">
      <c r="D101"/>
    </row>
    <row r="137" spans="33:53" ht="12.95" thickBot="1"/>
    <row r="138" spans="33:53" ht="9.75" customHeight="1" thickTop="1">
      <c r="AG138" s="715"/>
      <c r="AH138" s="716"/>
      <c r="AI138" s="716"/>
      <c r="AJ138" s="716"/>
      <c r="AK138" s="716"/>
      <c r="AL138" s="716"/>
      <c r="AM138" s="716"/>
      <c r="AN138" s="716"/>
      <c r="AO138" s="716"/>
      <c r="AP138" s="716"/>
      <c r="AQ138" s="716"/>
      <c r="AR138" s="716"/>
      <c r="AS138" s="716"/>
      <c r="AT138" s="716"/>
      <c r="AU138" s="716"/>
      <c r="AV138" s="716"/>
      <c r="AW138" s="716"/>
      <c r="AX138" s="716"/>
      <c r="AY138" s="716"/>
      <c r="AZ138" s="716"/>
      <c r="BA138" s="717"/>
    </row>
    <row r="139" spans="33:53" ht="17.45" customHeight="1">
      <c r="AG139" s="718"/>
      <c r="AH139" s="1393" t="str">
        <f>HYPERLINK("#Segments!A1","Back to segments")</f>
        <v>Back to segments</v>
      </c>
      <c r="AI139" s="1394"/>
      <c r="AJ139" s="719"/>
      <c r="AK139" s="719"/>
      <c r="AL139" s="719"/>
      <c r="AM139" s="1397" t="s">
        <v>233</v>
      </c>
      <c r="AN139" s="1397"/>
      <c r="AO139" s="1397"/>
      <c r="AP139" s="1397"/>
      <c r="AQ139" s="1397"/>
      <c r="AR139" s="1397"/>
      <c r="AS139" s="1397"/>
      <c r="AT139" s="1397"/>
      <c r="AU139" s="1397"/>
      <c r="AV139" s="1397"/>
      <c r="AW139" s="1397"/>
      <c r="AX139" s="719"/>
      <c r="AY139" s="719"/>
      <c r="AZ139" s="719"/>
      <c r="BA139" s="720"/>
    </row>
    <row r="140" spans="33:53" ht="17.45" customHeight="1">
      <c r="AG140" s="718"/>
      <c r="AH140" s="1395"/>
      <c r="AI140" s="1396"/>
      <c r="AJ140" s="719"/>
      <c r="AK140" s="719"/>
      <c r="AL140" s="719"/>
      <c r="AM140" s="1397"/>
      <c r="AN140" s="1397"/>
      <c r="AO140" s="1397"/>
      <c r="AP140" s="1397"/>
      <c r="AQ140" s="1397"/>
      <c r="AR140" s="1397"/>
      <c r="AS140" s="1397"/>
      <c r="AT140" s="1397"/>
      <c r="AU140" s="1397"/>
      <c r="AV140" s="1397"/>
      <c r="AW140" s="1397"/>
      <c r="AX140" s="719"/>
      <c r="AY140" s="719"/>
      <c r="AZ140" s="719"/>
      <c r="BA140" s="720"/>
    </row>
    <row r="141" spans="33:53">
      <c r="AG141" s="718"/>
      <c r="AH141" s="719"/>
      <c r="AI141" s="719"/>
      <c r="AJ141" s="719"/>
      <c r="AK141" s="719"/>
      <c r="AL141" s="719"/>
      <c r="AM141" s="719"/>
      <c r="AN141" s="719"/>
      <c r="AO141" s="719"/>
      <c r="AP141" s="719"/>
      <c r="AQ141" s="719"/>
      <c r="AR141" s="719"/>
      <c r="AS141" s="719"/>
      <c r="AT141" s="719"/>
      <c r="AU141" s="719"/>
      <c r="AV141" s="719"/>
      <c r="AW141" s="719"/>
      <c r="AX141" s="719"/>
      <c r="AY141" s="719"/>
      <c r="AZ141" s="719"/>
      <c r="BA141" s="720"/>
    </row>
    <row r="142" spans="33:53">
      <c r="AG142" s="718"/>
      <c r="AH142" s="719"/>
      <c r="AI142" s="719"/>
      <c r="AJ142" s="719"/>
      <c r="AK142" s="719"/>
      <c r="AL142" s="719"/>
      <c r="AM142" s="719"/>
      <c r="AN142" s="719"/>
      <c r="AO142" s="719"/>
      <c r="AP142" s="719"/>
      <c r="AQ142" s="719"/>
      <c r="AR142" s="719"/>
      <c r="AS142" s="719"/>
      <c r="AT142" s="719"/>
      <c r="AU142" s="719"/>
      <c r="AV142" s="719"/>
      <c r="AW142" s="719"/>
      <c r="AX142" s="719"/>
      <c r="AY142" s="719"/>
      <c r="AZ142" s="719"/>
      <c r="BA142" s="720"/>
    </row>
    <row r="143" spans="33:53">
      <c r="AG143" s="718"/>
      <c r="AH143" s="719"/>
      <c r="AI143" s="719"/>
      <c r="AJ143" s="719"/>
      <c r="AK143" s="719"/>
      <c r="AL143" s="719"/>
      <c r="AM143" s="719"/>
      <c r="AN143" s="719"/>
      <c r="AO143" s="719"/>
      <c r="AP143" s="719"/>
      <c r="AQ143" s="719"/>
      <c r="AR143" s="719"/>
      <c r="AS143" s="719"/>
      <c r="AT143" s="719"/>
      <c r="AU143" s="719"/>
      <c r="AV143" s="719"/>
      <c r="AW143" s="719"/>
      <c r="AX143" s="719"/>
      <c r="AY143" s="719"/>
      <c r="AZ143" s="719"/>
      <c r="BA143" s="720"/>
    </row>
    <row r="144" spans="33:53">
      <c r="AG144" s="718"/>
      <c r="AH144" s="719"/>
      <c r="AI144" s="719"/>
      <c r="AJ144" s="719"/>
      <c r="AK144" s="719"/>
      <c r="AL144" s="719"/>
      <c r="AM144" s="719"/>
      <c r="AN144" s="719"/>
      <c r="AO144" s="719"/>
      <c r="AP144" s="719"/>
      <c r="AQ144" s="719"/>
      <c r="AR144" s="719"/>
      <c r="AS144" s="719"/>
      <c r="AT144" s="719"/>
      <c r="AU144" s="719"/>
      <c r="AV144" s="719"/>
      <c r="AW144" s="719"/>
      <c r="AX144" s="719"/>
      <c r="AY144" s="719"/>
      <c r="AZ144" s="719"/>
      <c r="BA144" s="720"/>
    </row>
    <row r="145" spans="33:53">
      <c r="AG145" s="718"/>
      <c r="AH145" s="719"/>
      <c r="AI145" s="719"/>
      <c r="AJ145" s="719"/>
      <c r="AK145" s="719"/>
      <c r="AL145" s="719"/>
      <c r="AM145" s="719"/>
      <c r="AN145" s="719"/>
      <c r="AO145" s="719"/>
      <c r="AP145" s="719"/>
      <c r="AQ145" s="719"/>
      <c r="AR145" s="719"/>
      <c r="AS145" s="719"/>
      <c r="AT145" s="719"/>
      <c r="AU145" s="719"/>
      <c r="AV145" s="719"/>
      <c r="AW145" s="719"/>
      <c r="AX145" s="719"/>
      <c r="AY145" s="719"/>
      <c r="AZ145" s="719"/>
      <c r="BA145" s="720"/>
    </row>
    <row r="146" spans="33:53">
      <c r="AG146" s="718"/>
      <c r="AH146" s="719"/>
      <c r="AI146" s="719"/>
      <c r="AJ146" s="719"/>
      <c r="AK146" s="719"/>
      <c r="AL146" s="719"/>
      <c r="AM146" s="719"/>
      <c r="AN146" s="719"/>
      <c r="AO146" s="719"/>
      <c r="AP146" s="719"/>
      <c r="AQ146" s="719"/>
      <c r="AR146" s="719"/>
      <c r="AS146" s="719"/>
      <c r="AT146" s="719"/>
      <c r="AU146" s="719"/>
      <c r="AV146" s="719"/>
      <c r="AW146" s="719"/>
      <c r="AX146" s="719"/>
      <c r="AY146" s="719"/>
      <c r="AZ146" s="719"/>
      <c r="BA146" s="720"/>
    </row>
    <row r="147" spans="33:53">
      <c r="AG147" s="718"/>
      <c r="AH147" s="719"/>
      <c r="AI147" s="719"/>
      <c r="AJ147" s="719"/>
      <c r="AK147" s="719"/>
      <c r="AL147" s="719"/>
      <c r="AM147" s="719"/>
      <c r="AN147" s="719"/>
      <c r="AO147" s="719"/>
      <c r="AP147" s="719"/>
      <c r="AQ147" s="719"/>
      <c r="AR147" s="719"/>
      <c r="AS147" s="719"/>
      <c r="AT147" s="719"/>
      <c r="AU147" s="719"/>
      <c r="AV147" s="719"/>
      <c r="AW147" s="719"/>
      <c r="AX147" s="719"/>
      <c r="AY147" s="719"/>
      <c r="AZ147" s="719"/>
      <c r="BA147" s="720"/>
    </row>
    <row r="148" spans="33:53">
      <c r="AG148" s="718"/>
      <c r="AH148" s="719"/>
      <c r="AI148" s="719"/>
      <c r="AJ148" s="719"/>
      <c r="AK148" s="719"/>
      <c r="AL148" s="719"/>
      <c r="AM148" s="719"/>
      <c r="AN148" s="719"/>
      <c r="AO148" s="719"/>
      <c r="AP148" s="719"/>
      <c r="AQ148" s="719"/>
      <c r="AR148" s="719"/>
      <c r="AS148" s="719"/>
      <c r="AT148" s="719"/>
      <c r="AU148" s="719"/>
      <c r="AV148" s="719"/>
      <c r="AW148" s="719"/>
      <c r="AX148" s="719"/>
      <c r="AY148" s="719"/>
      <c r="AZ148" s="719"/>
      <c r="BA148" s="720"/>
    </row>
    <row r="149" spans="33:53">
      <c r="AG149" s="718"/>
      <c r="AH149" s="719"/>
      <c r="AI149" s="719"/>
      <c r="AJ149" s="719"/>
      <c r="AK149" s="719"/>
      <c r="AL149" s="719"/>
      <c r="AM149" s="719"/>
      <c r="AN149" s="719"/>
      <c r="AO149" s="719"/>
      <c r="AP149" s="719"/>
      <c r="AQ149" s="719"/>
      <c r="AR149" s="719"/>
      <c r="AS149" s="719"/>
      <c r="AT149" s="719"/>
      <c r="AU149" s="719"/>
      <c r="AV149" s="719"/>
      <c r="AW149" s="719"/>
      <c r="AX149" s="719"/>
      <c r="AY149" s="719"/>
      <c r="AZ149" s="719"/>
      <c r="BA149" s="720"/>
    </row>
    <row r="150" spans="33:53">
      <c r="AG150" s="718"/>
      <c r="AH150" s="719"/>
      <c r="AI150" s="719"/>
      <c r="AJ150" s="719"/>
      <c r="AK150" s="719"/>
      <c r="AL150" s="719"/>
      <c r="AM150" s="719"/>
      <c r="AN150" s="719"/>
      <c r="AO150" s="719"/>
      <c r="AP150" s="719"/>
      <c r="AQ150" s="719"/>
      <c r="AR150" s="719"/>
      <c r="AS150" s="719"/>
      <c r="AT150" s="719"/>
      <c r="AU150" s="719"/>
      <c r="AV150" s="719"/>
      <c r="AW150" s="719"/>
      <c r="AX150" s="719"/>
      <c r="AY150" s="719"/>
      <c r="AZ150" s="719"/>
      <c r="BA150" s="720"/>
    </row>
    <row r="151" spans="33:53">
      <c r="AG151" s="718"/>
      <c r="AH151" s="719"/>
      <c r="AI151" s="719"/>
      <c r="AJ151" s="719"/>
      <c r="AK151" s="719"/>
      <c r="AL151" s="719"/>
      <c r="AM151" s="719"/>
      <c r="AN151" s="719"/>
      <c r="AO151" s="719"/>
      <c r="AP151" s="719"/>
      <c r="AQ151" s="719"/>
      <c r="AR151" s="719"/>
      <c r="AS151" s="719"/>
      <c r="AT151" s="719"/>
      <c r="AU151" s="719"/>
      <c r="AV151" s="719"/>
      <c r="AW151" s="719"/>
      <c r="AX151" s="719"/>
      <c r="AY151" s="719"/>
      <c r="AZ151" s="719"/>
      <c r="BA151" s="720"/>
    </row>
    <row r="152" spans="33:53">
      <c r="AG152" s="718"/>
      <c r="AH152" s="719"/>
      <c r="AI152" s="719"/>
      <c r="AJ152" s="719"/>
      <c r="AK152" s="719"/>
      <c r="AL152" s="719"/>
      <c r="AM152" s="719"/>
      <c r="AN152" s="719"/>
      <c r="AO152" s="719"/>
      <c r="AP152" s="719"/>
      <c r="AQ152" s="719"/>
      <c r="AR152" s="719"/>
      <c r="AS152" s="719"/>
      <c r="AT152" s="719"/>
      <c r="AU152" s="719"/>
      <c r="AV152" s="719"/>
      <c r="AW152" s="719"/>
      <c r="AX152" s="719"/>
      <c r="AY152" s="719"/>
      <c r="AZ152" s="719"/>
      <c r="BA152" s="720"/>
    </row>
    <row r="153" spans="33:53">
      <c r="AG153" s="718"/>
      <c r="AH153" s="719"/>
      <c r="AI153" s="719"/>
      <c r="AJ153" s="719"/>
      <c r="AK153" s="719"/>
      <c r="AL153" s="719"/>
      <c r="AM153" s="719"/>
      <c r="AN153" s="719"/>
      <c r="AO153" s="719"/>
      <c r="AP153" s="719"/>
      <c r="AQ153" s="719"/>
      <c r="AR153" s="719"/>
      <c r="AS153" s="719"/>
      <c r="AT153" s="719"/>
      <c r="AU153" s="719"/>
      <c r="AV153" s="719"/>
      <c r="AW153" s="719"/>
      <c r="AX153" s="719"/>
      <c r="AY153" s="719"/>
      <c r="AZ153" s="719"/>
      <c r="BA153" s="720"/>
    </row>
    <row r="154" spans="33:53">
      <c r="AG154" s="718"/>
      <c r="AH154" s="719"/>
      <c r="AI154" s="719"/>
      <c r="AJ154" s="719"/>
      <c r="AK154" s="719"/>
      <c r="AL154" s="719"/>
      <c r="AM154" s="719"/>
      <c r="AN154" s="719"/>
      <c r="AO154" s="719"/>
      <c r="AP154" s="719"/>
      <c r="AQ154" s="719"/>
      <c r="AR154" s="719"/>
      <c r="AS154" s="719"/>
      <c r="AT154" s="719"/>
      <c r="AU154" s="719"/>
      <c r="AV154" s="719"/>
      <c r="AW154" s="719"/>
      <c r="AX154" s="719"/>
      <c r="AY154" s="719"/>
      <c r="AZ154" s="719"/>
      <c r="BA154" s="720"/>
    </row>
    <row r="155" spans="33:53">
      <c r="AG155" s="718"/>
      <c r="AH155" s="719"/>
      <c r="AI155" s="719"/>
      <c r="AJ155" s="719"/>
      <c r="AK155" s="719"/>
      <c r="AL155" s="719"/>
      <c r="AM155" s="719"/>
      <c r="AN155" s="719"/>
      <c r="AO155" s="719"/>
      <c r="AP155" s="719"/>
      <c r="AQ155" s="719"/>
      <c r="AR155" s="719"/>
      <c r="AS155" s="719"/>
      <c r="AT155" s="719"/>
      <c r="AU155" s="719"/>
      <c r="AV155" s="719"/>
      <c r="AW155" s="719"/>
      <c r="AX155" s="719"/>
      <c r="AY155" s="719"/>
      <c r="AZ155" s="719"/>
      <c r="BA155" s="720"/>
    </row>
    <row r="156" spans="33:53">
      <c r="AG156" s="718"/>
      <c r="AH156" s="719"/>
      <c r="AI156" s="719"/>
      <c r="AJ156" s="719"/>
      <c r="AK156" s="719"/>
      <c r="AL156" s="719"/>
      <c r="AM156" s="719"/>
      <c r="AN156" s="719"/>
      <c r="AO156" s="719"/>
      <c r="AP156" s="719"/>
      <c r="AQ156" s="719"/>
      <c r="AR156" s="719"/>
      <c r="AS156" s="719"/>
      <c r="AT156" s="719"/>
      <c r="AU156" s="719"/>
      <c r="AV156" s="719"/>
      <c r="AW156" s="719"/>
      <c r="AX156" s="719"/>
      <c r="AY156" s="719"/>
      <c r="AZ156" s="719"/>
      <c r="BA156" s="720"/>
    </row>
    <row r="157" spans="33:53">
      <c r="AG157" s="718"/>
      <c r="AH157" s="719"/>
      <c r="AI157" s="719"/>
      <c r="AJ157" s="719"/>
      <c r="AK157" s="719"/>
      <c r="AL157" s="719"/>
      <c r="AM157" s="719"/>
      <c r="AN157" s="719"/>
      <c r="AO157" s="719"/>
      <c r="AP157" s="719"/>
      <c r="AQ157" s="719"/>
      <c r="AR157" s="719"/>
      <c r="AS157" s="719"/>
      <c r="AT157" s="719"/>
      <c r="AU157" s="719"/>
      <c r="AV157" s="719"/>
      <c r="AW157" s="719"/>
      <c r="AX157" s="719"/>
      <c r="AY157" s="719"/>
      <c r="AZ157" s="719"/>
      <c r="BA157" s="720"/>
    </row>
    <row r="158" spans="33:53">
      <c r="AG158" s="718"/>
      <c r="AH158" s="719"/>
      <c r="AI158" s="719"/>
      <c r="AJ158" s="719"/>
      <c r="AK158" s="719"/>
      <c r="AL158" s="719"/>
      <c r="AM158" s="719"/>
      <c r="AN158" s="719"/>
      <c r="AO158" s="719"/>
      <c r="AP158" s="719"/>
      <c r="AQ158" s="719"/>
      <c r="AR158" s="719"/>
      <c r="AS158" s="719"/>
      <c r="AT158" s="719"/>
      <c r="AU158" s="719"/>
      <c r="AV158" s="719"/>
      <c r="AW158" s="719"/>
      <c r="AX158" s="719"/>
      <c r="AY158" s="719"/>
      <c r="AZ158" s="719"/>
      <c r="BA158" s="720"/>
    </row>
    <row r="159" spans="33:53">
      <c r="AG159" s="718"/>
      <c r="AH159" s="719"/>
      <c r="AI159" s="719"/>
      <c r="AJ159" s="719"/>
      <c r="AK159" s="719"/>
      <c r="AL159" s="719"/>
      <c r="AM159" s="719"/>
      <c r="AN159" s="719"/>
      <c r="AO159" s="719"/>
      <c r="AP159" s="719"/>
      <c r="AQ159" s="719"/>
      <c r="AR159" s="719"/>
      <c r="AS159" s="719"/>
      <c r="AT159" s="719"/>
      <c r="AU159" s="719"/>
      <c r="AV159" s="719"/>
      <c r="AW159" s="719"/>
      <c r="AX159" s="719"/>
      <c r="AY159" s="719"/>
      <c r="AZ159" s="719"/>
      <c r="BA159" s="720"/>
    </row>
    <row r="160" spans="33:53">
      <c r="AG160" s="718"/>
      <c r="AH160" s="719"/>
      <c r="AI160" s="719"/>
      <c r="AJ160" s="719"/>
      <c r="AK160" s="719"/>
      <c r="AL160" s="719"/>
      <c r="AM160" s="719"/>
      <c r="AN160" s="719"/>
      <c r="AO160" s="719"/>
      <c r="AP160" s="719"/>
      <c r="AQ160" s="719"/>
      <c r="AR160" s="719"/>
      <c r="AS160" s="719"/>
      <c r="AT160" s="719"/>
      <c r="AU160" s="719"/>
      <c r="AV160" s="719"/>
      <c r="AW160" s="719"/>
      <c r="AX160" s="719"/>
      <c r="AY160" s="719"/>
      <c r="AZ160" s="719"/>
      <c r="BA160" s="720"/>
    </row>
    <row r="161" spans="33:53">
      <c r="AG161" s="718"/>
      <c r="AH161" s="719"/>
      <c r="AI161" s="719"/>
      <c r="AJ161" s="719"/>
      <c r="AK161" s="719"/>
      <c r="AL161" s="719"/>
      <c r="AM161" s="719"/>
      <c r="AN161" s="719"/>
      <c r="AO161" s="719"/>
      <c r="AP161" s="719"/>
      <c r="AQ161" s="719"/>
      <c r="AR161" s="719"/>
      <c r="AS161" s="719"/>
      <c r="AT161" s="719"/>
      <c r="AU161" s="719"/>
      <c r="AV161" s="719"/>
      <c r="AW161" s="719"/>
      <c r="AX161" s="719"/>
      <c r="AY161" s="719"/>
      <c r="AZ161" s="719"/>
      <c r="BA161" s="720"/>
    </row>
    <row r="162" spans="33:53">
      <c r="AG162" s="718"/>
      <c r="AH162" s="719"/>
      <c r="AI162" s="719"/>
      <c r="AJ162" s="719"/>
      <c r="AK162" s="719"/>
      <c r="AL162" s="719"/>
      <c r="AM162" s="719"/>
      <c r="AN162" s="719"/>
      <c r="AO162" s="719"/>
      <c r="AP162" s="719"/>
      <c r="AQ162" s="719"/>
      <c r="AR162" s="719"/>
      <c r="AS162" s="719"/>
      <c r="AT162" s="719"/>
      <c r="AU162" s="719"/>
      <c r="AV162" s="719"/>
      <c r="AW162" s="719"/>
      <c r="AX162" s="719"/>
      <c r="AY162" s="719"/>
      <c r="AZ162" s="719"/>
      <c r="BA162" s="720"/>
    </row>
    <row r="163" spans="33:53">
      <c r="AG163" s="718"/>
      <c r="AH163" s="719"/>
      <c r="AI163" s="719"/>
      <c r="AJ163" s="719"/>
      <c r="AK163" s="719"/>
      <c r="AL163" s="719"/>
      <c r="AM163" s="719"/>
      <c r="AN163" s="719"/>
      <c r="AO163" s="719"/>
      <c r="AP163" s="719"/>
      <c r="AQ163" s="719"/>
      <c r="AR163" s="719"/>
      <c r="AS163" s="719"/>
      <c r="AT163" s="719"/>
      <c r="AU163" s="719"/>
      <c r="AV163" s="719"/>
      <c r="AW163" s="719"/>
      <c r="AX163" s="719"/>
      <c r="AY163" s="719"/>
      <c r="AZ163" s="719"/>
      <c r="BA163" s="720"/>
    </row>
    <row r="164" spans="33:53">
      <c r="AG164" s="718"/>
      <c r="AH164" s="719"/>
      <c r="AI164" s="719"/>
      <c r="AJ164" s="719"/>
      <c r="AK164" s="719"/>
      <c r="AL164" s="719"/>
      <c r="AM164" s="719"/>
      <c r="AN164" s="719"/>
      <c r="AO164" s="719"/>
      <c r="AP164" s="719"/>
      <c r="AQ164" s="719"/>
      <c r="AR164" s="719"/>
      <c r="AS164" s="719"/>
      <c r="AT164" s="719"/>
      <c r="AU164" s="719"/>
      <c r="AV164" s="719"/>
      <c r="AW164" s="719"/>
      <c r="AX164" s="719"/>
      <c r="AY164" s="719"/>
      <c r="AZ164" s="719"/>
      <c r="BA164" s="720"/>
    </row>
    <row r="165" spans="33:53">
      <c r="AG165" s="718"/>
      <c r="AH165" s="719"/>
      <c r="AI165" s="719"/>
      <c r="AJ165" s="719"/>
      <c r="AK165" s="719"/>
      <c r="AL165" s="719"/>
      <c r="AM165" s="719"/>
      <c r="AN165" s="719"/>
      <c r="AO165" s="719"/>
      <c r="AP165" s="719"/>
      <c r="AQ165" s="719"/>
      <c r="AR165" s="719"/>
      <c r="AS165" s="719"/>
      <c r="AT165" s="719"/>
      <c r="AU165" s="719"/>
      <c r="AV165" s="719"/>
      <c r="AW165" s="719"/>
      <c r="AX165" s="719"/>
      <c r="AY165" s="719"/>
      <c r="AZ165" s="719"/>
      <c r="BA165" s="720"/>
    </row>
    <row r="166" spans="33:53">
      <c r="AG166" s="718"/>
      <c r="AH166" s="719"/>
      <c r="AI166" s="719"/>
      <c r="AJ166" s="719"/>
      <c r="AK166" s="719"/>
      <c r="AL166" s="719"/>
      <c r="AM166" s="719"/>
      <c r="AN166" s="719"/>
      <c r="AO166" s="719"/>
      <c r="AP166" s="719"/>
      <c r="AQ166" s="719"/>
      <c r="AR166" s="719"/>
      <c r="AS166" s="719"/>
      <c r="AT166" s="719"/>
      <c r="AU166" s="719"/>
      <c r="AV166" s="719"/>
      <c r="AW166" s="719"/>
      <c r="AX166" s="719"/>
      <c r="AY166" s="719"/>
      <c r="AZ166" s="719"/>
      <c r="BA166" s="720"/>
    </row>
    <row r="167" spans="33:53">
      <c r="AG167" s="718"/>
      <c r="AH167" s="719"/>
      <c r="AI167" s="719"/>
      <c r="AJ167" s="719"/>
      <c r="AK167" s="719"/>
      <c r="AL167" s="719"/>
      <c r="AM167" s="719"/>
      <c r="AN167" s="719"/>
      <c r="AO167" s="719"/>
      <c r="AP167" s="719"/>
      <c r="AQ167" s="719"/>
      <c r="AR167" s="719"/>
      <c r="AS167" s="719"/>
      <c r="AT167" s="719"/>
      <c r="AU167" s="719"/>
      <c r="AV167" s="719"/>
      <c r="AW167" s="719"/>
      <c r="AX167" s="719"/>
      <c r="AY167" s="719"/>
      <c r="AZ167" s="719"/>
      <c r="BA167" s="720"/>
    </row>
    <row r="168" spans="33:53">
      <c r="AG168" s="718"/>
      <c r="AH168" s="719"/>
      <c r="AI168" s="719"/>
      <c r="AJ168" s="719"/>
      <c r="AK168" s="719"/>
      <c r="AL168" s="719"/>
      <c r="AM168" s="719"/>
      <c r="AN168" s="719"/>
      <c r="AO168" s="719"/>
      <c r="AP168" s="719"/>
      <c r="AQ168" s="719"/>
      <c r="AR168" s="719"/>
      <c r="AS168" s="719"/>
      <c r="AT168" s="719"/>
      <c r="AU168" s="719"/>
      <c r="AV168" s="719"/>
      <c r="AW168" s="719"/>
      <c r="AX168" s="719"/>
      <c r="AY168" s="719"/>
      <c r="AZ168" s="719"/>
      <c r="BA168" s="720"/>
    </row>
    <row r="169" spans="33:53">
      <c r="AG169" s="718"/>
      <c r="AH169" s="719"/>
      <c r="AI169" s="719"/>
      <c r="AJ169" s="719"/>
      <c r="AK169" s="719"/>
      <c r="AL169" s="719"/>
      <c r="AM169" s="719"/>
      <c r="AN169" s="719"/>
      <c r="AO169" s="719"/>
      <c r="AP169" s="719"/>
      <c r="AQ169" s="719"/>
      <c r="AR169" s="719"/>
      <c r="AS169" s="719"/>
      <c r="AT169" s="719"/>
      <c r="AU169" s="719"/>
      <c r="AV169" s="719"/>
      <c r="AW169" s="719"/>
      <c r="AX169" s="719"/>
      <c r="AY169" s="719"/>
      <c r="AZ169" s="719"/>
      <c r="BA169" s="720"/>
    </row>
    <row r="170" spans="33:53">
      <c r="AG170" s="718"/>
      <c r="AH170" s="719"/>
      <c r="AI170" s="719"/>
      <c r="AJ170" s="719"/>
      <c r="AK170" s="719"/>
      <c r="AL170" s="719"/>
      <c r="AM170" s="719"/>
      <c r="AN170" s="719"/>
      <c r="AO170" s="719"/>
      <c r="AP170" s="719"/>
      <c r="AQ170" s="719"/>
      <c r="AR170" s="719"/>
      <c r="AS170" s="719"/>
      <c r="AT170" s="719"/>
      <c r="AU170" s="719"/>
      <c r="AV170" s="719"/>
      <c r="AW170" s="719"/>
      <c r="AX170" s="719"/>
      <c r="AY170" s="719"/>
      <c r="AZ170" s="719"/>
      <c r="BA170" s="720"/>
    </row>
    <row r="171" spans="33:53">
      <c r="AG171" s="718"/>
      <c r="AH171" s="719"/>
      <c r="AI171" s="719"/>
      <c r="AJ171" s="719"/>
      <c r="AK171" s="719"/>
      <c r="AL171" s="719"/>
      <c r="AM171" s="719"/>
      <c r="AN171" s="719"/>
      <c r="AO171" s="719"/>
      <c r="AP171" s="719"/>
      <c r="AQ171" s="719"/>
      <c r="AR171" s="719"/>
      <c r="AS171" s="719"/>
      <c r="AT171" s="719"/>
      <c r="AU171" s="719"/>
      <c r="AV171" s="719"/>
      <c r="AW171" s="719"/>
      <c r="AX171" s="719"/>
      <c r="AY171" s="719"/>
      <c r="AZ171" s="719"/>
      <c r="BA171" s="720"/>
    </row>
    <row r="172" spans="33:53">
      <c r="AG172" s="718"/>
      <c r="AH172" s="719"/>
      <c r="AI172" s="719"/>
      <c r="AJ172" s="719"/>
      <c r="AK172" s="719"/>
      <c r="AL172" s="719"/>
      <c r="AM172" s="719"/>
      <c r="AN172" s="719"/>
      <c r="AO172" s="719"/>
      <c r="AP172" s="719"/>
      <c r="AQ172" s="719"/>
      <c r="AR172" s="719"/>
      <c r="AS172" s="719"/>
      <c r="AT172" s="719"/>
      <c r="AU172" s="719"/>
      <c r="AV172" s="719"/>
      <c r="AW172" s="719"/>
      <c r="AX172" s="719"/>
      <c r="AY172" s="719"/>
      <c r="AZ172" s="719"/>
      <c r="BA172" s="720"/>
    </row>
    <row r="173" spans="33:53">
      <c r="AG173" s="718"/>
      <c r="AH173" s="719"/>
      <c r="AI173" s="719"/>
      <c r="AJ173" s="719"/>
      <c r="AK173" s="719"/>
      <c r="AL173" s="719"/>
      <c r="AM173" s="719"/>
      <c r="AN173" s="719"/>
      <c r="AO173" s="719"/>
      <c r="AP173" s="719"/>
      <c r="AQ173" s="719"/>
      <c r="AR173" s="719"/>
      <c r="AS173" s="719"/>
      <c r="AT173" s="719"/>
      <c r="AU173" s="719"/>
      <c r="AV173" s="719"/>
      <c r="AW173" s="719"/>
      <c r="AX173" s="719"/>
      <c r="AY173" s="719"/>
      <c r="AZ173" s="719"/>
      <c r="BA173" s="720"/>
    </row>
    <row r="174" spans="33:53">
      <c r="AG174" s="718"/>
      <c r="AH174" s="719"/>
      <c r="AI174" s="719"/>
      <c r="AJ174" s="719"/>
      <c r="AK174" s="719"/>
      <c r="AL174" s="719"/>
      <c r="AM174" s="719"/>
      <c r="AN174" s="719"/>
      <c r="AO174" s="719"/>
      <c r="AP174" s="719"/>
      <c r="AQ174" s="719"/>
      <c r="AR174" s="719"/>
      <c r="AS174" s="719"/>
      <c r="AT174" s="719"/>
      <c r="AU174" s="719"/>
      <c r="AV174" s="719"/>
      <c r="AW174" s="719"/>
      <c r="AX174" s="719"/>
      <c r="AY174" s="719"/>
      <c r="AZ174" s="719"/>
      <c r="BA174" s="720"/>
    </row>
    <row r="175" spans="33:53">
      <c r="AG175" s="718"/>
      <c r="AH175" s="719"/>
      <c r="AI175" s="719"/>
      <c r="AJ175" s="719"/>
      <c r="AK175" s="719"/>
      <c r="AL175" s="719"/>
      <c r="AM175" s="719"/>
      <c r="AN175" s="719"/>
      <c r="AO175" s="719"/>
      <c r="AP175" s="719"/>
      <c r="AQ175" s="719"/>
      <c r="AR175" s="719"/>
      <c r="AS175" s="719"/>
      <c r="AT175" s="719"/>
      <c r="AU175" s="719"/>
      <c r="AV175" s="719"/>
      <c r="AW175" s="719"/>
      <c r="AX175" s="719"/>
      <c r="AY175" s="719"/>
      <c r="AZ175" s="719"/>
      <c r="BA175" s="720"/>
    </row>
    <row r="176" spans="33:53" ht="12.95" thickBot="1">
      <c r="AG176" s="721"/>
      <c r="AH176" s="722"/>
      <c r="AI176" s="722"/>
      <c r="AJ176" s="722"/>
      <c r="AK176" s="722"/>
      <c r="AL176" s="722"/>
      <c r="AM176" s="722"/>
      <c r="AN176" s="722"/>
      <c r="AO176" s="722"/>
      <c r="AP176" s="722"/>
      <c r="AQ176" s="722"/>
      <c r="AR176" s="722"/>
      <c r="AS176" s="722"/>
      <c r="AT176" s="722"/>
      <c r="AU176" s="722"/>
      <c r="AV176" s="722"/>
      <c r="AW176" s="722"/>
      <c r="AX176" s="722"/>
      <c r="AY176" s="722"/>
      <c r="AZ176" s="722"/>
      <c r="BA176" s="723"/>
    </row>
    <row r="177" ht="12.95" thickTop="1"/>
    <row r="337" spans="59:79" ht="12.95" thickBot="1"/>
    <row r="338" spans="59:79" ht="12.95" thickTop="1">
      <c r="BG338" s="715"/>
      <c r="BH338" s="716"/>
      <c r="BI338" s="716"/>
      <c r="BJ338" s="716"/>
      <c r="BK338" s="716"/>
      <c r="BL338" s="716"/>
      <c r="BM338" s="716"/>
      <c r="BN338" s="716"/>
      <c r="BO338" s="716"/>
      <c r="BP338" s="716"/>
      <c r="BQ338" s="716"/>
      <c r="BR338" s="716"/>
      <c r="BS338" s="716"/>
      <c r="BT338" s="716"/>
      <c r="BU338" s="716"/>
      <c r="BV338" s="716"/>
      <c r="BW338" s="716"/>
      <c r="BX338" s="716"/>
      <c r="BY338" s="716"/>
      <c r="BZ338" s="716"/>
      <c r="CA338" s="717"/>
    </row>
    <row r="339" spans="59:79">
      <c r="BG339" s="718"/>
      <c r="BH339" s="1393" t="str">
        <f>HYPERLINK("#Segments!A1","Back to segments")</f>
        <v>Back to segments</v>
      </c>
      <c r="BI339" s="1394"/>
      <c r="BJ339" s="719"/>
      <c r="BK339" s="719"/>
      <c r="BL339" s="719"/>
      <c r="BM339" s="719"/>
      <c r="BN339" s="719"/>
      <c r="BO339" s="719"/>
      <c r="BP339" s="719"/>
      <c r="BQ339" s="719"/>
      <c r="BR339" s="719"/>
      <c r="BS339" s="719"/>
      <c r="BT339" s="719"/>
      <c r="BU339" s="719"/>
      <c r="BV339" s="719"/>
      <c r="BW339" s="719"/>
      <c r="BX339" s="719"/>
      <c r="BY339" s="719"/>
      <c r="BZ339" s="719"/>
      <c r="CA339" s="720"/>
    </row>
    <row r="340" spans="59:79">
      <c r="BG340" s="718"/>
      <c r="BH340" s="1395"/>
      <c r="BI340" s="1396"/>
      <c r="BJ340" s="719"/>
      <c r="BK340" s="719"/>
      <c r="BL340" s="719"/>
      <c r="BM340" s="719"/>
      <c r="BN340" s="719"/>
      <c r="BO340" s="719"/>
      <c r="BP340" s="719"/>
      <c r="BQ340" s="719"/>
      <c r="BR340" s="719"/>
      <c r="BS340" s="719"/>
      <c r="BT340" s="719"/>
      <c r="BU340" s="719"/>
      <c r="BV340" s="719"/>
      <c r="BW340" s="719"/>
      <c r="BX340" s="719"/>
      <c r="BY340" s="719"/>
      <c r="BZ340" s="719"/>
      <c r="CA340" s="720"/>
    </row>
    <row r="341" spans="59:79">
      <c r="BG341" s="718"/>
      <c r="BH341" s="719"/>
      <c r="BI341" s="719"/>
      <c r="BJ341" s="719"/>
      <c r="BK341" s="719"/>
      <c r="BL341" s="719"/>
      <c r="BM341" s="719"/>
      <c r="BN341" s="719"/>
      <c r="BO341" s="719"/>
      <c r="BP341" s="719"/>
      <c r="BQ341" s="719"/>
      <c r="BR341" s="719"/>
      <c r="BS341" s="719"/>
      <c r="BT341" s="719"/>
      <c r="BU341" s="719"/>
      <c r="BV341" s="719"/>
      <c r="BW341" s="719"/>
      <c r="BX341" s="719"/>
      <c r="BY341" s="719"/>
      <c r="BZ341" s="719"/>
      <c r="CA341" s="720"/>
    </row>
    <row r="342" spans="59:79">
      <c r="BG342" s="718"/>
      <c r="BH342" s="719"/>
      <c r="BI342" s="719"/>
      <c r="BJ342" s="719"/>
      <c r="BK342" s="719"/>
      <c r="BL342" s="719"/>
      <c r="BM342" s="719"/>
      <c r="BN342" s="719"/>
      <c r="BO342" s="719"/>
      <c r="BP342" s="719"/>
      <c r="BQ342" s="719"/>
      <c r="BR342" s="719"/>
      <c r="BS342" s="719"/>
      <c r="BT342" s="719"/>
      <c r="BU342" s="719"/>
      <c r="BV342" s="719"/>
      <c r="BW342" s="719"/>
      <c r="BX342" s="719"/>
      <c r="BY342" s="719"/>
      <c r="BZ342" s="719"/>
      <c r="CA342" s="720"/>
    </row>
    <row r="343" spans="59:79">
      <c r="BG343" s="718"/>
      <c r="BH343" s="719"/>
      <c r="BI343" s="719"/>
      <c r="BJ343" s="719"/>
      <c r="BK343" s="719"/>
      <c r="BL343" s="719"/>
      <c r="BM343" s="719"/>
      <c r="BN343" s="719"/>
      <c r="BO343" s="719"/>
      <c r="BP343" s="719"/>
      <c r="BQ343" s="719"/>
      <c r="BR343" s="719"/>
      <c r="BS343" s="719"/>
      <c r="BT343" s="719"/>
      <c r="BU343" s="719"/>
      <c r="BV343" s="719"/>
      <c r="BW343" s="719"/>
      <c r="BX343" s="719"/>
      <c r="BY343" s="719"/>
      <c r="BZ343" s="719"/>
      <c r="CA343" s="720"/>
    </row>
    <row r="344" spans="59:79">
      <c r="BG344" s="718"/>
      <c r="BH344" s="719"/>
      <c r="BI344" s="719"/>
      <c r="BJ344" s="719"/>
      <c r="BK344" s="719"/>
      <c r="BL344" s="719"/>
      <c r="BM344" s="719"/>
      <c r="BN344" s="719"/>
      <c r="BO344" s="719"/>
      <c r="BP344" s="719"/>
      <c r="BQ344" s="719"/>
      <c r="BR344" s="719"/>
      <c r="BS344" s="719"/>
      <c r="BT344" s="719"/>
      <c r="BU344" s="719"/>
      <c r="BV344" s="719"/>
      <c r="BW344" s="719"/>
      <c r="BX344" s="719"/>
      <c r="BY344" s="719"/>
      <c r="BZ344" s="719"/>
      <c r="CA344" s="720"/>
    </row>
    <row r="345" spans="59:79">
      <c r="BG345" s="718"/>
      <c r="BH345" s="719"/>
      <c r="BI345" s="719"/>
      <c r="BJ345" s="719"/>
      <c r="BK345" s="719"/>
      <c r="BL345" s="719"/>
      <c r="BM345" s="719"/>
      <c r="BN345" s="719"/>
      <c r="BO345" s="719"/>
      <c r="BP345" s="719"/>
      <c r="BQ345" s="719"/>
      <c r="BR345" s="719"/>
      <c r="BS345" s="719"/>
      <c r="BT345" s="719"/>
      <c r="BU345" s="719"/>
      <c r="BV345" s="719"/>
      <c r="BW345" s="719"/>
      <c r="BX345" s="719"/>
      <c r="BY345" s="719"/>
      <c r="BZ345" s="719"/>
      <c r="CA345" s="720"/>
    </row>
    <row r="346" spans="59:79">
      <c r="BG346" s="718"/>
      <c r="BH346" s="719"/>
      <c r="BI346" s="719"/>
      <c r="BJ346" s="719"/>
      <c r="BK346" s="719"/>
      <c r="BL346" s="719"/>
      <c r="BM346" s="719"/>
      <c r="BN346" s="719"/>
      <c r="BO346" s="719"/>
      <c r="BP346" s="719"/>
      <c r="BQ346" s="719"/>
      <c r="BR346" s="719"/>
      <c r="BS346" s="719"/>
      <c r="BT346" s="719"/>
      <c r="BU346" s="719"/>
      <c r="BV346" s="719"/>
      <c r="BW346" s="719"/>
      <c r="BX346" s="719"/>
      <c r="BY346" s="719"/>
      <c r="BZ346" s="719"/>
      <c r="CA346" s="720"/>
    </row>
    <row r="347" spans="59:79">
      <c r="BG347" s="718"/>
      <c r="BH347" s="719"/>
      <c r="BI347" s="719"/>
      <c r="BJ347" s="719"/>
      <c r="BK347" s="719"/>
      <c r="BL347" s="719"/>
      <c r="BM347" s="719"/>
      <c r="BN347" s="719"/>
      <c r="BO347" s="719"/>
      <c r="BP347" s="719"/>
      <c r="BQ347" s="719"/>
      <c r="BR347" s="719"/>
      <c r="BS347" s="719"/>
      <c r="BT347" s="719"/>
      <c r="BU347" s="719"/>
      <c r="BV347" s="719"/>
      <c r="BW347" s="719"/>
      <c r="BX347" s="719"/>
      <c r="BY347" s="719"/>
      <c r="BZ347" s="719"/>
      <c r="CA347" s="720"/>
    </row>
    <row r="348" spans="59:79">
      <c r="BG348" s="718"/>
      <c r="BH348" s="719"/>
      <c r="BI348" s="719"/>
      <c r="BJ348" s="719"/>
      <c r="BK348" s="719"/>
      <c r="BL348" s="719"/>
      <c r="BM348" s="719"/>
      <c r="BN348" s="719"/>
      <c r="BO348" s="719"/>
      <c r="BP348" s="719"/>
      <c r="BQ348" s="719"/>
      <c r="BR348" s="719"/>
      <c r="BS348" s="719"/>
      <c r="BT348" s="719"/>
      <c r="BU348" s="719"/>
      <c r="BV348" s="719"/>
      <c r="BW348" s="719"/>
      <c r="BX348" s="719"/>
      <c r="BY348" s="719"/>
      <c r="BZ348" s="719"/>
      <c r="CA348" s="720"/>
    </row>
    <row r="349" spans="59:79">
      <c r="BG349" s="718"/>
      <c r="BH349" s="719"/>
      <c r="BI349" s="719"/>
      <c r="BJ349" s="719"/>
      <c r="BK349" s="719"/>
      <c r="BL349" s="719"/>
      <c r="BM349" s="719"/>
      <c r="BN349" s="719"/>
      <c r="BO349" s="719"/>
      <c r="BP349" s="719"/>
      <c r="BQ349" s="719"/>
      <c r="BR349" s="719"/>
      <c r="BS349" s="719"/>
      <c r="BT349" s="719"/>
      <c r="BU349" s="719"/>
      <c r="BV349" s="719"/>
      <c r="BW349" s="719"/>
      <c r="BX349" s="719"/>
      <c r="BY349" s="719"/>
      <c r="BZ349" s="719"/>
      <c r="CA349" s="720"/>
    </row>
    <row r="350" spans="59:79">
      <c r="BG350" s="718"/>
      <c r="BH350" s="719"/>
      <c r="BI350" s="719"/>
      <c r="BJ350" s="719"/>
      <c r="BK350" s="719"/>
      <c r="BL350" s="719"/>
      <c r="BM350" s="719"/>
      <c r="BN350" s="719"/>
      <c r="BO350" s="719"/>
      <c r="BP350" s="719"/>
      <c r="BQ350" s="719"/>
      <c r="BR350" s="719"/>
      <c r="BS350" s="719"/>
      <c r="BT350" s="719"/>
      <c r="BU350" s="719"/>
      <c r="BV350" s="719"/>
      <c r="BW350" s="719"/>
      <c r="BX350" s="719"/>
      <c r="BY350" s="719"/>
      <c r="BZ350" s="719"/>
      <c r="CA350" s="720"/>
    </row>
    <row r="351" spans="59:79">
      <c r="BG351" s="718"/>
      <c r="BH351" s="719"/>
      <c r="BI351" s="719"/>
      <c r="BJ351" s="719"/>
      <c r="BK351" s="719"/>
      <c r="BL351" s="719"/>
      <c r="BM351" s="719"/>
      <c r="BN351" s="719"/>
      <c r="BO351" s="719"/>
      <c r="BP351" s="719"/>
      <c r="BQ351" s="719"/>
      <c r="BR351" s="719"/>
      <c r="BS351" s="719"/>
      <c r="BT351" s="719"/>
      <c r="BU351" s="719"/>
      <c r="BV351" s="719"/>
      <c r="BW351" s="719"/>
      <c r="BX351" s="719"/>
      <c r="BY351" s="719"/>
      <c r="BZ351" s="719"/>
      <c r="CA351" s="720"/>
    </row>
    <row r="352" spans="59:79">
      <c r="BG352" s="718"/>
      <c r="BH352" s="719"/>
      <c r="BI352" s="719"/>
      <c r="BJ352" s="719"/>
      <c r="BK352" s="719"/>
      <c r="BL352" s="719"/>
      <c r="BM352" s="719"/>
      <c r="BN352" s="719"/>
      <c r="BO352" s="719"/>
      <c r="BP352" s="719"/>
      <c r="BQ352" s="719"/>
      <c r="BR352" s="719"/>
      <c r="BS352" s="719"/>
      <c r="BT352" s="719"/>
      <c r="BU352" s="719"/>
      <c r="BV352" s="719"/>
      <c r="BW352" s="719"/>
      <c r="BX352" s="719"/>
      <c r="BY352" s="719"/>
      <c r="BZ352" s="719"/>
      <c r="CA352" s="720"/>
    </row>
    <row r="353" spans="59:79">
      <c r="BG353" s="718"/>
      <c r="BH353" s="719"/>
      <c r="BI353" s="719"/>
      <c r="BJ353" s="719"/>
      <c r="BK353" s="719"/>
      <c r="BL353" s="719"/>
      <c r="BM353" s="719"/>
      <c r="BN353" s="719"/>
      <c r="BO353" s="719"/>
      <c r="BP353" s="719"/>
      <c r="BQ353" s="719"/>
      <c r="BR353" s="719"/>
      <c r="BS353" s="719"/>
      <c r="BT353" s="719"/>
      <c r="BU353" s="719"/>
      <c r="BV353" s="719"/>
      <c r="BW353" s="719"/>
      <c r="BX353" s="719"/>
      <c r="BY353" s="719"/>
      <c r="BZ353" s="719"/>
      <c r="CA353" s="720"/>
    </row>
    <row r="354" spans="59:79">
      <c r="BG354" s="718"/>
      <c r="BH354" s="719"/>
      <c r="BI354" s="719"/>
      <c r="BJ354" s="719"/>
      <c r="BK354" s="719"/>
      <c r="BL354" s="719"/>
      <c r="BM354" s="719"/>
      <c r="BN354" s="719"/>
      <c r="BO354" s="719"/>
      <c r="BP354" s="719"/>
      <c r="BQ354" s="719"/>
      <c r="BR354" s="719"/>
      <c r="BS354" s="719"/>
      <c r="BT354" s="719"/>
      <c r="BU354" s="719"/>
      <c r="BV354" s="719"/>
      <c r="BW354" s="719"/>
      <c r="BX354" s="719"/>
      <c r="BY354" s="719"/>
      <c r="BZ354" s="719"/>
      <c r="CA354" s="720"/>
    </row>
    <row r="355" spans="59:79">
      <c r="BG355" s="718"/>
      <c r="BH355" s="719"/>
      <c r="BI355" s="719"/>
      <c r="BJ355" s="719"/>
      <c r="BK355" s="719"/>
      <c r="BL355" s="719"/>
      <c r="BM355" s="719"/>
      <c r="BN355" s="719"/>
      <c r="BO355" s="719"/>
      <c r="BP355" s="719"/>
      <c r="BQ355" s="719"/>
      <c r="BR355" s="719"/>
      <c r="BS355" s="719"/>
      <c r="BT355" s="719"/>
      <c r="BU355" s="719"/>
      <c r="BV355" s="719"/>
      <c r="BW355" s="719"/>
      <c r="BX355" s="719"/>
      <c r="BY355" s="719"/>
      <c r="BZ355" s="719"/>
      <c r="CA355" s="720"/>
    </row>
    <row r="356" spans="59:79">
      <c r="BG356" s="718"/>
      <c r="BH356" s="719"/>
      <c r="BI356" s="719"/>
      <c r="BJ356" s="719"/>
      <c r="BK356" s="719"/>
      <c r="BL356" s="719"/>
      <c r="BM356" s="719"/>
      <c r="BN356" s="719"/>
      <c r="BO356" s="719"/>
      <c r="BP356" s="719"/>
      <c r="BQ356" s="719"/>
      <c r="BR356" s="719"/>
      <c r="BS356" s="719"/>
      <c r="BT356" s="719"/>
      <c r="BU356" s="719"/>
      <c r="BV356" s="719"/>
      <c r="BW356" s="719"/>
      <c r="BX356" s="719"/>
      <c r="BY356" s="719"/>
      <c r="BZ356" s="719"/>
      <c r="CA356" s="720"/>
    </row>
    <row r="357" spans="59:79">
      <c r="BG357" s="718"/>
      <c r="BH357" s="719"/>
      <c r="BI357" s="719"/>
      <c r="BJ357" s="719"/>
      <c r="BK357" s="719"/>
      <c r="BL357" s="719"/>
      <c r="BM357" s="719"/>
      <c r="BN357" s="719"/>
      <c r="BO357" s="719"/>
      <c r="BP357" s="719"/>
      <c r="BQ357" s="719"/>
      <c r="BR357" s="719"/>
      <c r="BS357" s="719"/>
      <c r="BT357" s="719"/>
      <c r="BU357" s="719"/>
      <c r="BV357" s="719"/>
      <c r="BW357" s="719"/>
      <c r="BX357" s="719"/>
      <c r="BY357" s="719"/>
      <c r="BZ357" s="719"/>
      <c r="CA357" s="720"/>
    </row>
    <row r="358" spans="59:79">
      <c r="BG358" s="718"/>
      <c r="BH358" s="719"/>
      <c r="BI358" s="719"/>
      <c r="BJ358" s="719"/>
      <c r="BK358" s="719"/>
      <c r="BL358" s="719"/>
      <c r="BM358" s="719"/>
      <c r="BN358" s="719"/>
      <c r="BO358" s="719"/>
      <c r="BP358" s="719"/>
      <c r="BQ358" s="719"/>
      <c r="BR358" s="719"/>
      <c r="BS358" s="719"/>
      <c r="BT358" s="719"/>
      <c r="BU358" s="719"/>
      <c r="BV358" s="719"/>
      <c r="BW358" s="719"/>
      <c r="BX358" s="719"/>
      <c r="BY358" s="719"/>
      <c r="BZ358" s="719"/>
      <c r="CA358" s="720"/>
    </row>
    <row r="359" spans="59:79">
      <c r="BG359" s="718"/>
      <c r="BH359" s="719"/>
      <c r="BI359" s="719"/>
      <c r="BJ359" s="719"/>
      <c r="BK359" s="719"/>
      <c r="BL359" s="719"/>
      <c r="BM359" s="719"/>
      <c r="BN359" s="719"/>
      <c r="BO359" s="719"/>
      <c r="BP359" s="719"/>
      <c r="BQ359" s="719"/>
      <c r="BR359" s="719"/>
      <c r="BS359" s="719"/>
      <c r="BT359" s="719"/>
      <c r="BU359" s="719"/>
      <c r="BV359" s="719"/>
      <c r="BW359" s="719"/>
      <c r="BX359" s="719"/>
      <c r="BY359" s="719"/>
      <c r="BZ359" s="719"/>
      <c r="CA359" s="720"/>
    </row>
    <row r="360" spans="59:79">
      <c r="BG360" s="718"/>
      <c r="BH360" s="719"/>
      <c r="BI360" s="719"/>
      <c r="BJ360" s="719"/>
      <c r="BK360" s="719"/>
      <c r="BL360" s="719"/>
      <c r="BM360" s="719"/>
      <c r="BN360" s="719"/>
      <c r="BO360" s="719"/>
      <c r="BP360" s="719"/>
      <c r="BQ360" s="719"/>
      <c r="BR360" s="719"/>
      <c r="BS360" s="719"/>
      <c r="BT360" s="719"/>
      <c r="BU360" s="719"/>
      <c r="BV360" s="719"/>
      <c r="BW360" s="719"/>
      <c r="BX360" s="719"/>
      <c r="BY360" s="719"/>
      <c r="BZ360" s="719"/>
      <c r="CA360" s="720"/>
    </row>
    <row r="361" spans="59:79">
      <c r="BG361" s="718"/>
      <c r="BH361" s="719"/>
      <c r="BI361" s="719"/>
      <c r="BJ361" s="719"/>
      <c r="BK361" s="719"/>
      <c r="BL361" s="719"/>
      <c r="BM361" s="719"/>
      <c r="BN361" s="719"/>
      <c r="BO361" s="719"/>
      <c r="BP361" s="719"/>
      <c r="BQ361" s="719"/>
      <c r="BR361" s="719"/>
      <c r="BS361" s="719"/>
      <c r="BT361" s="719"/>
      <c r="BU361" s="719"/>
      <c r="BV361" s="719"/>
      <c r="BW361" s="719"/>
      <c r="BX361" s="719"/>
      <c r="BY361" s="719"/>
      <c r="BZ361" s="719"/>
      <c r="CA361" s="720"/>
    </row>
    <row r="362" spans="59:79">
      <c r="BG362" s="718"/>
      <c r="BH362" s="719"/>
      <c r="BI362" s="719"/>
      <c r="BJ362" s="719"/>
      <c r="BK362" s="719"/>
      <c r="BL362" s="719"/>
      <c r="BM362" s="719"/>
      <c r="BN362" s="719"/>
      <c r="BO362" s="719"/>
      <c r="BP362" s="719"/>
      <c r="BQ362" s="719"/>
      <c r="BR362" s="719"/>
      <c r="BS362" s="719"/>
      <c r="BT362" s="719"/>
      <c r="BU362" s="719"/>
      <c r="BV362" s="719"/>
      <c r="BW362" s="719"/>
      <c r="BX362" s="719"/>
      <c r="BY362" s="719"/>
      <c r="BZ362" s="719"/>
      <c r="CA362" s="720"/>
    </row>
    <row r="363" spans="59:79">
      <c r="BG363" s="718"/>
      <c r="BH363" s="719"/>
      <c r="BI363" s="719"/>
      <c r="BJ363" s="719"/>
      <c r="BK363" s="719"/>
      <c r="BL363" s="719"/>
      <c r="BM363" s="719"/>
      <c r="BN363" s="719"/>
      <c r="BO363" s="719"/>
      <c r="BP363" s="719"/>
      <c r="BQ363" s="719"/>
      <c r="BR363" s="719"/>
      <c r="BS363" s="719"/>
      <c r="BT363" s="719"/>
      <c r="BU363" s="719"/>
      <c r="BV363" s="719"/>
      <c r="BW363" s="719"/>
      <c r="BX363" s="719"/>
      <c r="BY363" s="719"/>
      <c r="BZ363" s="719"/>
      <c r="CA363" s="720"/>
    </row>
    <row r="364" spans="59:79">
      <c r="BG364" s="718"/>
      <c r="BH364" s="719"/>
      <c r="BI364" s="719"/>
      <c r="BJ364" s="719"/>
      <c r="BK364" s="719"/>
      <c r="BL364" s="719"/>
      <c r="BM364" s="719"/>
      <c r="BN364" s="719"/>
      <c r="BO364" s="719"/>
      <c r="BP364" s="719"/>
      <c r="BQ364" s="719"/>
      <c r="BR364" s="719"/>
      <c r="BS364" s="719"/>
      <c r="BT364" s="719"/>
      <c r="BU364" s="719"/>
      <c r="BV364" s="719"/>
      <c r="BW364" s="719"/>
      <c r="BX364" s="719"/>
      <c r="BY364" s="719"/>
      <c r="BZ364" s="719"/>
      <c r="CA364" s="720"/>
    </row>
    <row r="365" spans="59:79">
      <c r="BG365" s="718"/>
      <c r="BH365" s="719"/>
      <c r="BI365" s="719"/>
      <c r="BJ365" s="719"/>
      <c r="BK365" s="719"/>
      <c r="BL365" s="719"/>
      <c r="BM365" s="719"/>
      <c r="BN365" s="719"/>
      <c r="BO365" s="719"/>
      <c r="BP365" s="719"/>
      <c r="BQ365" s="719"/>
      <c r="BR365" s="719"/>
      <c r="BS365" s="719"/>
      <c r="BT365" s="719"/>
      <c r="BU365" s="719"/>
      <c r="BV365" s="719"/>
      <c r="BW365" s="719"/>
      <c r="BX365" s="719"/>
      <c r="BY365" s="719"/>
      <c r="BZ365" s="719"/>
      <c r="CA365" s="720"/>
    </row>
    <row r="366" spans="59:79">
      <c r="BG366" s="718"/>
      <c r="BH366" s="719"/>
      <c r="BI366" s="719"/>
      <c r="BJ366" s="719"/>
      <c r="BK366" s="719"/>
      <c r="BL366" s="719"/>
      <c r="BM366" s="719"/>
      <c r="BN366" s="719"/>
      <c r="BO366" s="719"/>
      <c r="BP366" s="719"/>
      <c r="BQ366" s="719"/>
      <c r="BR366" s="719"/>
      <c r="BS366" s="719"/>
      <c r="BT366" s="719"/>
      <c r="BU366" s="719"/>
      <c r="BV366" s="719"/>
      <c r="BW366" s="719"/>
      <c r="BX366" s="719"/>
      <c r="BY366" s="719"/>
      <c r="BZ366" s="719"/>
      <c r="CA366" s="720"/>
    </row>
    <row r="367" spans="59:79">
      <c r="BG367" s="718"/>
      <c r="BH367" s="719"/>
      <c r="BI367" s="719"/>
      <c r="BJ367" s="719"/>
      <c r="BK367" s="719"/>
      <c r="BL367" s="719"/>
      <c r="BM367" s="719"/>
      <c r="BN367" s="719"/>
      <c r="BO367" s="719"/>
      <c r="BP367" s="719"/>
      <c r="BQ367" s="719"/>
      <c r="BR367" s="719"/>
      <c r="BS367" s="719"/>
      <c r="BT367" s="719"/>
      <c r="BU367" s="719"/>
      <c r="BV367" s="719"/>
      <c r="BW367" s="719"/>
      <c r="BX367" s="719"/>
      <c r="BY367" s="719"/>
      <c r="BZ367" s="719"/>
      <c r="CA367" s="720"/>
    </row>
    <row r="368" spans="59:79">
      <c r="BG368" s="718"/>
      <c r="BH368" s="719"/>
      <c r="BI368" s="719"/>
      <c r="BJ368" s="719"/>
      <c r="BK368" s="719"/>
      <c r="BL368" s="719"/>
      <c r="BM368" s="719"/>
      <c r="BN368" s="719"/>
      <c r="BO368" s="719"/>
      <c r="BP368" s="719"/>
      <c r="BQ368" s="719"/>
      <c r="BR368" s="719"/>
      <c r="BS368" s="719"/>
      <c r="BT368" s="719"/>
      <c r="BU368" s="719"/>
      <c r="BV368" s="719"/>
      <c r="BW368" s="719"/>
      <c r="BX368" s="719"/>
      <c r="BY368" s="719"/>
      <c r="BZ368" s="719"/>
      <c r="CA368" s="720"/>
    </row>
    <row r="369" spans="59:79">
      <c r="BG369" s="718"/>
      <c r="BH369" s="719"/>
      <c r="BI369" s="719"/>
      <c r="BJ369" s="719"/>
      <c r="BK369" s="719"/>
      <c r="BL369" s="719"/>
      <c r="BM369" s="719"/>
      <c r="BN369" s="719"/>
      <c r="BO369" s="719"/>
      <c r="BP369" s="719"/>
      <c r="BQ369" s="719"/>
      <c r="BR369" s="719"/>
      <c r="BS369" s="719"/>
      <c r="BT369" s="719"/>
      <c r="BU369" s="719"/>
      <c r="BV369" s="719"/>
      <c r="BW369" s="719"/>
      <c r="BX369" s="719"/>
      <c r="BY369" s="719"/>
      <c r="BZ369" s="719"/>
      <c r="CA369" s="720"/>
    </row>
    <row r="370" spans="59:79">
      <c r="BG370" s="718"/>
      <c r="BH370" s="719"/>
      <c r="BI370" s="719"/>
      <c r="BJ370" s="719"/>
      <c r="BK370" s="719"/>
      <c r="BL370" s="719"/>
      <c r="BM370" s="719"/>
      <c r="BN370" s="719"/>
      <c r="BO370" s="719"/>
      <c r="BP370" s="719"/>
      <c r="BQ370" s="719"/>
      <c r="BR370" s="719"/>
      <c r="BS370" s="719"/>
      <c r="BT370" s="719"/>
      <c r="BU370" s="719"/>
      <c r="BV370" s="719"/>
      <c r="BW370" s="719"/>
      <c r="BX370" s="719"/>
      <c r="BY370" s="719"/>
      <c r="BZ370" s="719"/>
      <c r="CA370" s="720"/>
    </row>
    <row r="371" spans="59:79">
      <c r="BG371" s="718"/>
      <c r="BH371" s="719"/>
      <c r="BI371" s="719"/>
      <c r="BJ371" s="719"/>
      <c r="BK371" s="719"/>
      <c r="BL371" s="719"/>
      <c r="BM371" s="719"/>
      <c r="BN371" s="719"/>
      <c r="BO371" s="719"/>
      <c r="BP371" s="719"/>
      <c r="BQ371" s="719"/>
      <c r="BR371" s="719"/>
      <c r="BS371" s="719"/>
      <c r="BT371" s="719"/>
      <c r="BU371" s="719"/>
      <c r="BV371" s="719"/>
      <c r="BW371" s="719"/>
      <c r="BX371" s="719"/>
      <c r="BY371" s="719"/>
      <c r="BZ371" s="719"/>
      <c r="CA371" s="720"/>
    </row>
    <row r="372" spans="59:79">
      <c r="BG372" s="718"/>
      <c r="BH372" s="719"/>
      <c r="BI372" s="719"/>
      <c r="BJ372" s="719"/>
      <c r="BK372" s="719"/>
      <c r="BL372" s="719"/>
      <c r="BM372" s="719"/>
      <c r="BN372" s="719"/>
      <c r="BO372" s="719"/>
      <c r="BP372" s="719"/>
      <c r="BQ372" s="719"/>
      <c r="BR372" s="719"/>
      <c r="BS372" s="719"/>
      <c r="BT372" s="719"/>
      <c r="BU372" s="719"/>
      <c r="BV372" s="719"/>
      <c r="BW372" s="719"/>
      <c r="BX372" s="719"/>
      <c r="BY372" s="719"/>
      <c r="BZ372" s="719"/>
      <c r="CA372" s="720"/>
    </row>
    <row r="373" spans="59:79">
      <c r="BG373" s="718"/>
      <c r="BH373" s="719"/>
      <c r="BI373" s="719"/>
      <c r="BJ373" s="719"/>
      <c r="BK373" s="719"/>
      <c r="BL373" s="719"/>
      <c r="BM373" s="719"/>
      <c r="BN373" s="719"/>
      <c r="BO373" s="719"/>
      <c r="BP373" s="719"/>
      <c r="BQ373" s="719"/>
      <c r="BR373" s="719"/>
      <c r="BS373" s="719"/>
      <c r="BT373" s="719"/>
      <c r="BU373" s="719"/>
      <c r="BV373" s="719"/>
      <c r="BW373" s="719"/>
      <c r="BX373" s="719"/>
      <c r="BY373" s="719"/>
      <c r="BZ373" s="719"/>
      <c r="CA373" s="720"/>
    </row>
    <row r="374" spans="59:79">
      <c r="BG374" s="718"/>
      <c r="BH374" s="719"/>
      <c r="BI374" s="719"/>
      <c r="BJ374" s="719"/>
      <c r="BK374" s="719"/>
      <c r="BL374" s="719"/>
      <c r="BM374" s="719"/>
      <c r="BN374" s="719"/>
      <c r="BO374" s="719"/>
      <c r="BP374" s="719"/>
      <c r="BQ374" s="719"/>
      <c r="BR374" s="719"/>
      <c r="BS374" s="719"/>
      <c r="BT374" s="719"/>
      <c r="BU374" s="719"/>
      <c r="BV374" s="719"/>
      <c r="BW374" s="719"/>
      <c r="BX374" s="719"/>
      <c r="BY374" s="719"/>
      <c r="BZ374" s="719"/>
      <c r="CA374" s="720"/>
    </row>
    <row r="375" spans="59:79">
      <c r="BG375" s="718"/>
      <c r="BH375" s="719"/>
      <c r="BI375" s="719"/>
      <c r="BJ375" s="719"/>
      <c r="BK375" s="719"/>
      <c r="BL375" s="719"/>
      <c r="BM375" s="719"/>
      <c r="BN375" s="719"/>
      <c r="BO375" s="719"/>
      <c r="BP375" s="719"/>
      <c r="BQ375" s="719"/>
      <c r="BR375" s="719"/>
      <c r="BS375" s="719"/>
      <c r="BT375" s="719"/>
      <c r="BU375" s="719"/>
      <c r="BV375" s="719"/>
      <c r="BW375" s="719"/>
      <c r="BX375" s="719"/>
      <c r="BY375" s="719"/>
      <c r="BZ375" s="719"/>
      <c r="CA375" s="720"/>
    </row>
    <row r="376" spans="59:79" ht="12.95" thickBot="1">
      <c r="BG376" s="721"/>
      <c r="BH376" s="722"/>
      <c r="BI376" s="722"/>
      <c r="BJ376" s="722"/>
      <c r="BK376" s="722"/>
      <c r="BL376" s="722"/>
      <c r="BM376" s="722"/>
      <c r="BN376" s="722"/>
      <c r="BO376" s="722"/>
      <c r="BP376" s="722"/>
      <c r="BQ376" s="722"/>
      <c r="BR376" s="722"/>
      <c r="BS376" s="722"/>
      <c r="BT376" s="722"/>
      <c r="BU376" s="722"/>
      <c r="BV376" s="722"/>
      <c r="BW376" s="722"/>
      <c r="BX376" s="722"/>
      <c r="BY376" s="722"/>
      <c r="BZ376" s="722"/>
      <c r="CA376" s="723"/>
    </row>
    <row r="377" spans="59:79" ht="12.95" thickTop="1"/>
    <row r="537" spans="85:105" ht="12.95" thickBot="1"/>
    <row r="538" spans="85:105" ht="12.95" thickTop="1">
      <c r="CG538" s="715"/>
      <c r="CH538" s="716"/>
      <c r="CI538" s="716"/>
      <c r="CJ538" s="716"/>
      <c r="CK538" s="716"/>
      <c r="CL538" s="716"/>
      <c r="CM538" s="716"/>
      <c r="CN538" s="716"/>
      <c r="CO538" s="716"/>
      <c r="CP538" s="716"/>
      <c r="CQ538" s="716"/>
      <c r="CR538" s="716"/>
      <c r="CS538" s="716"/>
      <c r="CT538" s="716"/>
      <c r="CU538" s="716"/>
      <c r="CV538" s="716"/>
      <c r="CW538" s="716"/>
      <c r="CX538" s="716"/>
      <c r="CY538" s="716"/>
      <c r="CZ538" s="716"/>
      <c r="DA538" s="717"/>
    </row>
    <row r="539" spans="85:105">
      <c r="CG539" s="718"/>
      <c r="CH539" s="1393" t="str">
        <f>HYPERLINK("#Segments!A1","Back to segments")</f>
        <v>Back to segments</v>
      </c>
      <c r="CI539" s="1394"/>
      <c r="CJ539" s="719"/>
      <c r="CK539" s="719"/>
      <c r="CL539" s="719"/>
      <c r="CM539" s="719"/>
      <c r="CN539" s="719"/>
      <c r="CO539" s="719"/>
      <c r="CP539" s="719"/>
      <c r="CQ539" s="719"/>
      <c r="CR539" s="719"/>
      <c r="CS539" s="719"/>
      <c r="CT539" s="719"/>
      <c r="CU539" s="719"/>
      <c r="CV539" s="719"/>
      <c r="CW539" s="719"/>
      <c r="CX539" s="719"/>
      <c r="CY539" s="719"/>
      <c r="CZ539" s="719"/>
      <c r="DA539" s="720"/>
    </row>
    <row r="540" spans="85:105">
      <c r="CG540" s="718"/>
      <c r="CH540" s="1395"/>
      <c r="CI540" s="1396"/>
      <c r="CJ540" s="719"/>
      <c r="CK540" s="719"/>
      <c r="CL540" s="719"/>
      <c r="CM540" s="719"/>
      <c r="CN540" s="719"/>
      <c r="CO540" s="719"/>
      <c r="CP540" s="719"/>
      <c r="CQ540" s="719"/>
      <c r="CR540" s="719"/>
      <c r="CS540" s="719"/>
      <c r="CT540" s="719"/>
      <c r="CU540" s="719"/>
      <c r="CV540" s="719"/>
      <c r="CW540" s="719"/>
      <c r="CX540" s="719"/>
      <c r="CY540" s="719"/>
      <c r="CZ540" s="719"/>
      <c r="DA540" s="720"/>
    </row>
    <row r="541" spans="85:105">
      <c r="CG541" s="718"/>
      <c r="CH541" s="719"/>
      <c r="CI541" s="719"/>
      <c r="CJ541" s="719"/>
      <c r="CK541" s="719"/>
      <c r="CL541" s="719"/>
      <c r="CM541" s="719"/>
      <c r="CN541" s="719"/>
      <c r="CO541" s="719"/>
      <c r="CP541" s="719"/>
      <c r="CQ541" s="719"/>
      <c r="CR541" s="719"/>
      <c r="CS541" s="719"/>
      <c r="CT541" s="719"/>
      <c r="CU541" s="719"/>
      <c r="CV541" s="719"/>
      <c r="CW541" s="719"/>
      <c r="CX541" s="719"/>
      <c r="CY541" s="719"/>
      <c r="CZ541" s="719"/>
      <c r="DA541" s="720"/>
    </row>
    <row r="542" spans="85:105">
      <c r="CG542" s="718"/>
      <c r="CH542" s="719"/>
      <c r="CI542" s="719"/>
      <c r="CJ542" s="719"/>
      <c r="CK542" s="719"/>
      <c r="CL542" s="719"/>
      <c r="CM542" s="719"/>
      <c r="CN542" s="719"/>
      <c r="CO542" s="719"/>
      <c r="CP542" s="719"/>
      <c r="CQ542" s="719"/>
      <c r="CR542" s="719"/>
      <c r="CS542" s="719"/>
      <c r="CT542" s="719"/>
      <c r="CU542" s="719"/>
      <c r="CV542" s="719"/>
      <c r="CW542" s="719"/>
      <c r="CX542" s="719"/>
      <c r="CY542" s="719"/>
      <c r="CZ542" s="719"/>
      <c r="DA542" s="720"/>
    </row>
    <row r="543" spans="85:105">
      <c r="CG543" s="718"/>
      <c r="CH543" s="719"/>
      <c r="CI543" s="719"/>
      <c r="CJ543" s="719"/>
      <c r="CK543" s="719"/>
      <c r="CL543" s="719"/>
      <c r="CM543" s="719"/>
      <c r="CN543" s="719"/>
      <c r="CO543" s="719"/>
      <c r="CP543" s="719"/>
      <c r="CQ543" s="719"/>
      <c r="CR543" s="719"/>
      <c r="CS543" s="719"/>
      <c r="CT543" s="719"/>
      <c r="CU543" s="719"/>
      <c r="CV543" s="719"/>
      <c r="CW543" s="719"/>
      <c r="CX543" s="719"/>
      <c r="CY543" s="719"/>
      <c r="CZ543" s="719"/>
      <c r="DA543" s="720"/>
    </row>
    <row r="544" spans="85:105">
      <c r="CG544" s="718"/>
      <c r="CH544" s="719"/>
      <c r="CI544" s="719"/>
      <c r="CJ544" s="719"/>
      <c r="CK544" s="719"/>
      <c r="CL544" s="719"/>
      <c r="CM544" s="719"/>
      <c r="CN544" s="719"/>
      <c r="CO544" s="719"/>
      <c r="CP544" s="719"/>
      <c r="CQ544" s="719"/>
      <c r="CR544" s="719"/>
      <c r="CS544" s="719"/>
      <c r="CT544" s="719"/>
      <c r="CU544" s="719"/>
      <c r="CV544" s="719"/>
      <c r="CW544" s="719"/>
      <c r="CX544" s="719"/>
      <c r="CY544" s="719"/>
      <c r="CZ544" s="719"/>
      <c r="DA544" s="720"/>
    </row>
    <row r="545" spans="85:105">
      <c r="CG545" s="718"/>
      <c r="CH545" s="719"/>
      <c r="CI545" s="719"/>
      <c r="CJ545" s="719"/>
      <c r="CK545" s="719"/>
      <c r="CL545" s="719"/>
      <c r="CM545" s="719"/>
      <c r="CN545" s="719"/>
      <c r="CO545" s="719"/>
      <c r="CP545" s="719"/>
      <c r="CQ545" s="719"/>
      <c r="CR545" s="719"/>
      <c r="CS545" s="719"/>
      <c r="CT545" s="719"/>
      <c r="CU545" s="719"/>
      <c r="CV545" s="719"/>
      <c r="CW545" s="719"/>
      <c r="CX545" s="719"/>
      <c r="CY545" s="719"/>
      <c r="CZ545" s="719"/>
      <c r="DA545" s="720"/>
    </row>
    <row r="546" spans="85:105">
      <c r="CG546" s="718"/>
      <c r="CH546" s="719"/>
      <c r="CI546" s="719"/>
      <c r="CJ546" s="719"/>
      <c r="CK546" s="719"/>
      <c r="CL546" s="719"/>
      <c r="CM546" s="719"/>
      <c r="CN546" s="719"/>
      <c r="CO546" s="719"/>
      <c r="CP546" s="719"/>
      <c r="CQ546" s="719"/>
      <c r="CR546" s="719"/>
      <c r="CS546" s="719"/>
      <c r="CT546" s="719"/>
      <c r="CU546" s="719"/>
      <c r="CV546" s="719"/>
      <c r="CW546" s="719"/>
      <c r="CX546" s="719"/>
      <c r="CY546" s="719"/>
      <c r="CZ546" s="719"/>
      <c r="DA546" s="720"/>
    </row>
    <row r="547" spans="85:105">
      <c r="CG547" s="718"/>
      <c r="CH547" s="719"/>
      <c r="CI547" s="719"/>
      <c r="CJ547" s="719"/>
      <c r="CK547" s="719"/>
      <c r="CL547" s="719"/>
      <c r="CM547" s="719"/>
      <c r="CN547" s="719"/>
      <c r="CO547" s="719"/>
      <c r="CP547" s="719"/>
      <c r="CQ547" s="719"/>
      <c r="CR547" s="719"/>
      <c r="CS547" s="719"/>
      <c r="CT547" s="719"/>
      <c r="CU547" s="719"/>
      <c r="CV547" s="719"/>
      <c r="CW547" s="719"/>
      <c r="CX547" s="719"/>
      <c r="CY547" s="719"/>
      <c r="CZ547" s="719"/>
      <c r="DA547" s="720"/>
    </row>
    <row r="548" spans="85:105">
      <c r="CG548" s="718"/>
      <c r="CH548" s="719"/>
      <c r="CI548" s="719"/>
      <c r="CJ548" s="719"/>
      <c r="CK548" s="719"/>
      <c r="CL548" s="719"/>
      <c r="CM548" s="719"/>
      <c r="CN548" s="719"/>
      <c r="CO548" s="719"/>
      <c r="CP548" s="719"/>
      <c r="CQ548" s="719"/>
      <c r="CR548" s="719"/>
      <c r="CS548" s="719"/>
      <c r="CT548" s="719"/>
      <c r="CU548" s="719"/>
      <c r="CV548" s="719"/>
      <c r="CW548" s="719"/>
      <c r="CX548" s="719"/>
      <c r="CY548" s="719"/>
      <c r="CZ548" s="719"/>
      <c r="DA548" s="720"/>
    </row>
    <row r="549" spans="85:105">
      <c r="CG549" s="718"/>
      <c r="CH549" s="719"/>
      <c r="CI549" s="719"/>
      <c r="CJ549" s="719"/>
      <c r="CK549" s="719"/>
      <c r="CL549" s="719"/>
      <c r="CM549" s="719"/>
      <c r="CN549" s="719"/>
      <c r="CO549" s="719"/>
      <c r="CP549" s="719"/>
      <c r="CQ549" s="719"/>
      <c r="CR549" s="719"/>
      <c r="CS549" s="719"/>
      <c r="CT549" s="719"/>
      <c r="CU549" s="719"/>
      <c r="CV549" s="719"/>
      <c r="CW549" s="719"/>
      <c r="CX549" s="719"/>
      <c r="CY549" s="719"/>
      <c r="CZ549" s="719"/>
      <c r="DA549" s="720"/>
    </row>
    <row r="550" spans="85:105">
      <c r="CG550" s="718"/>
      <c r="CH550" s="719"/>
      <c r="CI550" s="719"/>
      <c r="CJ550" s="719"/>
      <c r="CK550" s="719"/>
      <c r="CL550" s="719"/>
      <c r="CM550" s="719"/>
      <c r="CN550" s="719"/>
      <c r="CO550" s="719"/>
      <c r="CP550" s="719"/>
      <c r="CQ550" s="719"/>
      <c r="CR550" s="719"/>
      <c r="CS550" s="719"/>
      <c r="CT550" s="719"/>
      <c r="CU550" s="719"/>
      <c r="CV550" s="719"/>
      <c r="CW550" s="719"/>
      <c r="CX550" s="719"/>
      <c r="CY550" s="719"/>
      <c r="CZ550" s="719"/>
      <c r="DA550" s="720"/>
    </row>
    <row r="551" spans="85:105">
      <c r="CG551" s="718"/>
      <c r="CH551" s="719"/>
      <c r="CI551" s="719"/>
      <c r="CJ551" s="719"/>
      <c r="CK551" s="719"/>
      <c r="CL551" s="719"/>
      <c r="CM551" s="719"/>
      <c r="CN551" s="719"/>
      <c r="CO551" s="719"/>
      <c r="CP551" s="719"/>
      <c r="CQ551" s="719"/>
      <c r="CR551" s="719"/>
      <c r="CS551" s="719"/>
      <c r="CT551" s="719"/>
      <c r="CU551" s="719"/>
      <c r="CV551" s="719"/>
      <c r="CW551" s="719"/>
      <c r="CX551" s="719"/>
      <c r="CY551" s="719"/>
      <c r="CZ551" s="719"/>
      <c r="DA551" s="720"/>
    </row>
    <row r="552" spans="85:105">
      <c r="CG552" s="718"/>
      <c r="CH552" s="719"/>
      <c r="CI552" s="719"/>
      <c r="CJ552" s="719"/>
      <c r="CK552" s="719"/>
      <c r="CL552" s="719"/>
      <c r="CM552" s="719"/>
      <c r="CN552" s="719"/>
      <c r="CO552" s="719"/>
      <c r="CP552" s="719"/>
      <c r="CQ552" s="719"/>
      <c r="CR552" s="719"/>
      <c r="CS552" s="719"/>
      <c r="CT552" s="719"/>
      <c r="CU552" s="719"/>
      <c r="CV552" s="719"/>
      <c r="CW552" s="719"/>
      <c r="CX552" s="719"/>
      <c r="CY552" s="719"/>
      <c r="CZ552" s="719"/>
      <c r="DA552" s="720"/>
    </row>
    <row r="553" spans="85:105">
      <c r="CG553" s="718"/>
      <c r="CH553" s="719"/>
      <c r="CI553" s="719"/>
      <c r="CJ553" s="719"/>
      <c r="CK553" s="719"/>
      <c r="CL553" s="719"/>
      <c r="CM553" s="719"/>
      <c r="CN553" s="719"/>
      <c r="CO553" s="719"/>
      <c r="CP553" s="719"/>
      <c r="CQ553" s="719"/>
      <c r="CR553" s="719"/>
      <c r="CS553" s="719"/>
      <c r="CT553" s="719"/>
      <c r="CU553" s="719"/>
      <c r="CV553" s="719"/>
      <c r="CW553" s="719"/>
      <c r="CX553" s="719"/>
      <c r="CY553" s="719"/>
      <c r="CZ553" s="719"/>
      <c r="DA553" s="720"/>
    </row>
    <row r="554" spans="85:105">
      <c r="CG554" s="718"/>
      <c r="CH554" s="719"/>
      <c r="CI554" s="719"/>
      <c r="CJ554" s="719"/>
      <c r="CK554" s="719"/>
      <c r="CL554" s="719"/>
      <c r="CM554" s="719"/>
      <c r="CN554" s="719"/>
      <c r="CO554" s="719"/>
      <c r="CP554" s="719"/>
      <c r="CQ554" s="719"/>
      <c r="CR554" s="719"/>
      <c r="CS554" s="719"/>
      <c r="CT554" s="719"/>
      <c r="CU554" s="719"/>
      <c r="CV554" s="719"/>
      <c r="CW554" s="719"/>
      <c r="CX554" s="719"/>
      <c r="CY554" s="719"/>
      <c r="CZ554" s="719"/>
      <c r="DA554" s="720"/>
    </row>
    <row r="555" spans="85:105">
      <c r="CG555" s="718"/>
      <c r="CH555" s="719"/>
      <c r="CI555" s="719"/>
      <c r="CJ555" s="719"/>
      <c r="CK555" s="719"/>
      <c r="CL555" s="719"/>
      <c r="CM555" s="719"/>
      <c r="CN555" s="719"/>
      <c r="CO555" s="719"/>
      <c r="CP555" s="719"/>
      <c r="CQ555" s="719"/>
      <c r="CR555" s="719"/>
      <c r="CS555" s="719"/>
      <c r="CT555" s="719"/>
      <c r="CU555" s="719"/>
      <c r="CV555" s="719"/>
      <c r="CW555" s="719"/>
      <c r="CX555" s="719"/>
      <c r="CY555" s="719"/>
      <c r="CZ555" s="719"/>
      <c r="DA555" s="720"/>
    </row>
    <row r="556" spans="85:105">
      <c r="CG556" s="718"/>
      <c r="CH556" s="719"/>
      <c r="CI556" s="719"/>
      <c r="CJ556" s="719"/>
      <c r="CK556" s="719"/>
      <c r="CL556" s="719"/>
      <c r="CM556" s="719"/>
      <c r="CN556" s="719"/>
      <c r="CO556" s="719"/>
      <c r="CP556" s="719"/>
      <c r="CQ556" s="719"/>
      <c r="CR556" s="719"/>
      <c r="CS556" s="719"/>
      <c r="CT556" s="719"/>
      <c r="CU556" s="719"/>
      <c r="CV556" s="719"/>
      <c r="CW556" s="719"/>
      <c r="CX556" s="719"/>
      <c r="CY556" s="719"/>
      <c r="CZ556" s="719"/>
      <c r="DA556" s="720"/>
    </row>
    <row r="557" spans="85:105">
      <c r="CG557" s="718"/>
      <c r="CH557" s="719"/>
      <c r="CI557" s="719"/>
      <c r="CJ557" s="719"/>
      <c r="CK557" s="719"/>
      <c r="CL557" s="719"/>
      <c r="CM557" s="719"/>
      <c r="CN557" s="719"/>
      <c r="CO557" s="719"/>
      <c r="CP557" s="719"/>
      <c r="CQ557" s="719"/>
      <c r="CR557" s="719"/>
      <c r="CS557" s="719"/>
      <c r="CT557" s="719"/>
      <c r="CU557" s="719"/>
      <c r="CV557" s="719"/>
      <c r="CW557" s="719"/>
      <c r="CX557" s="719"/>
      <c r="CY557" s="719"/>
      <c r="CZ557" s="719"/>
      <c r="DA557" s="720"/>
    </row>
    <row r="558" spans="85:105">
      <c r="CG558" s="718"/>
      <c r="CH558" s="719"/>
      <c r="CI558" s="719"/>
      <c r="CJ558" s="719"/>
      <c r="CK558" s="719"/>
      <c r="CL558" s="719"/>
      <c r="CM558" s="719"/>
      <c r="CN558" s="719"/>
      <c r="CO558" s="719"/>
      <c r="CP558" s="719"/>
      <c r="CQ558" s="719"/>
      <c r="CR558" s="719"/>
      <c r="CS558" s="719"/>
      <c r="CT558" s="719"/>
      <c r="CU558" s="719"/>
      <c r="CV558" s="719"/>
      <c r="CW558" s="719"/>
      <c r="CX558" s="719"/>
      <c r="CY558" s="719"/>
      <c r="CZ558" s="719"/>
      <c r="DA558" s="720"/>
    </row>
    <row r="559" spans="85:105">
      <c r="CG559" s="718"/>
      <c r="CH559" s="719"/>
      <c r="CI559" s="719"/>
      <c r="CJ559" s="719"/>
      <c r="CK559" s="719"/>
      <c r="CL559" s="719"/>
      <c r="CM559" s="719"/>
      <c r="CN559" s="719"/>
      <c r="CO559" s="719"/>
      <c r="CP559" s="719"/>
      <c r="CQ559" s="719"/>
      <c r="CR559" s="719"/>
      <c r="CS559" s="719"/>
      <c r="CT559" s="719"/>
      <c r="CU559" s="719"/>
      <c r="CV559" s="719"/>
      <c r="CW559" s="719"/>
      <c r="CX559" s="719"/>
      <c r="CY559" s="719"/>
      <c r="CZ559" s="719"/>
      <c r="DA559" s="720"/>
    </row>
    <row r="560" spans="85:105">
      <c r="CG560" s="718"/>
      <c r="CH560" s="719"/>
      <c r="CI560" s="719"/>
      <c r="CJ560" s="719"/>
      <c r="CK560" s="719"/>
      <c r="CL560" s="719"/>
      <c r="CM560" s="719"/>
      <c r="CN560" s="719"/>
      <c r="CO560" s="719"/>
      <c r="CP560" s="719"/>
      <c r="CQ560" s="719"/>
      <c r="CR560" s="719"/>
      <c r="CS560" s="719"/>
      <c r="CT560" s="719"/>
      <c r="CU560" s="719"/>
      <c r="CV560" s="719"/>
      <c r="CW560" s="719"/>
      <c r="CX560" s="719"/>
      <c r="CY560" s="719"/>
      <c r="CZ560" s="719"/>
      <c r="DA560" s="720"/>
    </row>
    <row r="561" spans="85:105">
      <c r="CG561" s="718"/>
      <c r="CH561" s="719"/>
      <c r="CI561" s="719"/>
      <c r="CJ561" s="719"/>
      <c r="CK561" s="719"/>
      <c r="CL561" s="719"/>
      <c r="CM561" s="719"/>
      <c r="CN561" s="719"/>
      <c r="CO561" s="719"/>
      <c r="CP561" s="719"/>
      <c r="CQ561" s="719"/>
      <c r="CR561" s="719"/>
      <c r="CS561" s="719"/>
      <c r="CT561" s="719"/>
      <c r="CU561" s="719"/>
      <c r="CV561" s="719"/>
      <c r="CW561" s="719"/>
      <c r="CX561" s="719"/>
      <c r="CY561" s="719"/>
      <c r="CZ561" s="719"/>
      <c r="DA561" s="720"/>
    </row>
    <row r="562" spans="85:105">
      <c r="CG562" s="718"/>
      <c r="CH562" s="719"/>
      <c r="CI562" s="719"/>
      <c r="CJ562" s="719"/>
      <c r="CK562" s="719"/>
      <c r="CL562" s="719"/>
      <c r="CM562" s="719"/>
      <c r="CN562" s="719"/>
      <c r="CO562" s="719"/>
      <c r="CP562" s="719"/>
      <c r="CQ562" s="719"/>
      <c r="CR562" s="719"/>
      <c r="CS562" s="719"/>
      <c r="CT562" s="719"/>
      <c r="CU562" s="719"/>
      <c r="CV562" s="719"/>
      <c r="CW562" s="719"/>
      <c r="CX562" s="719"/>
      <c r="CY562" s="719"/>
      <c r="CZ562" s="719"/>
      <c r="DA562" s="720"/>
    </row>
    <row r="563" spans="85:105">
      <c r="CG563" s="718"/>
      <c r="CH563" s="719"/>
      <c r="CI563" s="719"/>
      <c r="CJ563" s="719"/>
      <c r="CK563" s="719"/>
      <c r="CL563" s="719"/>
      <c r="CM563" s="719"/>
      <c r="CN563" s="719"/>
      <c r="CO563" s="719"/>
      <c r="CP563" s="719"/>
      <c r="CQ563" s="719"/>
      <c r="CR563" s="719"/>
      <c r="CS563" s="719"/>
      <c r="CT563" s="719"/>
      <c r="CU563" s="719"/>
      <c r="CV563" s="719"/>
      <c r="CW563" s="719"/>
      <c r="CX563" s="719"/>
      <c r="CY563" s="719"/>
      <c r="CZ563" s="719"/>
      <c r="DA563" s="720"/>
    </row>
    <row r="564" spans="85:105">
      <c r="CG564" s="718"/>
      <c r="CH564" s="719"/>
      <c r="CI564" s="719"/>
      <c r="CJ564" s="719"/>
      <c r="CK564" s="719"/>
      <c r="CL564" s="719"/>
      <c r="CM564" s="719"/>
      <c r="CN564" s="719"/>
      <c r="CO564" s="719"/>
      <c r="CP564" s="719"/>
      <c r="CQ564" s="719"/>
      <c r="CR564" s="719"/>
      <c r="CS564" s="719"/>
      <c r="CT564" s="719"/>
      <c r="CU564" s="719"/>
      <c r="CV564" s="719"/>
      <c r="CW564" s="719"/>
      <c r="CX564" s="719"/>
      <c r="CY564" s="719"/>
      <c r="CZ564" s="719"/>
      <c r="DA564" s="720"/>
    </row>
    <row r="565" spans="85:105">
      <c r="CG565" s="718"/>
      <c r="CH565" s="719"/>
      <c r="CI565" s="719"/>
      <c r="CJ565" s="719"/>
      <c r="CK565" s="719"/>
      <c r="CL565" s="719"/>
      <c r="CM565" s="719"/>
      <c r="CN565" s="719"/>
      <c r="CO565" s="719"/>
      <c r="CP565" s="719"/>
      <c r="CQ565" s="719"/>
      <c r="CR565" s="719"/>
      <c r="CS565" s="719"/>
      <c r="CT565" s="719"/>
      <c r="CU565" s="719"/>
      <c r="CV565" s="719"/>
      <c r="CW565" s="719"/>
      <c r="CX565" s="719"/>
      <c r="CY565" s="719"/>
      <c r="CZ565" s="719"/>
      <c r="DA565" s="720"/>
    </row>
    <row r="566" spans="85:105">
      <c r="CG566" s="718"/>
      <c r="CH566" s="719"/>
      <c r="CI566" s="719"/>
      <c r="CJ566" s="719"/>
      <c r="CK566" s="719"/>
      <c r="CL566" s="719"/>
      <c r="CM566" s="719"/>
      <c r="CN566" s="719"/>
      <c r="CO566" s="719"/>
      <c r="CP566" s="719"/>
      <c r="CQ566" s="719"/>
      <c r="CR566" s="719"/>
      <c r="CS566" s="719"/>
      <c r="CT566" s="719"/>
      <c r="CU566" s="719"/>
      <c r="CV566" s="719"/>
      <c r="CW566" s="719"/>
      <c r="CX566" s="719"/>
      <c r="CY566" s="719"/>
      <c r="CZ566" s="719"/>
      <c r="DA566" s="720"/>
    </row>
    <row r="567" spans="85:105">
      <c r="CG567" s="718"/>
      <c r="CH567" s="719"/>
      <c r="CI567" s="719"/>
      <c r="CJ567" s="719"/>
      <c r="CK567" s="719"/>
      <c r="CL567" s="719"/>
      <c r="CM567" s="719"/>
      <c r="CN567" s="719"/>
      <c r="CO567" s="719"/>
      <c r="CP567" s="719"/>
      <c r="CQ567" s="719"/>
      <c r="CR567" s="719"/>
      <c r="CS567" s="719"/>
      <c r="CT567" s="719"/>
      <c r="CU567" s="719"/>
      <c r="CV567" s="719"/>
      <c r="CW567" s="719"/>
      <c r="CX567" s="719"/>
      <c r="CY567" s="719"/>
      <c r="CZ567" s="719"/>
      <c r="DA567" s="720"/>
    </row>
    <row r="568" spans="85:105">
      <c r="CG568" s="718"/>
      <c r="CH568" s="719"/>
      <c r="CI568" s="719"/>
      <c r="CJ568" s="719"/>
      <c r="CK568" s="719"/>
      <c r="CL568" s="719"/>
      <c r="CM568" s="719"/>
      <c r="CN568" s="719"/>
      <c r="CO568" s="719"/>
      <c r="CP568" s="719"/>
      <c r="CQ568" s="719"/>
      <c r="CR568" s="719"/>
      <c r="CS568" s="719"/>
      <c r="CT568" s="719"/>
      <c r="CU568" s="719"/>
      <c r="CV568" s="719"/>
      <c r="CW568" s="719"/>
      <c r="CX568" s="719"/>
      <c r="CY568" s="719"/>
      <c r="CZ568" s="719"/>
      <c r="DA568" s="720"/>
    </row>
    <row r="569" spans="85:105">
      <c r="CG569" s="718"/>
      <c r="CH569" s="719"/>
      <c r="CI569" s="719"/>
      <c r="CJ569" s="719"/>
      <c r="CK569" s="719"/>
      <c r="CL569" s="719"/>
      <c r="CM569" s="719"/>
      <c r="CN569" s="719"/>
      <c r="CO569" s="719"/>
      <c r="CP569" s="719"/>
      <c r="CQ569" s="719"/>
      <c r="CR569" s="719"/>
      <c r="CS569" s="719"/>
      <c r="CT569" s="719"/>
      <c r="CU569" s="719"/>
      <c r="CV569" s="719"/>
      <c r="CW569" s="719"/>
      <c r="CX569" s="719"/>
      <c r="CY569" s="719"/>
      <c r="CZ569" s="719"/>
      <c r="DA569" s="720"/>
    </row>
    <row r="570" spans="85:105">
      <c r="CG570" s="718"/>
      <c r="CH570" s="719"/>
      <c r="CI570" s="719"/>
      <c r="CJ570" s="719"/>
      <c r="CK570" s="719"/>
      <c r="CL570" s="719"/>
      <c r="CM570" s="719"/>
      <c r="CN570" s="719"/>
      <c r="CO570" s="719"/>
      <c r="CP570" s="719"/>
      <c r="CQ570" s="719"/>
      <c r="CR570" s="719"/>
      <c r="CS570" s="719"/>
      <c r="CT570" s="719"/>
      <c r="CU570" s="719"/>
      <c r="CV570" s="719"/>
      <c r="CW570" s="719"/>
      <c r="CX570" s="719"/>
      <c r="CY570" s="719"/>
      <c r="CZ570" s="719"/>
      <c r="DA570" s="720"/>
    </row>
    <row r="571" spans="85:105">
      <c r="CG571" s="718"/>
      <c r="CH571" s="719"/>
      <c r="CI571" s="719"/>
      <c r="CJ571" s="719"/>
      <c r="CK571" s="719"/>
      <c r="CL571" s="719"/>
      <c r="CM571" s="719"/>
      <c r="CN571" s="719"/>
      <c r="CO571" s="719"/>
      <c r="CP571" s="719"/>
      <c r="CQ571" s="719"/>
      <c r="CR571" s="719"/>
      <c r="CS571" s="719"/>
      <c r="CT571" s="719"/>
      <c r="CU571" s="719"/>
      <c r="CV571" s="719"/>
      <c r="CW571" s="719"/>
      <c r="CX571" s="719"/>
      <c r="CY571" s="719"/>
      <c r="CZ571" s="719"/>
      <c r="DA571" s="720"/>
    </row>
    <row r="572" spans="85:105">
      <c r="CG572" s="718"/>
      <c r="CH572" s="719"/>
      <c r="CI572" s="719"/>
      <c r="CJ572" s="719"/>
      <c r="CK572" s="719"/>
      <c r="CL572" s="719"/>
      <c r="CM572" s="719"/>
      <c r="CN572" s="719"/>
      <c r="CO572" s="719"/>
      <c r="CP572" s="719"/>
      <c r="CQ572" s="719"/>
      <c r="CR572" s="719"/>
      <c r="CS572" s="719"/>
      <c r="CT572" s="719"/>
      <c r="CU572" s="719"/>
      <c r="CV572" s="719"/>
      <c r="CW572" s="719"/>
      <c r="CX572" s="719"/>
      <c r="CY572" s="719"/>
      <c r="CZ572" s="719"/>
      <c r="DA572" s="720"/>
    </row>
    <row r="573" spans="85:105">
      <c r="CG573" s="718"/>
      <c r="CH573" s="719"/>
      <c r="CI573" s="719"/>
      <c r="CJ573" s="719"/>
      <c r="CK573" s="719"/>
      <c r="CL573" s="719"/>
      <c r="CM573" s="719"/>
      <c r="CN573" s="719"/>
      <c r="CO573" s="719"/>
      <c r="CP573" s="719"/>
      <c r="CQ573" s="719"/>
      <c r="CR573" s="719"/>
      <c r="CS573" s="719"/>
      <c r="CT573" s="719"/>
      <c r="CU573" s="719"/>
      <c r="CV573" s="719"/>
      <c r="CW573" s="719"/>
      <c r="CX573" s="719"/>
      <c r="CY573" s="719"/>
      <c r="CZ573" s="719"/>
      <c r="DA573" s="720"/>
    </row>
    <row r="574" spans="85:105">
      <c r="CG574" s="718"/>
      <c r="CH574" s="719"/>
      <c r="CI574" s="719"/>
      <c r="CJ574" s="719"/>
      <c r="CK574" s="719"/>
      <c r="CL574" s="719"/>
      <c r="CM574" s="719"/>
      <c r="CN574" s="719"/>
      <c r="CO574" s="719"/>
      <c r="CP574" s="719"/>
      <c r="CQ574" s="719"/>
      <c r="CR574" s="719"/>
      <c r="CS574" s="719"/>
      <c r="CT574" s="719"/>
      <c r="CU574" s="719"/>
      <c r="CV574" s="719"/>
      <c r="CW574" s="719"/>
      <c r="CX574" s="719"/>
      <c r="CY574" s="719"/>
      <c r="CZ574" s="719"/>
      <c r="DA574" s="720"/>
    </row>
    <row r="575" spans="85:105">
      <c r="CG575" s="718"/>
      <c r="CH575" s="719"/>
      <c r="CI575" s="719"/>
      <c r="CJ575" s="719"/>
      <c r="CK575" s="719"/>
      <c r="CL575" s="719"/>
      <c r="CM575" s="719"/>
      <c r="CN575" s="719"/>
      <c r="CO575" s="719"/>
      <c r="CP575" s="719"/>
      <c r="CQ575" s="719"/>
      <c r="CR575" s="719"/>
      <c r="CS575" s="719"/>
      <c r="CT575" s="719"/>
      <c r="CU575" s="719"/>
      <c r="CV575" s="719"/>
      <c r="CW575" s="719"/>
      <c r="CX575" s="719"/>
      <c r="CY575" s="719"/>
      <c r="CZ575" s="719"/>
      <c r="DA575" s="720"/>
    </row>
    <row r="576" spans="85:105" ht="12.95" thickBot="1">
      <c r="CG576" s="721"/>
      <c r="CH576" s="722"/>
      <c r="CI576" s="722"/>
      <c r="CJ576" s="722"/>
      <c r="CK576" s="722"/>
      <c r="CL576" s="722"/>
      <c r="CM576" s="722"/>
      <c r="CN576" s="722"/>
      <c r="CO576" s="722"/>
      <c r="CP576" s="722"/>
      <c r="CQ576" s="722"/>
      <c r="CR576" s="722"/>
      <c r="CS576" s="722"/>
      <c r="CT576" s="722"/>
      <c r="CU576" s="722"/>
      <c r="CV576" s="722"/>
      <c r="CW576" s="722"/>
      <c r="CX576" s="722"/>
      <c r="CY576" s="722"/>
      <c r="CZ576" s="722"/>
      <c r="DA576" s="723"/>
    </row>
    <row r="577" ht="12.95" thickTop="1"/>
    <row r="737" spans="111:131" ht="12.95" thickBot="1"/>
    <row r="738" spans="111:131" ht="12.95" thickTop="1">
      <c r="DG738" s="715"/>
      <c r="DH738" s="716"/>
      <c r="DI738" s="716"/>
      <c r="DJ738" s="716"/>
      <c r="DK738" s="716"/>
      <c r="DL738" s="716"/>
      <c r="DM738" s="716"/>
      <c r="DN738" s="716"/>
      <c r="DO738" s="716"/>
      <c r="DP738" s="716"/>
      <c r="DQ738" s="716"/>
      <c r="DR738" s="716"/>
      <c r="DS738" s="716"/>
      <c r="DT738" s="716"/>
      <c r="DU738" s="716"/>
      <c r="DV738" s="716"/>
      <c r="DW738" s="716"/>
      <c r="DX738" s="716"/>
      <c r="DY738" s="716"/>
      <c r="DZ738" s="716"/>
      <c r="EA738" s="717"/>
    </row>
    <row r="739" spans="111:131">
      <c r="DG739" s="718"/>
      <c r="DH739" s="1393" t="str">
        <f>HYPERLINK("#Segments!A1","Back to segments")</f>
        <v>Back to segments</v>
      </c>
      <c r="DI739" s="1394"/>
      <c r="DJ739" s="719"/>
      <c r="DK739" s="719"/>
      <c r="DL739" s="719"/>
      <c r="DM739" s="719"/>
      <c r="DN739" s="719"/>
      <c r="DO739" s="719"/>
      <c r="DP739" s="719"/>
      <c r="DQ739" s="719"/>
      <c r="DR739" s="719"/>
      <c r="DS739" s="719"/>
      <c r="DT739" s="719"/>
      <c r="DU739" s="719"/>
      <c r="DV739" s="719"/>
      <c r="DW739" s="719"/>
      <c r="DX739" s="719"/>
      <c r="DY739" s="719"/>
      <c r="DZ739" s="719"/>
      <c r="EA739" s="720"/>
    </row>
    <row r="740" spans="111:131">
      <c r="DG740" s="718"/>
      <c r="DH740" s="1395"/>
      <c r="DI740" s="1396"/>
      <c r="DJ740" s="719"/>
      <c r="DK740" s="719"/>
      <c r="DL740" s="719"/>
      <c r="DM740" s="719"/>
      <c r="DN740" s="719"/>
      <c r="DO740" s="719"/>
      <c r="DP740" s="719"/>
      <c r="DQ740" s="719"/>
      <c r="DR740" s="719"/>
      <c r="DS740" s="719"/>
      <c r="DT740" s="719"/>
      <c r="DU740" s="719"/>
      <c r="DV740" s="719"/>
      <c r="DW740" s="719"/>
      <c r="DX740" s="719"/>
      <c r="DY740" s="719"/>
      <c r="DZ740" s="719"/>
      <c r="EA740" s="720"/>
    </row>
    <row r="741" spans="111:131">
      <c r="DG741" s="718"/>
      <c r="DH741" s="719"/>
      <c r="DI741" s="719"/>
      <c r="DJ741" s="719"/>
      <c r="DK741" s="719"/>
      <c r="DL741" s="719"/>
      <c r="DM741" s="719"/>
      <c r="DN741" s="719"/>
      <c r="DO741" s="719"/>
      <c r="DP741" s="719"/>
      <c r="DQ741" s="719"/>
      <c r="DR741" s="719"/>
      <c r="DS741" s="719"/>
      <c r="DT741" s="719"/>
      <c r="DU741" s="719"/>
      <c r="DV741" s="719"/>
      <c r="DW741" s="719"/>
      <c r="DX741" s="719"/>
      <c r="DY741" s="719"/>
      <c r="DZ741" s="719"/>
      <c r="EA741" s="720"/>
    </row>
    <row r="742" spans="111:131">
      <c r="DG742" s="718"/>
      <c r="DH742" s="719"/>
      <c r="DI742" s="719"/>
      <c r="DJ742" s="719"/>
      <c r="DK742" s="719"/>
      <c r="DL742" s="719"/>
      <c r="DM742" s="719"/>
      <c r="DN742" s="719"/>
      <c r="DO742" s="719"/>
      <c r="DP742" s="719"/>
      <c r="DQ742" s="719"/>
      <c r="DR742" s="719"/>
      <c r="DS742" s="719"/>
      <c r="DT742" s="719"/>
      <c r="DU742" s="719"/>
      <c r="DV742" s="719"/>
      <c r="DW742" s="719"/>
      <c r="DX742" s="719"/>
      <c r="DY742" s="719"/>
      <c r="DZ742" s="719"/>
      <c r="EA742" s="720"/>
    </row>
    <row r="743" spans="111:131">
      <c r="DG743" s="718"/>
      <c r="DH743" s="719"/>
      <c r="DI743" s="719"/>
      <c r="DJ743" s="719"/>
      <c r="DK743" s="719"/>
      <c r="DL743" s="719"/>
      <c r="DM743" s="719"/>
      <c r="DN743" s="719"/>
      <c r="DO743" s="719"/>
      <c r="DP743" s="719"/>
      <c r="DQ743" s="719"/>
      <c r="DR743" s="719"/>
      <c r="DS743" s="719"/>
      <c r="DT743" s="719"/>
      <c r="DU743" s="719"/>
      <c r="DV743" s="719"/>
      <c r="DW743" s="719"/>
      <c r="DX743" s="719"/>
      <c r="DY743" s="719"/>
      <c r="DZ743" s="719"/>
      <c r="EA743" s="720"/>
    </row>
    <row r="744" spans="111:131">
      <c r="DG744" s="718"/>
      <c r="DH744" s="719"/>
      <c r="DI744" s="719"/>
      <c r="DJ744" s="719"/>
      <c r="DK744" s="719"/>
      <c r="DL744" s="719"/>
      <c r="DM744" s="719"/>
      <c r="DN744" s="719"/>
      <c r="DO744" s="719"/>
      <c r="DP744" s="719"/>
      <c r="DQ744" s="719"/>
      <c r="DR744" s="719"/>
      <c r="DS744" s="719"/>
      <c r="DT744" s="719"/>
      <c r="DU744" s="719"/>
      <c r="DV744" s="719"/>
      <c r="DW744" s="719"/>
      <c r="DX744" s="719"/>
      <c r="DY744" s="719"/>
      <c r="DZ744" s="719"/>
      <c r="EA744" s="720"/>
    </row>
    <row r="745" spans="111:131">
      <c r="DG745" s="718"/>
      <c r="DH745" s="719"/>
      <c r="DI745" s="719"/>
      <c r="DJ745" s="719"/>
      <c r="DK745" s="719"/>
      <c r="DL745" s="719"/>
      <c r="DM745" s="719"/>
      <c r="DN745" s="719"/>
      <c r="DO745" s="719"/>
      <c r="DP745" s="719"/>
      <c r="DQ745" s="719"/>
      <c r="DR745" s="719"/>
      <c r="DS745" s="719"/>
      <c r="DT745" s="719"/>
      <c r="DU745" s="719"/>
      <c r="DV745" s="719"/>
      <c r="DW745" s="719"/>
      <c r="DX745" s="719"/>
      <c r="DY745" s="719"/>
      <c r="DZ745" s="719"/>
      <c r="EA745" s="720"/>
    </row>
    <row r="746" spans="111:131">
      <c r="DG746" s="718"/>
      <c r="DH746" s="719"/>
      <c r="DI746" s="719"/>
      <c r="DJ746" s="719"/>
      <c r="DK746" s="719"/>
      <c r="DL746" s="719"/>
      <c r="DM746" s="719"/>
      <c r="DN746" s="719"/>
      <c r="DO746" s="719"/>
      <c r="DP746" s="719"/>
      <c r="DQ746" s="719"/>
      <c r="DR746" s="719"/>
      <c r="DS746" s="719"/>
      <c r="DT746" s="719"/>
      <c r="DU746" s="719"/>
      <c r="DV746" s="719"/>
      <c r="DW746" s="719"/>
      <c r="DX746" s="719"/>
      <c r="DY746" s="719"/>
      <c r="DZ746" s="719"/>
      <c r="EA746" s="720"/>
    </row>
    <row r="747" spans="111:131">
      <c r="DG747" s="718"/>
      <c r="DH747" s="719"/>
      <c r="DI747" s="719"/>
      <c r="DJ747" s="719"/>
      <c r="DK747" s="719"/>
      <c r="DL747" s="719"/>
      <c r="DM747" s="719"/>
      <c r="DN747" s="719"/>
      <c r="DO747" s="719"/>
      <c r="DP747" s="719"/>
      <c r="DQ747" s="719"/>
      <c r="DR747" s="719"/>
      <c r="DS747" s="719"/>
      <c r="DT747" s="719"/>
      <c r="DU747" s="719"/>
      <c r="DV747" s="719"/>
      <c r="DW747" s="719"/>
      <c r="DX747" s="719"/>
      <c r="DY747" s="719"/>
      <c r="DZ747" s="719"/>
      <c r="EA747" s="720"/>
    </row>
    <row r="748" spans="111:131">
      <c r="DG748" s="718"/>
      <c r="DH748" s="719"/>
      <c r="DI748" s="719"/>
      <c r="DJ748" s="719"/>
      <c r="DK748" s="719"/>
      <c r="DL748" s="719"/>
      <c r="DM748" s="719"/>
      <c r="DN748" s="719"/>
      <c r="DO748" s="719"/>
      <c r="DP748" s="719"/>
      <c r="DQ748" s="719"/>
      <c r="DR748" s="719"/>
      <c r="DS748" s="719"/>
      <c r="DT748" s="719"/>
      <c r="DU748" s="719"/>
      <c r="DV748" s="719"/>
      <c r="DW748" s="719"/>
      <c r="DX748" s="719"/>
      <c r="DY748" s="719"/>
      <c r="DZ748" s="719"/>
      <c r="EA748" s="720"/>
    </row>
    <row r="749" spans="111:131">
      <c r="DG749" s="718"/>
      <c r="DH749" s="719"/>
      <c r="DI749" s="719"/>
      <c r="DJ749" s="719"/>
      <c r="DK749" s="719"/>
      <c r="DL749" s="719"/>
      <c r="DM749" s="719"/>
      <c r="DN749" s="719"/>
      <c r="DO749" s="719"/>
      <c r="DP749" s="719"/>
      <c r="DQ749" s="719"/>
      <c r="DR749" s="719"/>
      <c r="DS749" s="719"/>
      <c r="DT749" s="719"/>
      <c r="DU749" s="719"/>
      <c r="DV749" s="719"/>
      <c r="DW749" s="719"/>
      <c r="DX749" s="719"/>
      <c r="DY749" s="719"/>
      <c r="DZ749" s="719"/>
      <c r="EA749" s="720"/>
    </row>
    <row r="750" spans="111:131">
      <c r="DG750" s="718"/>
      <c r="DH750" s="719"/>
      <c r="DI750" s="719"/>
      <c r="DJ750" s="719"/>
      <c r="DK750" s="719"/>
      <c r="DL750" s="719"/>
      <c r="DM750" s="719"/>
      <c r="DN750" s="719"/>
      <c r="DO750" s="719"/>
      <c r="DP750" s="719"/>
      <c r="DQ750" s="719"/>
      <c r="DR750" s="719"/>
      <c r="DS750" s="719"/>
      <c r="DT750" s="719"/>
      <c r="DU750" s="719"/>
      <c r="DV750" s="719"/>
      <c r="DW750" s="719"/>
      <c r="DX750" s="719"/>
      <c r="DY750" s="719"/>
      <c r="DZ750" s="719"/>
      <c r="EA750" s="720"/>
    </row>
    <row r="751" spans="111:131">
      <c r="DG751" s="718"/>
      <c r="DH751" s="719"/>
      <c r="DI751" s="719"/>
      <c r="DJ751" s="719"/>
      <c r="DK751" s="719"/>
      <c r="DL751" s="719"/>
      <c r="DM751" s="719"/>
      <c r="DN751" s="719"/>
      <c r="DO751" s="719"/>
      <c r="DP751" s="719"/>
      <c r="DQ751" s="719"/>
      <c r="DR751" s="719"/>
      <c r="DS751" s="719"/>
      <c r="DT751" s="719"/>
      <c r="DU751" s="719"/>
      <c r="DV751" s="719"/>
      <c r="DW751" s="719"/>
      <c r="DX751" s="719"/>
      <c r="DY751" s="719"/>
      <c r="DZ751" s="719"/>
      <c r="EA751" s="720"/>
    </row>
    <row r="752" spans="111:131">
      <c r="DG752" s="718"/>
      <c r="DH752" s="719"/>
      <c r="DI752" s="719"/>
      <c r="DJ752" s="719"/>
      <c r="DK752" s="719"/>
      <c r="DL752" s="719"/>
      <c r="DM752" s="719"/>
      <c r="DN752" s="719"/>
      <c r="DO752" s="719"/>
      <c r="DP752" s="719"/>
      <c r="DQ752" s="719"/>
      <c r="DR752" s="719"/>
      <c r="DS752" s="719"/>
      <c r="DT752" s="719"/>
      <c r="DU752" s="719"/>
      <c r="DV752" s="719"/>
      <c r="DW752" s="719"/>
      <c r="DX752" s="719"/>
      <c r="DY752" s="719"/>
      <c r="DZ752" s="719"/>
      <c r="EA752" s="720"/>
    </row>
    <row r="753" spans="111:131">
      <c r="DG753" s="718"/>
      <c r="DH753" s="719"/>
      <c r="DI753" s="719"/>
      <c r="DJ753" s="719"/>
      <c r="DK753" s="719"/>
      <c r="DL753" s="719"/>
      <c r="DM753" s="719"/>
      <c r="DN753" s="719"/>
      <c r="DO753" s="719"/>
      <c r="DP753" s="719"/>
      <c r="DQ753" s="719"/>
      <c r="DR753" s="719"/>
      <c r="DS753" s="719"/>
      <c r="DT753" s="719"/>
      <c r="DU753" s="719"/>
      <c r="DV753" s="719"/>
      <c r="DW753" s="719"/>
      <c r="DX753" s="719"/>
      <c r="DY753" s="719"/>
      <c r="DZ753" s="719"/>
      <c r="EA753" s="720"/>
    </row>
    <row r="754" spans="111:131">
      <c r="DG754" s="718"/>
      <c r="DH754" s="719"/>
      <c r="DI754" s="719"/>
      <c r="DJ754" s="719"/>
      <c r="DK754" s="719"/>
      <c r="DL754" s="719"/>
      <c r="DM754" s="719"/>
      <c r="DN754" s="719"/>
      <c r="DO754" s="719"/>
      <c r="DP754" s="719"/>
      <c r="DQ754" s="719"/>
      <c r="DR754" s="719"/>
      <c r="DS754" s="719"/>
      <c r="DT754" s="719"/>
      <c r="DU754" s="719"/>
      <c r="DV754" s="719"/>
      <c r="DW754" s="719"/>
      <c r="DX754" s="719"/>
      <c r="DY754" s="719"/>
      <c r="DZ754" s="719"/>
      <c r="EA754" s="720"/>
    </row>
    <row r="755" spans="111:131">
      <c r="DG755" s="718"/>
      <c r="DH755" s="719"/>
      <c r="DI755" s="719"/>
      <c r="DJ755" s="719"/>
      <c r="DK755" s="719"/>
      <c r="DL755" s="719"/>
      <c r="DM755" s="719"/>
      <c r="DN755" s="719"/>
      <c r="DO755" s="719"/>
      <c r="DP755" s="719"/>
      <c r="DQ755" s="719"/>
      <c r="DR755" s="719"/>
      <c r="DS755" s="719"/>
      <c r="DT755" s="719"/>
      <c r="DU755" s="719"/>
      <c r="DV755" s="719"/>
      <c r="DW755" s="719"/>
      <c r="DX755" s="719"/>
      <c r="DY755" s="719"/>
      <c r="DZ755" s="719"/>
      <c r="EA755" s="720"/>
    </row>
    <row r="756" spans="111:131">
      <c r="DG756" s="718"/>
      <c r="DH756" s="719"/>
      <c r="DI756" s="719"/>
      <c r="DJ756" s="719"/>
      <c r="DK756" s="719"/>
      <c r="DL756" s="719"/>
      <c r="DM756" s="719"/>
      <c r="DN756" s="719"/>
      <c r="DO756" s="719"/>
      <c r="DP756" s="719"/>
      <c r="DQ756" s="719"/>
      <c r="DR756" s="719"/>
      <c r="DS756" s="719"/>
      <c r="DT756" s="719"/>
      <c r="DU756" s="719"/>
      <c r="DV756" s="719"/>
      <c r="DW756" s="719"/>
      <c r="DX756" s="719"/>
      <c r="DY756" s="719"/>
      <c r="DZ756" s="719"/>
      <c r="EA756" s="720"/>
    </row>
    <row r="757" spans="111:131">
      <c r="DG757" s="718"/>
      <c r="DH757" s="719"/>
      <c r="DI757" s="719"/>
      <c r="DJ757" s="719"/>
      <c r="DK757" s="719"/>
      <c r="DL757" s="719"/>
      <c r="DM757" s="719"/>
      <c r="DN757" s="719"/>
      <c r="DO757" s="719"/>
      <c r="DP757" s="719"/>
      <c r="DQ757" s="719"/>
      <c r="DR757" s="719"/>
      <c r="DS757" s="719"/>
      <c r="DT757" s="719"/>
      <c r="DU757" s="719"/>
      <c r="DV757" s="719"/>
      <c r="DW757" s="719"/>
      <c r="DX757" s="719"/>
      <c r="DY757" s="719"/>
      <c r="DZ757" s="719"/>
      <c r="EA757" s="720"/>
    </row>
    <row r="758" spans="111:131">
      <c r="DG758" s="718"/>
      <c r="DH758" s="719"/>
      <c r="DI758" s="719"/>
      <c r="DJ758" s="719"/>
      <c r="DK758" s="719"/>
      <c r="DL758" s="719"/>
      <c r="DM758" s="719"/>
      <c r="DN758" s="719"/>
      <c r="DO758" s="719"/>
      <c r="DP758" s="719"/>
      <c r="DQ758" s="719"/>
      <c r="DR758" s="719"/>
      <c r="DS758" s="719"/>
      <c r="DT758" s="719"/>
      <c r="DU758" s="719"/>
      <c r="DV758" s="719"/>
      <c r="DW758" s="719"/>
      <c r="DX758" s="719"/>
      <c r="DY758" s="719"/>
      <c r="DZ758" s="719"/>
      <c r="EA758" s="720"/>
    </row>
    <row r="759" spans="111:131">
      <c r="DG759" s="718"/>
      <c r="DH759" s="719"/>
      <c r="DI759" s="719"/>
      <c r="DJ759" s="719"/>
      <c r="DK759" s="719"/>
      <c r="DL759" s="719"/>
      <c r="DM759" s="719"/>
      <c r="DN759" s="719"/>
      <c r="DO759" s="719"/>
      <c r="DP759" s="719"/>
      <c r="DQ759" s="719"/>
      <c r="DR759" s="719"/>
      <c r="DS759" s="719"/>
      <c r="DT759" s="719"/>
      <c r="DU759" s="719"/>
      <c r="DV759" s="719"/>
      <c r="DW759" s="719"/>
      <c r="DX759" s="719"/>
      <c r="DY759" s="719"/>
      <c r="DZ759" s="719"/>
      <c r="EA759" s="720"/>
    </row>
    <row r="760" spans="111:131">
      <c r="DG760" s="718"/>
      <c r="DH760" s="719"/>
      <c r="DI760" s="719"/>
      <c r="DJ760" s="719"/>
      <c r="DK760" s="719"/>
      <c r="DL760" s="719"/>
      <c r="DM760" s="719"/>
      <c r="DN760" s="719"/>
      <c r="DO760" s="719"/>
      <c r="DP760" s="719"/>
      <c r="DQ760" s="719"/>
      <c r="DR760" s="719"/>
      <c r="DS760" s="719"/>
      <c r="DT760" s="719"/>
      <c r="DU760" s="719"/>
      <c r="DV760" s="719"/>
      <c r="DW760" s="719"/>
      <c r="DX760" s="719"/>
      <c r="DY760" s="719"/>
      <c r="DZ760" s="719"/>
      <c r="EA760" s="720"/>
    </row>
    <row r="761" spans="111:131">
      <c r="DG761" s="718"/>
      <c r="DH761" s="719"/>
      <c r="DI761" s="719"/>
      <c r="DJ761" s="719"/>
      <c r="DK761" s="719"/>
      <c r="DL761" s="719"/>
      <c r="DM761" s="719"/>
      <c r="DN761" s="719"/>
      <c r="DO761" s="719"/>
      <c r="DP761" s="719"/>
      <c r="DQ761" s="719"/>
      <c r="DR761" s="719"/>
      <c r="DS761" s="719"/>
      <c r="DT761" s="719"/>
      <c r="DU761" s="719"/>
      <c r="DV761" s="719"/>
      <c r="DW761" s="719"/>
      <c r="DX761" s="719"/>
      <c r="DY761" s="719"/>
      <c r="DZ761" s="719"/>
      <c r="EA761" s="720"/>
    </row>
    <row r="762" spans="111:131">
      <c r="DG762" s="718"/>
      <c r="DH762" s="719"/>
      <c r="DI762" s="719"/>
      <c r="DJ762" s="719"/>
      <c r="DK762" s="719"/>
      <c r="DL762" s="719"/>
      <c r="DM762" s="719"/>
      <c r="DN762" s="719"/>
      <c r="DO762" s="719"/>
      <c r="DP762" s="719"/>
      <c r="DQ762" s="719"/>
      <c r="DR762" s="719"/>
      <c r="DS762" s="719"/>
      <c r="DT762" s="719"/>
      <c r="DU762" s="719"/>
      <c r="DV762" s="719"/>
      <c r="DW762" s="719"/>
      <c r="DX762" s="719"/>
      <c r="DY762" s="719"/>
      <c r="DZ762" s="719"/>
      <c r="EA762" s="720"/>
    </row>
    <row r="763" spans="111:131">
      <c r="DG763" s="718"/>
      <c r="DH763" s="719"/>
      <c r="DI763" s="719"/>
      <c r="DJ763" s="719"/>
      <c r="DK763" s="719"/>
      <c r="DL763" s="719"/>
      <c r="DM763" s="719"/>
      <c r="DN763" s="719"/>
      <c r="DO763" s="719"/>
      <c r="DP763" s="719"/>
      <c r="DQ763" s="719"/>
      <c r="DR763" s="719"/>
      <c r="DS763" s="719"/>
      <c r="DT763" s="719"/>
      <c r="DU763" s="719"/>
      <c r="DV763" s="719"/>
      <c r="DW763" s="719"/>
      <c r="DX763" s="719"/>
      <c r="DY763" s="719"/>
      <c r="DZ763" s="719"/>
      <c r="EA763" s="720"/>
    </row>
    <row r="764" spans="111:131">
      <c r="DG764" s="718"/>
      <c r="DH764" s="719"/>
      <c r="DI764" s="719"/>
      <c r="DJ764" s="719"/>
      <c r="DK764" s="719"/>
      <c r="DL764" s="719"/>
      <c r="DM764" s="719"/>
      <c r="DN764" s="719"/>
      <c r="DO764" s="719"/>
      <c r="DP764" s="719"/>
      <c r="DQ764" s="719"/>
      <c r="DR764" s="719"/>
      <c r="DS764" s="719"/>
      <c r="DT764" s="719"/>
      <c r="DU764" s="719"/>
      <c r="DV764" s="719"/>
      <c r="DW764" s="719"/>
      <c r="DX764" s="719"/>
      <c r="DY764" s="719"/>
      <c r="DZ764" s="719"/>
      <c r="EA764" s="720"/>
    </row>
    <row r="765" spans="111:131">
      <c r="DG765" s="718"/>
      <c r="DH765" s="719"/>
      <c r="DI765" s="719"/>
      <c r="DJ765" s="719"/>
      <c r="DK765" s="719"/>
      <c r="DL765" s="719"/>
      <c r="DM765" s="719"/>
      <c r="DN765" s="719"/>
      <c r="DO765" s="719"/>
      <c r="DP765" s="719"/>
      <c r="DQ765" s="719"/>
      <c r="DR765" s="719"/>
      <c r="DS765" s="719"/>
      <c r="DT765" s="719"/>
      <c r="DU765" s="719"/>
      <c r="DV765" s="719"/>
      <c r="DW765" s="719"/>
      <c r="DX765" s="719"/>
      <c r="DY765" s="719"/>
      <c r="DZ765" s="719"/>
      <c r="EA765" s="720"/>
    </row>
    <row r="766" spans="111:131">
      <c r="DG766" s="718"/>
      <c r="DH766" s="719"/>
      <c r="DI766" s="719"/>
      <c r="DJ766" s="719"/>
      <c r="DK766" s="719"/>
      <c r="DL766" s="719"/>
      <c r="DM766" s="719"/>
      <c r="DN766" s="719"/>
      <c r="DO766" s="719"/>
      <c r="DP766" s="719"/>
      <c r="DQ766" s="719"/>
      <c r="DR766" s="719"/>
      <c r="DS766" s="719"/>
      <c r="DT766" s="719"/>
      <c r="DU766" s="719"/>
      <c r="DV766" s="719"/>
      <c r="DW766" s="719"/>
      <c r="DX766" s="719"/>
      <c r="DY766" s="719"/>
      <c r="DZ766" s="719"/>
      <c r="EA766" s="720"/>
    </row>
    <row r="767" spans="111:131">
      <c r="DG767" s="718"/>
      <c r="DH767" s="719"/>
      <c r="DI767" s="719"/>
      <c r="DJ767" s="719"/>
      <c r="DK767" s="719"/>
      <c r="DL767" s="719"/>
      <c r="DM767" s="719"/>
      <c r="DN767" s="719"/>
      <c r="DO767" s="719"/>
      <c r="DP767" s="719"/>
      <c r="DQ767" s="719"/>
      <c r="DR767" s="719"/>
      <c r="DS767" s="719"/>
      <c r="DT767" s="719"/>
      <c r="DU767" s="719"/>
      <c r="DV767" s="719"/>
      <c r="DW767" s="719"/>
      <c r="DX767" s="719"/>
      <c r="DY767" s="719"/>
      <c r="DZ767" s="719"/>
      <c r="EA767" s="720"/>
    </row>
    <row r="768" spans="111:131">
      <c r="DG768" s="718"/>
      <c r="DH768" s="719"/>
      <c r="DI768" s="719"/>
      <c r="DJ768" s="719"/>
      <c r="DK768" s="719"/>
      <c r="DL768" s="719"/>
      <c r="DM768" s="719"/>
      <c r="DN768" s="719"/>
      <c r="DO768" s="719"/>
      <c r="DP768" s="719"/>
      <c r="DQ768" s="719"/>
      <c r="DR768" s="719"/>
      <c r="DS768" s="719"/>
      <c r="DT768" s="719"/>
      <c r="DU768" s="719"/>
      <c r="DV768" s="719"/>
      <c r="DW768" s="719"/>
      <c r="DX768" s="719"/>
      <c r="DY768" s="719"/>
      <c r="DZ768" s="719"/>
      <c r="EA768" s="720"/>
    </row>
    <row r="769" spans="111:131">
      <c r="DG769" s="718"/>
      <c r="DH769" s="719"/>
      <c r="DI769" s="719"/>
      <c r="DJ769" s="719"/>
      <c r="DK769" s="719"/>
      <c r="DL769" s="719"/>
      <c r="DM769" s="719"/>
      <c r="DN769" s="719"/>
      <c r="DO769" s="719"/>
      <c r="DP769" s="719"/>
      <c r="DQ769" s="719"/>
      <c r="DR769" s="719"/>
      <c r="DS769" s="719"/>
      <c r="DT769" s="719"/>
      <c r="DU769" s="719"/>
      <c r="DV769" s="719"/>
      <c r="DW769" s="719"/>
      <c r="DX769" s="719"/>
      <c r="DY769" s="719"/>
      <c r="DZ769" s="719"/>
      <c r="EA769" s="720"/>
    </row>
    <row r="770" spans="111:131">
      <c r="DG770" s="718"/>
      <c r="DH770" s="719"/>
      <c r="DI770" s="719"/>
      <c r="DJ770" s="719"/>
      <c r="DK770" s="719"/>
      <c r="DL770" s="719"/>
      <c r="DM770" s="719"/>
      <c r="DN770" s="719"/>
      <c r="DO770" s="719"/>
      <c r="DP770" s="719"/>
      <c r="DQ770" s="719"/>
      <c r="DR770" s="719"/>
      <c r="DS770" s="719"/>
      <c r="DT770" s="719"/>
      <c r="DU770" s="719"/>
      <c r="DV770" s="719"/>
      <c r="DW770" s="719"/>
      <c r="DX770" s="719"/>
      <c r="DY770" s="719"/>
      <c r="DZ770" s="719"/>
      <c r="EA770" s="720"/>
    </row>
    <row r="771" spans="111:131">
      <c r="DG771" s="718"/>
      <c r="DH771" s="719"/>
      <c r="DI771" s="719"/>
      <c r="DJ771" s="719"/>
      <c r="DK771" s="719"/>
      <c r="DL771" s="719"/>
      <c r="DM771" s="719"/>
      <c r="DN771" s="719"/>
      <c r="DO771" s="719"/>
      <c r="DP771" s="719"/>
      <c r="DQ771" s="719"/>
      <c r="DR771" s="719"/>
      <c r="DS771" s="719"/>
      <c r="DT771" s="719"/>
      <c r="DU771" s="719"/>
      <c r="DV771" s="719"/>
      <c r="DW771" s="719"/>
      <c r="DX771" s="719"/>
      <c r="DY771" s="719"/>
      <c r="DZ771" s="719"/>
      <c r="EA771" s="720"/>
    </row>
    <row r="772" spans="111:131">
      <c r="DG772" s="718"/>
      <c r="DH772" s="719"/>
      <c r="DI772" s="719"/>
      <c r="DJ772" s="719"/>
      <c r="DK772" s="719"/>
      <c r="DL772" s="719"/>
      <c r="DM772" s="719"/>
      <c r="DN772" s="719"/>
      <c r="DO772" s="719"/>
      <c r="DP772" s="719"/>
      <c r="DQ772" s="719"/>
      <c r="DR772" s="719"/>
      <c r="DS772" s="719"/>
      <c r="DT772" s="719"/>
      <c r="DU772" s="719"/>
      <c r="DV772" s="719"/>
      <c r="DW772" s="719"/>
      <c r="DX772" s="719"/>
      <c r="DY772" s="719"/>
      <c r="DZ772" s="719"/>
      <c r="EA772" s="720"/>
    </row>
    <row r="773" spans="111:131">
      <c r="DG773" s="718"/>
      <c r="DH773" s="719"/>
      <c r="DI773" s="719"/>
      <c r="DJ773" s="719"/>
      <c r="DK773" s="719"/>
      <c r="DL773" s="719"/>
      <c r="DM773" s="719"/>
      <c r="DN773" s="719"/>
      <c r="DO773" s="719"/>
      <c r="DP773" s="719"/>
      <c r="DQ773" s="719"/>
      <c r="DR773" s="719"/>
      <c r="DS773" s="719"/>
      <c r="DT773" s="719"/>
      <c r="DU773" s="719"/>
      <c r="DV773" s="719"/>
      <c r="DW773" s="719"/>
      <c r="DX773" s="719"/>
      <c r="DY773" s="719"/>
      <c r="DZ773" s="719"/>
      <c r="EA773" s="720"/>
    </row>
    <row r="774" spans="111:131">
      <c r="DG774" s="718"/>
      <c r="DH774" s="719"/>
      <c r="DI774" s="719"/>
      <c r="DJ774" s="719"/>
      <c r="DK774" s="719"/>
      <c r="DL774" s="719"/>
      <c r="DM774" s="719"/>
      <c r="DN774" s="719"/>
      <c r="DO774" s="719"/>
      <c r="DP774" s="719"/>
      <c r="DQ774" s="719"/>
      <c r="DR774" s="719"/>
      <c r="DS774" s="719"/>
      <c r="DT774" s="719"/>
      <c r="DU774" s="719"/>
      <c r="DV774" s="719"/>
      <c r="DW774" s="719"/>
      <c r="DX774" s="719"/>
      <c r="DY774" s="719"/>
      <c r="DZ774" s="719"/>
      <c r="EA774" s="720"/>
    </row>
    <row r="775" spans="111:131">
      <c r="DG775" s="718"/>
      <c r="DH775" s="719"/>
      <c r="DI775" s="719"/>
      <c r="DJ775" s="719"/>
      <c r="DK775" s="719"/>
      <c r="DL775" s="719"/>
      <c r="DM775" s="719"/>
      <c r="DN775" s="719"/>
      <c r="DO775" s="719"/>
      <c r="DP775" s="719"/>
      <c r="DQ775" s="719"/>
      <c r="DR775" s="719"/>
      <c r="DS775" s="719"/>
      <c r="DT775" s="719"/>
      <c r="DU775" s="719"/>
      <c r="DV775" s="719"/>
      <c r="DW775" s="719"/>
      <c r="DX775" s="719"/>
      <c r="DY775" s="719"/>
      <c r="DZ775" s="719"/>
      <c r="EA775" s="720"/>
    </row>
    <row r="776" spans="111:131" ht="12.95" thickBot="1">
      <c r="DG776" s="721"/>
      <c r="DH776" s="722"/>
      <c r="DI776" s="722"/>
      <c r="DJ776" s="722"/>
      <c r="DK776" s="722"/>
      <c r="DL776" s="722"/>
      <c r="DM776" s="722"/>
      <c r="DN776" s="722"/>
      <c r="DO776" s="722"/>
      <c r="DP776" s="722"/>
      <c r="DQ776" s="722"/>
      <c r="DR776" s="722"/>
      <c r="DS776" s="722"/>
      <c r="DT776" s="722"/>
      <c r="DU776" s="722"/>
      <c r="DV776" s="722"/>
      <c r="DW776" s="722"/>
      <c r="DX776" s="722"/>
      <c r="DY776" s="722"/>
      <c r="DZ776" s="722"/>
      <c r="EA776" s="723"/>
    </row>
    <row r="777" spans="111:131" ht="12.95" thickTop="1"/>
    <row r="1048537" spans="3:28" ht="20.45" thickBot="1">
      <c r="C1048537" s="1299" t="s">
        <v>234</v>
      </c>
      <c r="D1048537" s="1300"/>
      <c r="E1048537" s="1300"/>
      <c r="F1048537" s="1300"/>
      <c r="G1048537" s="1300"/>
      <c r="H1048537" s="1300"/>
      <c r="I1048537" s="1300"/>
      <c r="J1048537" s="1300"/>
      <c r="K1048537" s="1300"/>
      <c r="L1048537" s="1300"/>
      <c r="M1048537" s="1300"/>
      <c r="N1048537" s="1300"/>
      <c r="O1048537" s="1300"/>
      <c r="P1048537" s="1300"/>
      <c r="Q1048537" s="1300"/>
      <c r="R1048537" s="1300"/>
      <c r="S1048537" s="1300"/>
      <c r="T1048537" s="1300"/>
      <c r="U1048537" s="1300"/>
      <c r="V1048537" s="1300"/>
      <c r="W1048537" s="1300"/>
      <c r="X1048537" s="1300"/>
      <c r="Y1048537" s="1300"/>
      <c r="Z1048537" s="1300"/>
      <c r="AA1048537" s="1300"/>
      <c r="AB1048537" s="1300"/>
    </row>
    <row r="1048538" spans="3:28" ht="20.45" thickBot="1">
      <c r="C1048538" s="1303"/>
      <c r="D1048538" s="1304"/>
      <c r="E1048538" s="1301" t="s">
        <v>235</v>
      </c>
      <c r="F1048538" s="1302"/>
      <c r="G1048538" s="1302"/>
      <c r="H1048538" s="1302"/>
      <c r="I1048538" s="1302"/>
      <c r="J1048538" s="1302"/>
      <c r="K1048538" s="1302"/>
      <c r="L1048538" s="1302"/>
      <c r="M1048538" s="1302"/>
      <c r="N1048538" s="1302"/>
      <c r="O1048538" s="1302"/>
      <c r="P1048538" s="1302"/>
      <c r="Q1048538" s="1302"/>
      <c r="R1048538" s="1302"/>
      <c r="S1048538" s="1302"/>
      <c r="T1048538" s="1302"/>
      <c r="U1048538" s="1302"/>
      <c r="V1048538" s="1302"/>
      <c r="W1048538" s="1302"/>
      <c r="X1048538" s="1302"/>
      <c r="Y1048538" s="1302"/>
      <c r="Z1048538" s="1302"/>
      <c r="AA1048538" s="1302"/>
      <c r="AB1048538" s="1302"/>
    </row>
    <row r="1048539" spans="3:28" ht="13.5" thickBot="1">
      <c r="C1048539" s="1305"/>
      <c r="D1048539" s="1306"/>
      <c r="E1048539" s="1296">
        <v>2023</v>
      </c>
      <c r="F1048539" s="1297"/>
      <c r="G1048539" s="1297"/>
      <c r="H1048539" s="1298"/>
      <c r="I1048539" s="1296">
        <v>2022</v>
      </c>
      <c r="J1048539" s="1297"/>
      <c r="K1048539" s="1297"/>
      <c r="L1048539" s="1298"/>
      <c r="M1048539" s="1296">
        <v>2021</v>
      </c>
      <c r="N1048539" s="1297"/>
      <c r="O1048539" s="1297"/>
      <c r="P1048539" s="1298"/>
      <c r="Q1048539" s="1296">
        <v>2020</v>
      </c>
      <c r="R1048539" s="1297"/>
      <c r="S1048539" s="1297"/>
      <c r="T1048539" s="1298"/>
      <c r="U1048539" s="1296">
        <v>2019</v>
      </c>
      <c r="V1048539" s="1297"/>
      <c r="W1048539" s="1297"/>
      <c r="X1048539" s="1298"/>
      <c r="Y1048539" s="1296">
        <v>2018</v>
      </c>
      <c r="Z1048539" s="1297"/>
      <c r="AA1048539" s="1297"/>
      <c r="AB1048539" s="1298"/>
    </row>
    <row r="1048540" spans="3:28" ht="39.6" thickBot="1">
      <c r="C1048540" s="697" t="s">
        <v>236</v>
      </c>
      <c r="D1048540" s="698" t="s">
        <v>192</v>
      </c>
      <c r="E1048540" s="699" t="s">
        <v>237</v>
      </c>
      <c r="F1048540" s="704" t="s">
        <v>238</v>
      </c>
      <c r="G1048540" s="704" t="s">
        <v>239</v>
      </c>
      <c r="H1048540" s="700" t="s">
        <v>240</v>
      </c>
      <c r="I1048540" s="699" t="s">
        <v>237</v>
      </c>
      <c r="J1048540" s="704" t="s">
        <v>238</v>
      </c>
      <c r="K1048540" s="704" t="s">
        <v>239</v>
      </c>
      <c r="L1048540" s="700" t="s">
        <v>240</v>
      </c>
      <c r="M1048540" s="699" t="s">
        <v>237</v>
      </c>
      <c r="N1048540" s="704" t="s">
        <v>238</v>
      </c>
      <c r="O1048540" s="704" t="s">
        <v>239</v>
      </c>
      <c r="P1048540" s="700" t="s">
        <v>240</v>
      </c>
      <c r="Q1048540" s="699" t="s">
        <v>237</v>
      </c>
      <c r="R1048540" s="704" t="s">
        <v>238</v>
      </c>
      <c r="S1048540" s="704" t="s">
        <v>239</v>
      </c>
      <c r="T1048540" s="700" t="s">
        <v>240</v>
      </c>
      <c r="U1048540" s="699" t="s">
        <v>237</v>
      </c>
      <c r="V1048540" s="704" t="s">
        <v>238</v>
      </c>
      <c r="W1048540" s="704" t="s">
        <v>239</v>
      </c>
      <c r="X1048540" s="700" t="s">
        <v>240</v>
      </c>
      <c r="Y1048540" s="699" t="s">
        <v>237</v>
      </c>
      <c r="Z1048540" s="704" t="s">
        <v>238</v>
      </c>
      <c r="AA1048540" s="704" t="s">
        <v>239</v>
      </c>
      <c r="AB1048540" s="700" t="s">
        <v>240</v>
      </c>
    </row>
    <row r="1048541" spans="3:28" ht="12.95">
      <c r="C1048541" s="141">
        <f>IFERROR(E1048541/$E$1048545,"")</f>
        <v>0.62417325898067699</v>
      </c>
      <c r="D1048541" s="130" t="s">
        <v>193</v>
      </c>
      <c r="E1048541" s="701">
        <v>481.3</v>
      </c>
      <c r="F1048541" s="702">
        <v>153.1</v>
      </c>
      <c r="G1048541" s="702">
        <f>86.8</f>
        <v>86.8</v>
      </c>
      <c r="H1048541" s="703">
        <f>54.7</f>
        <v>54.7</v>
      </c>
      <c r="I1048541" s="701">
        <f>445.1</f>
        <v>445.1</v>
      </c>
      <c r="J1048541" s="702">
        <f>132.8</f>
        <v>132.80000000000001</v>
      </c>
      <c r="K1048541" s="702">
        <f>144.9</f>
        <v>144.9</v>
      </c>
      <c r="L1048541" s="703">
        <f>46.8</f>
        <v>46.8</v>
      </c>
      <c r="M1048541" s="701">
        <v>336.6</v>
      </c>
      <c r="N1048541" s="702">
        <v>94.9</v>
      </c>
      <c r="O1048541" s="702">
        <v>130.19999999999999</v>
      </c>
      <c r="P1048541" s="703">
        <v>36</v>
      </c>
      <c r="Q1048541" s="701">
        <v>238.9</v>
      </c>
      <c r="R1048541" s="702">
        <v>111.3</v>
      </c>
      <c r="S1048541" s="702">
        <f>97.3</f>
        <v>97.3</v>
      </c>
      <c r="T1048541" s="703">
        <v>31.5</v>
      </c>
      <c r="U1048541" s="701">
        <f>127.4+0.5</f>
        <v>127.9</v>
      </c>
      <c r="V1048541" s="714" t="s">
        <v>241</v>
      </c>
      <c r="W1048541" s="702">
        <v>52.3</v>
      </c>
      <c r="X1048541" s="703">
        <f>19.8</f>
        <v>19.8</v>
      </c>
      <c r="Y1048541" s="701">
        <v>95</v>
      </c>
      <c r="Z1048541" s="714" t="s">
        <v>241</v>
      </c>
      <c r="AA1048541" s="702">
        <f>31.8</f>
        <v>31.8</v>
      </c>
      <c r="AB1048541" s="703">
        <v>18.399999999999999</v>
      </c>
    </row>
    <row r="1048542" spans="3:28" ht="12.95">
      <c r="C1048542" s="141">
        <f>IFERROR(E1048542/$E$1048545,"")</f>
        <v>0.27311632732460123</v>
      </c>
      <c r="D1048542" s="480" t="s">
        <v>194</v>
      </c>
      <c r="E1048542" s="701">
        <v>210.6</v>
      </c>
      <c r="F1048542" s="702">
        <f>488.7</f>
        <v>488.7</v>
      </c>
      <c r="G1048542" s="702">
        <f>73.7</f>
        <v>73.7</v>
      </c>
      <c r="H1048542" s="703">
        <f>163.1</f>
        <v>163.1</v>
      </c>
      <c r="I1048542" s="701">
        <v>205.7</v>
      </c>
      <c r="J1048542" s="702">
        <f>521</f>
        <v>521</v>
      </c>
      <c r="K1048542" s="702">
        <v>63.9</v>
      </c>
      <c r="L1048542" s="703">
        <v>168</v>
      </c>
      <c r="M1048542" s="701">
        <v>213.2</v>
      </c>
      <c r="N1048542" s="702">
        <v>534.6</v>
      </c>
      <c r="O1048542" s="702">
        <f>50.3</f>
        <v>50.3</v>
      </c>
      <c r="P1048542" s="703">
        <v>181.1</v>
      </c>
      <c r="Q1048542" s="701">
        <v>239.9</v>
      </c>
      <c r="R1048542" s="702">
        <f>592.3+0.7</f>
        <v>593</v>
      </c>
      <c r="S1048542" s="714">
        <v>49.6</v>
      </c>
      <c r="T1048542" s="703">
        <f>217.9+0.6</f>
        <v>218.5</v>
      </c>
      <c r="U1048542" s="701">
        <v>345.4</v>
      </c>
      <c r="V1048542" s="714" t="s">
        <v>241</v>
      </c>
      <c r="W1048542" s="702">
        <v>68.8</v>
      </c>
      <c r="X1048542" s="703">
        <f>96.8+0.1</f>
        <v>96.899999999999991</v>
      </c>
      <c r="Y1048542" s="701">
        <f>382.6+0.8</f>
        <v>383.40000000000003</v>
      </c>
      <c r="Z1048542" s="714" t="s">
        <v>241</v>
      </c>
      <c r="AA1048542" s="702">
        <f>93+0.1</f>
        <v>93.1</v>
      </c>
      <c r="AB1048542" s="703">
        <f>99.1+0.3</f>
        <v>99.399999999999991</v>
      </c>
    </row>
    <row r="1048543" spans="3:28" ht="12.95">
      <c r="C1048543" s="141">
        <f>IFERROR(E1048543/$E$1048545,"")</f>
        <v>0</v>
      </c>
      <c r="D1048543" s="131" t="s">
        <v>195</v>
      </c>
      <c r="E1048543" s="701">
        <v>0</v>
      </c>
      <c r="F1048543" s="702">
        <f>0</f>
        <v>0</v>
      </c>
      <c r="G1048543" s="702">
        <v>0</v>
      </c>
      <c r="H1048543" s="703">
        <v>0</v>
      </c>
      <c r="I1048543" s="701">
        <v>0</v>
      </c>
      <c r="J1048543" s="702">
        <v>0</v>
      </c>
      <c r="K1048543" s="702">
        <v>0</v>
      </c>
      <c r="L1048543" s="703">
        <v>0</v>
      </c>
      <c r="M1048543" s="701">
        <v>0</v>
      </c>
      <c r="N1048543" s="702">
        <v>0</v>
      </c>
      <c r="O1048543" s="702">
        <v>0</v>
      </c>
      <c r="P1048543" s="703">
        <v>0</v>
      </c>
      <c r="Q1048543" s="701">
        <v>0</v>
      </c>
      <c r="R1048543" s="702">
        <v>0</v>
      </c>
      <c r="S1048543" s="702">
        <v>0</v>
      </c>
      <c r="T1048543" s="703">
        <v>0</v>
      </c>
      <c r="U1048543" s="701">
        <v>0</v>
      </c>
      <c r="V1048543" s="714" t="s">
        <v>241</v>
      </c>
      <c r="W1048543" s="702">
        <v>0</v>
      </c>
      <c r="X1048543" s="703">
        <v>0</v>
      </c>
      <c r="Y1048543" s="701">
        <v>0</v>
      </c>
      <c r="Z1048543" s="714" t="s">
        <v>241</v>
      </c>
      <c r="AA1048543" s="702">
        <v>0</v>
      </c>
      <c r="AB1048543" s="703">
        <v>0</v>
      </c>
    </row>
    <row r="1048544" spans="3:28" ht="13.5" thickBot="1">
      <c r="C1048544" s="141">
        <f>IFERROR(E1048544/$E$1048545,"")</f>
        <v>0.10271041369472182</v>
      </c>
      <c r="D1048544" s="131" t="s">
        <v>196</v>
      </c>
      <c r="E1048544" s="708">
        <f>53.3+1.9+24</f>
        <v>79.199999999999989</v>
      </c>
      <c r="F1048544" s="709">
        <f>90+2.8</f>
        <v>92.8</v>
      </c>
      <c r="G1048544" s="709">
        <f>5.4+36.7+1</f>
        <v>43.1</v>
      </c>
      <c r="H1048544" s="710">
        <f>28.4+2.6</f>
        <v>31</v>
      </c>
      <c r="I1048544" s="708">
        <f>8.3+55.6+1.5</f>
        <v>65.400000000000006</v>
      </c>
      <c r="J1048544" s="711">
        <f>5.3+2.9</f>
        <v>8.1999999999999993</v>
      </c>
      <c r="K1048544" s="709">
        <f>0.5+38.5+0.6</f>
        <v>39.6</v>
      </c>
      <c r="L1048544" s="710">
        <f>1.1+0.3+3.8</f>
        <v>5.2</v>
      </c>
      <c r="M1048544" s="708">
        <f>83.7+0.9+2</f>
        <v>86.600000000000009</v>
      </c>
      <c r="N1048544" s="709">
        <f>4.6+5</f>
        <v>9.6</v>
      </c>
      <c r="O1048544" s="709">
        <f>79.8+0.6+1</f>
        <v>81.399999999999991</v>
      </c>
      <c r="P1048544" s="710">
        <f>3.6+0.3-0.3</f>
        <v>3.6</v>
      </c>
      <c r="Q1048544" s="708">
        <f>2+0.5+9.7</f>
        <v>12.2</v>
      </c>
      <c r="R1048544" s="709">
        <f>3.6+2.1+10.1</f>
        <v>15.8</v>
      </c>
      <c r="S1048544" s="709">
        <f>0.5+15.4</f>
        <v>15.9</v>
      </c>
      <c r="T1048544" s="710">
        <f>3.3+1.6+0.7</f>
        <v>5.6000000000000005</v>
      </c>
      <c r="U1048544" s="708">
        <f>2.6+2.4+100.2</f>
        <v>105.2</v>
      </c>
      <c r="V1048544" s="711" t="s">
        <v>241</v>
      </c>
      <c r="W1048544" s="709">
        <f>16.5+0.1+1.1</f>
        <v>17.700000000000003</v>
      </c>
      <c r="X1048544" s="710">
        <f>1.1+0.9+0.3</f>
        <v>2.2999999999999998</v>
      </c>
      <c r="Y1048544" s="708">
        <f>2.5+3.8+80.2</f>
        <v>86.5</v>
      </c>
      <c r="Z1048544" s="711" t="s">
        <v>241</v>
      </c>
      <c r="AA1048544" s="709">
        <f>0.9+1.3+1.5</f>
        <v>3.7</v>
      </c>
      <c r="AB1048544" s="710">
        <f>1.1+0.3+0.9</f>
        <v>2.3000000000000003</v>
      </c>
    </row>
    <row r="1048545" spans="3:28" ht="13.5" thickBot="1">
      <c r="C1048545" s="134">
        <f>SUM(C1048541:C1048544)</f>
        <v>1</v>
      </c>
      <c r="D1048545" s="561" t="s">
        <v>179</v>
      </c>
      <c r="E1048545" s="705">
        <f t="shared" ref="E1048545:U1048545" si="48">SUM(E1048541:E1048544)</f>
        <v>771.09999999999991</v>
      </c>
      <c r="F1048545" s="706">
        <f t="shared" si="48"/>
        <v>734.59999999999991</v>
      </c>
      <c r="G1048545" s="706">
        <f t="shared" si="48"/>
        <v>203.6</v>
      </c>
      <c r="H1048545" s="707">
        <f t="shared" si="48"/>
        <v>248.8</v>
      </c>
      <c r="I1048545" s="705">
        <f t="shared" si="48"/>
        <v>716.19999999999993</v>
      </c>
      <c r="J1048545" s="706">
        <f t="shared" si="48"/>
        <v>662</v>
      </c>
      <c r="K1048545" s="706">
        <f t="shared" si="48"/>
        <v>248.4</v>
      </c>
      <c r="L1048545" s="707">
        <f t="shared" si="48"/>
        <v>220</v>
      </c>
      <c r="M1048545" s="705">
        <f t="shared" si="48"/>
        <v>636.4</v>
      </c>
      <c r="N1048545" s="706">
        <f t="shared" si="48"/>
        <v>639.1</v>
      </c>
      <c r="O1048545" s="706">
        <f t="shared" si="48"/>
        <v>261.89999999999998</v>
      </c>
      <c r="P1048545" s="707">
        <f t="shared" si="48"/>
        <v>220.7</v>
      </c>
      <c r="Q1048545" s="705">
        <f t="shared" si="48"/>
        <v>491</v>
      </c>
      <c r="R1048545" s="706">
        <f t="shared" si="48"/>
        <v>720.09999999999991</v>
      </c>
      <c r="S1048545" s="706">
        <f t="shared" si="48"/>
        <v>162.80000000000001</v>
      </c>
      <c r="T1048545" s="707">
        <f t="shared" si="48"/>
        <v>255.6</v>
      </c>
      <c r="U1048545" s="705">
        <f t="shared" si="48"/>
        <v>578.5</v>
      </c>
      <c r="V1048545" s="706" t="s">
        <v>241</v>
      </c>
      <c r="W1048545" s="706">
        <f>SUM(W1048541:W1048544)</f>
        <v>138.80000000000001</v>
      </c>
      <c r="X1048545" s="707">
        <f>SUM(X1048541:X1048544)</f>
        <v>118.99999999999999</v>
      </c>
      <c r="Y1048545" s="705">
        <f>SUM(Y1048541:Y1048544)</f>
        <v>564.90000000000009</v>
      </c>
      <c r="Z1048545" s="706" t="s">
        <v>241</v>
      </c>
      <c r="AA1048545" s="706">
        <f>SUM(AA1048541:AA1048544)</f>
        <v>128.6</v>
      </c>
      <c r="AB1048545" s="707">
        <f>SUM(AB1048541:AB1048544)</f>
        <v>120.09999999999998</v>
      </c>
    </row>
  </sheetData>
  <mergeCells count="79">
    <mergeCell ref="B55:I55"/>
    <mergeCell ref="B56:I56"/>
    <mergeCell ref="B57:I57"/>
    <mergeCell ref="B77:P77"/>
    <mergeCell ref="B78:C78"/>
    <mergeCell ref="D78:I78"/>
    <mergeCell ref="K78:P78"/>
    <mergeCell ref="B69:C69"/>
    <mergeCell ref="D69:I69"/>
    <mergeCell ref="AH139:AI140"/>
    <mergeCell ref="BH339:BI340"/>
    <mergeCell ref="CH539:CI540"/>
    <mergeCell ref="DH739:DI740"/>
    <mergeCell ref="AM139:AW140"/>
    <mergeCell ref="Q2:Y2"/>
    <mergeCell ref="K3:P3"/>
    <mergeCell ref="B2:P2"/>
    <mergeCell ref="K16:P16"/>
    <mergeCell ref="B15:P15"/>
    <mergeCell ref="D16:I16"/>
    <mergeCell ref="D3:I3"/>
    <mergeCell ref="Q3:Y31"/>
    <mergeCell ref="D25:I25"/>
    <mergeCell ref="K25:P25"/>
    <mergeCell ref="B24:I24"/>
    <mergeCell ref="D49:F49"/>
    <mergeCell ref="B48:C48"/>
    <mergeCell ref="D42:I42"/>
    <mergeCell ref="B44:C44"/>
    <mergeCell ref="B46:I46"/>
    <mergeCell ref="B47:C47"/>
    <mergeCell ref="B42:C42"/>
    <mergeCell ref="B43:C43"/>
    <mergeCell ref="G48:I48"/>
    <mergeCell ref="B45:C45"/>
    <mergeCell ref="D43:I43"/>
    <mergeCell ref="D44:I44"/>
    <mergeCell ref="D47:F47"/>
    <mergeCell ref="G47:I47"/>
    <mergeCell ref="I33:AH33"/>
    <mergeCell ref="G50:I50"/>
    <mergeCell ref="D50:F50"/>
    <mergeCell ref="J41:Q41"/>
    <mergeCell ref="B41:I41"/>
    <mergeCell ref="B33:C33"/>
    <mergeCell ref="B38:C38"/>
    <mergeCell ref="B37:C37"/>
    <mergeCell ref="D33:H33"/>
    <mergeCell ref="D37:H37"/>
    <mergeCell ref="D38:H38"/>
    <mergeCell ref="B39:C40"/>
    <mergeCell ref="B49:C49"/>
    <mergeCell ref="D39:H40"/>
    <mergeCell ref="D34:H36"/>
    <mergeCell ref="G49:I49"/>
    <mergeCell ref="B34:C36"/>
    <mergeCell ref="U1048539:X1048539"/>
    <mergeCell ref="B52:I52"/>
    <mergeCell ref="B59:P59"/>
    <mergeCell ref="K60:P60"/>
    <mergeCell ref="K69:P69"/>
    <mergeCell ref="B68:P68"/>
    <mergeCell ref="D60:I60"/>
    <mergeCell ref="B60:C60"/>
    <mergeCell ref="B53:I53"/>
    <mergeCell ref="B54:I54"/>
    <mergeCell ref="B50:C50"/>
    <mergeCell ref="B51:C51"/>
    <mergeCell ref="D51:I51"/>
    <mergeCell ref="D45:I45"/>
    <mergeCell ref="D48:F48"/>
    <mergeCell ref="Y1048539:AB1048539"/>
    <mergeCell ref="C1048537:AB1048537"/>
    <mergeCell ref="E1048538:AB1048538"/>
    <mergeCell ref="C1048538:D1048539"/>
    <mergeCell ref="E1048539:H1048539"/>
    <mergeCell ref="I1048539:L1048539"/>
    <mergeCell ref="M1048539:P1048539"/>
    <mergeCell ref="Q1048539:T1048539"/>
  </mergeCells>
  <phoneticPr fontId="0" type="noConversion"/>
  <conditionalFormatting sqref="B5:B12">
    <cfRule type="dataBar" priority="266">
      <dataBar>
        <cfvo type="min"/>
        <cfvo type="max"/>
        <color rgb="FF638EC6"/>
      </dataBar>
      <extLst>
        <ext xmlns:x14="http://schemas.microsoft.com/office/spreadsheetml/2009/9/main" uri="{B025F937-C7B1-47D3-B67F-A62EFF666E3E}">
          <x14:id>{6E381EE6-DF6C-4880-BDC6-793A4FBC9886}</x14:id>
        </ext>
      </extLst>
    </cfRule>
  </conditionalFormatting>
  <conditionalFormatting sqref="B18:B21">
    <cfRule type="dataBar" priority="278">
      <dataBar>
        <cfvo type="min"/>
        <cfvo type="max"/>
        <color rgb="FF638EC6"/>
      </dataBar>
      <extLst>
        <ext xmlns:x14="http://schemas.microsoft.com/office/spreadsheetml/2009/9/main" uri="{B025F937-C7B1-47D3-B67F-A62EFF666E3E}">
          <x14:id>{070902CC-8EB6-43DB-B9AD-5811F17D394B}</x14:id>
        </ext>
      </extLst>
    </cfRule>
  </conditionalFormatting>
  <conditionalFormatting sqref="B27:B30">
    <cfRule type="dataBar" priority="322">
      <dataBar>
        <cfvo type="min"/>
        <cfvo type="max"/>
        <color rgb="FF638EC6"/>
      </dataBar>
      <extLst>
        <ext xmlns:x14="http://schemas.microsoft.com/office/spreadsheetml/2009/9/main" uri="{B025F937-C7B1-47D3-B67F-A62EFF666E3E}">
          <x14:id>{893466B0-E33E-4F3B-A84A-4BB795593CF2}</x14:id>
        </ext>
      </extLst>
    </cfRule>
  </conditionalFormatting>
  <conditionalFormatting sqref="B62:B67">
    <cfRule type="dataBar" priority="94">
      <dataBar>
        <cfvo type="min"/>
        <cfvo type="max"/>
        <color rgb="FF638EC6"/>
      </dataBar>
      <extLst>
        <ext xmlns:x14="http://schemas.microsoft.com/office/spreadsheetml/2009/9/main" uri="{B025F937-C7B1-47D3-B67F-A62EFF666E3E}">
          <x14:id>{137B0609-FF6A-4C21-8139-903F4019D8E1}</x14:id>
        </ext>
      </extLst>
    </cfRule>
  </conditionalFormatting>
  <conditionalFormatting sqref="B71:B75">
    <cfRule type="dataBar" priority="85">
      <dataBar>
        <cfvo type="min"/>
        <cfvo type="max"/>
        <color rgb="FF638EC6"/>
      </dataBar>
      <extLst>
        <ext xmlns:x14="http://schemas.microsoft.com/office/spreadsheetml/2009/9/main" uri="{B025F937-C7B1-47D3-B67F-A62EFF666E3E}">
          <x14:id>{C6BB11AA-3A12-43B0-8975-1AF81D011726}</x14:id>
        </ext>
      </extLst>
    </cfRule>
  </conditionalFormatting>
  <conditionalFormatting sqref="B76">
    <cfRule type="dataBar" priority="32">
      <dataBar>
        <cfvo type="min"/>
        <cfvo type="max"/>
        <color rgb="FF638EC6"/>
      </dataBar>
      <extLst>
        <ext xmlns:x14="http://schemas.microsoft.com/office/spreadsheetml/2009/9/main" uri="{B025F937-C7B1-47D3-B67F-A62EFF666E3E}">
          <x14:id>{EF44F355-05BB-42E9-A917-D355F7E9EE63}</x14:id>
        </ext>
      </extLst>
    </cfRule>
  </conditionalFormatting>
  <conditionalFormatting sqref="B80:B84">
    <cfRule type="dataBar" priority="29">
      <dataBar>
        <cfvo type="min"/>
        <cfvo type="max"/>
        <color rgb="FF638EC6"/>
      </dataBar>
      <extLst>
        <ext xmlns:x14="http://schemas.microsoft.com/office/spreadsheetml/2009/9/main" uri="{B025F937-C7B1-47D3-B67F-A62EFF666E3E}">
          <x14:id>{60FE3703-6151-403D-8D41-5BCF3142D5C7}</x14:id>
        </ext>
      </extLst>
    </cfRule>
  </conditionalFormatting>
  <conditionalFormatting sqref="B91:B96">
    <cfRule type="dataBar" priority="340">
      <dataBar>
        <cfvo type="min"/>
        <cfvo type="max"/>
        <color rgb="FF638EC6"/>
      </dataBar>
      <extLst>
        <ext xmlns:x14="http://schemas.microsoft.com/office/spreadsheetml/2009/9/main" uri="{B025F937-C7B1-47D3-B67F-A62EFF666E3E}">
          <x14:id>{F4498451-3D9D-456E-B9B4-8A1E391DF3B0}</x14:id>
        </ext>
      </extLst>
    </cfRule>
  </conditionalFormatting>
  <conditionalFormatting sqref="C1048541:C1048544">
    <cfRule type="dataBar" priority="337">
      <dataBar>
        <cfvo type="min"/>
        <cfvo type="max"/>
        <color rgb="FF638EC6"/>
      </dataBar>
      <extLst>
        <ext xmlns:x14="http://schemas.microsoft.com/office/spreadsheetml/2009/9/main" uri="{B025F937-C7B1-47D3-B67F-A62EFF666E3E}">
          <x14:id>{E8546D1F-60D3-47D7-8380-BD9EC31CD4C0}</x14:id>
        </ext>
      </extLst>
    </cfRule>
  </conditionalFormatting>
  <conditionalFormatting sqref="D5:D12">
    <cfRule type="dataBar" priority="249">
      <dataBar>
        <cfvo type="min"/>
        <cfvo type="max"/>
        <color rgb="FF63C384"/>
      </dataBar>
      <extLst>
        <ext xmlns:x14="http://schemas.microsoft.com/office/spreadsheetml/2009/9/main" uri="{B025F937-C7B1-47D3-B67F-A62EFF666E3E}">
          <x14:id>{767D33FE-8570-4B26-81B7-5505E2A08A62}</x14:id>
        </ext>
      </extLst>
    </cfRule>
  </conditionalFormatting>
  <conditionalFormatting sqref="D18:D21">
    <cfRule type="dataBar" priority="279">
      <dataBar>
        <cfvo type="min"/>
        <cfvo type="max"/>
        <color rgb="FF63C384"/>
      </dataBar>
      <extLst>
        <ext xmlns:x14="http://schemas.microsoft.com/office/spreadsheetml/2009/9/main" uri="{B025F937-C7B1-47D3-B67F-A62EFF666E3E}">
          <x14:id>{3F107DCC-63A1-497B-B919-528218A545C1}</x14:id>
        </ext>
      </extLst>
    </cfRule>
  </conditionalFormatting>
  <conditionalFormatting sqref="D27:D30">
    <cfRule type="dataBar" priority="300">
      <dataBar>
        <cfvo type="min"/>
        <cfvo type="max"/>
        <color rgb="FF63C384"/>
      </dataBar>
      <extLst>
        <ext xmlns:x14="http://schemas.microsoft.com/office/spreadsheetml/2009/9/main" uri="{B025F937-C7B1-47D3-B67F-A62EFF666E3E}">
          <x14:id>{44C8FB28-CDC7-42C2-A7E9-5B76BA56A921}</x14:id>
        </ext>
      </extLst>
    </cfRule>
  </conditionalFormatting>
  <conditionalFormatting sqref="D62:D65">
    <cfRule type="dataBar" priority="87">
      <dataBar>
        <cfvo type="min"/>
        <cfvo type="max"/>
        <color rgb="FF63C384"/>
      </dataBar>
      <extLst>
        <ext xmlns:x14="http://schemas.microsoft.com/office/spreadsheetml/2009/9/main" uri="{B025F937-C7B1-47D3-B67F-A62EFF666E3E}">
          <x14:id>{F1E36443-D772-4760-B32F-F0FEF5818CB7}</x14:id>
        </ext>
      </extLst>
    </cfRule>
  </conditionalFormatting>
  <conditionalFormatting sqref="D71:D74">
    <cfRule type="dataBar" priority="78">
      <dataBar>
        <cfvo type="min"/>
        <cfvo type="max"/>
        <color rgb="FF63C384"/>
      </dataBar>
      <extLst>
        <ext xmlns:x14="http://schemas.microsoft.com/office/spreadsheetml/2009/9/main" uri="{B025F937-C7B1-47D3-B67F-A62EFF666E3E}">
          <x14:id>{BEC1EEAD-68C2-481F-82B0-EF07AE42DE6B}</x14:id>
        </ext>
      </extLst>
    </cfRule>
  </conditionalFormatting>
  <conditionalFormatting sqref="D80:D83">
    <cfRule type="dataBar" priority="10">
      <dataBar>
        <cfvo type="min"/>
        <cfvo type="max"/>
        <color rgb="FF63C384"/>
      </dataBar>
      <extLst>
        <ext xmlns:x14="http://schemas.microsoft.com/office/spreadsheetml/2009/9/main" uri="{B025F937-C7B1-47D3-B67F-A62EFF666E3E}">
          <x14:id>{C04388EF-9D15-4785-B620-80AF2BD6CAD6}</x14:id>
        </ext>
      </extLst>
    </cfRule>
  </conditionalFormatting>
  <conditionalFormatting sqref="D91:D95">
    <cfRule type="dataBar" priority="341">
      <dataBar>
        <cfvo type="min"/>
        <cfvo type="max"/>
        <color rgb="FF63C384"/>
      </dataBar>
      <extLst>
        <ext xmlns:x14="http://schemas.microsoft.com/office/spreadsheetml/2009/9/main" uri="{B025F937-C7B1-47D3-B67F-A62EFF666E3E}">
          <x14:id>{30B230CD-8578-4F54-9DE2-D0703B5E620F}</x14:id>
        </ext>
      </extLst>
    </cfRule>
  </conditionalFormatting>
  <conditionalFormatting sqref="D5:I10">
    <cfRule type="dataBar" priority="223">
      <dataBar>
        <cfvo type="min"/>
        <cfvo type="max"/>
        <color rgb="FF63C384"/>
      </dataBar>
      <extLst>
        <ext xmlns:x14="http://schemas.microsoft.com/office/spreadsheetml/2009/9/main" uri="{B025F937-C7B1-47D3-B67F-A62EFF666E3E}">
          <x14:id>{83BDDF4E-0A7D-4B3E-A60B-AD52AC0FFA68}</x14:id>
        </ext>
      </extLst>
    </cfRule>
  </conditionalFormatting>
  <conditionalFormatting sqref="D18:I21">
    <cfRule type="dataBar" priority="280">
      <dataBar>
        <cfvo type="min"/>
        <cfvo type="max"/>
        <color rgb="FF63C384"/>
      </dataBar>
      <extLst>
        <ext xmlns:x14="http://schemas.microsoft.com/office/spreadsheetml/2009/9/main" uri="{B025F937-C7B1-47D3-B67F-A62EFF666E3E}">
          <x14:id>{5BBC426E-7FA9-4F5C-AC78-B3996BA8F931}</x14:id>
        </ext>
      </extLst>
    </cfRule>
  </conditionalFormatting>
  <conditionalFormatting sqref="D27:I30">
    <cfRule type="dataBar" priority="301">
      <dataBar>
        <cfvo type="min"/>
        <cfvo type="max"/>
        <color rgb="FF63C384"/>
      </dataBar>
      <extLst>
        <ext xmlns:x14="http://schemas.microsoft.com/office/spreadsheetml/2009/9/main" uri="{B025F937-C7B1-47D3-B67F-A62EFF666E3E}">
          <x14:id>{03E9C9E0-4192-4F76-A8AE-5D7D9D7BDB45}</x14:id>
        </ext>
      </extLst>
    </cfRule>
  </conditionalFormatting>
  <conditionalFormatting sqref="D62:I65 I67">
    <cfRule type="dataBar" priority="88">
      <dataBar>
        <cfvo type="min"/>
        <cfvo type="max"/>
        <color rgb="FF63C384"/>
      </dataBar>
      <extLst>
        <ext xmlns:x14="http://schemas.microsoft.com/office/spreadsheetml/2009/9/main" uri="{B025F937-C7B1-47D3-B67F-A62EFF666E3E}">
          <x14:id>{6FBCF6C6-F83A-4305-BFB7-2147BA29D1CE}</x14:id>
        </ext>
      </extLst>
    </cfRule>
  </conditionalFormatting>
  <conditionalFormatting sqref="D71:I74">
    <cfRule type="dataBar" priority="79">
      <dataBar>
        <cfvo type="min"/>
        <cfvo type="max"/>
        <color rgb="FF63C384"/>
      </dataBar>
      <extLst>
        <ext xmlns:x14="http://schemas.microsoft.com/office/spreadsheetml/2009/9/main" uri="{B025F937-C7B1-47D3-B67F-A62EFF666E3E}">
          <x14:id>{7DF54E24-CFDC-47CC-BEB5-3FB632822D98}</x14:id>
        </ext>
      </extLst>
    </cfRule>
  </conditionalFormatting>
  <conditionalFormatting sqref="D80:I83">
    <cfRule type="dataBar" priority="11">
      <dataBar>
        <cfvo type="min"/>
        <cfvo type="max"/>
        <color rgb="FF63C384"/>
      </dataBar>
      <extLst>
        <ext xmlns:x14="http://schemas.microsoft.com/office/spreadsheetml/2009/9/main" uri="{B025F937-C7B1-47D3-B67F-A62EFF666E3E}">
          <x14:id>{BD9DD1B0-EAED-4527-9563-706278CE83A3}</x14:id>
        </ext>
      </extLst>
    </cfRule>
  </conditionalFormatting>
  <conditionalFormatting sqref="D91:L95">
    <cfRule type="dataBar" priority="342">
      <dataBar>
        <cfvo type="min"/>
        <cfvo type="max"/>
        <color rgb="FF63C384"/>
      </dataBar>
      <extLst>
        <ext xmlns:x14="http://schemas.microsoft.com/office/spreadsheetml/2009/9/main" uri="{B025F937-C7B1-47D3-B67F-A62EFF666E3E}">
          <x14:id>{E1DA33FA-33A8-4307-A4F3-AF385A579CA2}</x14:id>
        </ext>
      </extLst>
    </cfRule>
  </conditionalFormatting>
  <conditionalFormatting sqref="E5:E12">
    <cfRule type="dataBar" priority="248">
      <dataBar>
        <cfvo type="min"/>
        <cfvo type="max"/>
        <color rgb="FF63C384"/>
      </dataBar>
      <extLst>
        <ext xmlns:x14="http://schemas.microsoft.com/office/spreadsheetml/2009/9/main" uri="{B025F937-C7B1-47D3-B67F-A62EFF666E3E}">
          <x14:id>{740A2B96-C6E5-4177-AC04-9573B81E30EC}</x14:id>
        </ext>
      </extLst>
    </cfRule>
  </conditionalFormatting>
  <conditionalFormatting sqref="E18:E21">
    <cfRule type="dataBar" priority="281">
      <dataBar>
        <cfvo type="min"/>
        <cfvo type="max"/>
        <color rgb="FF63C384"/>
      </dataBar>
      <extLst>
        <ext xmlns:x14="http://schemas.microsoft.com/office/spreadsheetml/2009/9/main" uri="{B025F937-C7B1-47D3-B67F-A62EFF666E3E}">
          <x14:id>{5AA7A103-2149-42E1-9BBB-48A01258D43D}</x14:id>
        </ext>
      </extLst>
    </cfRule>
  </conditionalFormatting>
  <conditionalFormatting sqref="E27:E30">
    <cfRule type="dataBar" priority="302">
      <dataBar>
        <cfvo type="min"/>
        <cfvo type="max"/>
        <color rgb="FF63C384"/>
      </dataBar>
      <extLst>
        <ext xmlns:x14="http://schemas.microsoft.com/office/spreadsheetml/2009/9/main" uri="{B025F937-C7B1-47D3-B67F-A62EFF666E3E}">
          <x14:id>{1BB3D441-09F4-43BD-AF9E-6479C064EA93}</x14:id>
        </ext>
      </extLst>
    </cfRule>
  </conditionalFormatting>
  <conditionalFormatting sqref="E62:E65">
    <cfRule type="dataBar" priority="89">
      <dataBar>
        <cfvo type="min"/>
        <cfvo type="max"/>
        <color rgb="FF63C384"/>
      </dataBar>
      <extLst>
        <ext xmlns:x14="http://schemas.microsoft.com/office/spreadsheetml/2009/9/main" uri="{B025F937-C7B1-47D3-B67F-A62EFF666E3E}">
          <x14:id>{638414AA-5F3D-4DB1-A4A4-56C14EB212ED}</x14:id>
        </ext>
      </extLst>
    </cfRule>
  </conditionalFormatting>
  <conditionalFormatting sqref="E71:E74">
    <cfRule type="dataBar" priority="80">
      <dataBar>
        <cfvo type="min"/>
        <cfvo type="max"/>
        <color rgb="FF63C384"/>
      </dataBar>
      <extLst>
        <ext xmlns:x14="http://schemas.microsoft.com/office/spreadsheetml/2009/9/main" uri="{B025F937-C7B1-47D3-B67F-A62EFF666E3E}">
          <x14:id>{79B1C1A3-AE44-4494-9481-CAB14CCA34B2}</x14:id>
        </ext>
      </extLst>
    </cfRule>
  </conditionalFormatting>
  <conditionalFormatting sqref="E80:E83">
    <cfRule type="dataBar" priority="12">
      <dataBar>
        <cfvo type="min"/>
        <cfvo type="max"/>
        <color rgb="FF63C384"/>
      </dataBar>
      <extLst>
        <ext xmlns:x14="http://schemas.microsoft.com/office/spreadsheetml/2009/9/main" uri="{B025F937-C7B1-47D3-B67F-A62EFF666E3E}">
          <x14:id>{4390F163-57C8-46E6-909E-74B6F3166BE8}</x14:id>
        </ext>
      </extLst>
    </cfRule>
  </conditionalFormatting>
  <conditionalFormatting sqref="E91:E95">
    <cfRule type="dataBar" priority="343">
      <dataBar>
        <cfvo type="min"/>
        <cfvo type="max"/>
        <color rgb="FF63C384"/>
      </dataBar>
      <extLst>
        <ext xmlns:x14="http://schemas.microsoft.com/office/spreadsheetml/2009/9/main" uri="{B025F937-C7B1-47D3-B67F-A62EFF666E3E}">
          <x14:id>{920622FC-A015-428C-9AE6-3F08426A6E7D}</x14:id>
        </ext>
      </extLst>
    </cfRule>
  </conditionalFormatting>
  <conditionalFormatting sqref="E1048541:H1048544">
    <cfRule type="dataBar" priority="323">
      <dataBar>
        <cfvo type="min"/>
        <cfvo type="max"/>
        <color rgb="FF63C384"/>
      </dataBar>
      <extLst>
        <ext xmlns:x14="http://schemas.microsoft.com/office/spreadsheetml/2009/9/main" uri="{B025F937-C7B1-47D3-B67F-A62EFF666E3E}">
          <x14:id>{9D845DEE-1E11-4511-A83B-F1F262F86CC8}</x14:id>
        </ext>
      </extLst>
    </cfRule>
  </conditionalFormatting>
  <conditionalFormatting sqref="F5:F12">
    <cfRule type="dataBar" priority="247">
      <dataBar>
        <cfvo type="min"/>
        <cfvo type="max"/>
        <color rgb="FF63C384"/>
      </dataBar>
      <extLst>
        <ext xmlns:x14="http://schemas.microsoft.com/office/spreadsheetml/2009/9/main" uri="{B025F937-C7B1-47D3-B67F-A62EFF666E3E}">
          <x14:id>{5EFE30C4-0901-404E-9108-731E3BE4821E}</x14:id>
        </ext>
      </extLst>
    </cfRule>
  </conditionalFormatting>
  <conditionalFormatting sqref="F18:F21">
    <cfRule type="dataBar" priority="282">
      <dataBar>
        <cfvo type="min"/>
        <cfvo type="max"/>
        <color rgb="FF63C384"/>
      </dataBar>
      <extLst>
        <ext xmlns:x14="http://schemas.microsoft.com/office/spreadsheetml/2009/9/main" uri="{B025F937-C7B1-47D3-B67F-A62EFF666E3E}">
          <x14:id>{5EE1521A-2483-44CA-9CCA-E5FC63E6246F}</x14:id>
        </ext>
      </extLst>
    </cfRule>
  </conditionalFormatting>
  <conditionalFormatting sqref="F27:F30">
    <cfRule type="dataBar" priority="303">
      <dataBar>
        <cfvo type="min"/>
        <cfvo type="max"/>
        <color rgb="FF63C384"/>
      </dataBar>
      <extLst>
        <ext xmlns:x14="http://schemas.microsoft.com/office/spreadsheetml/2009/9/main" uri="{B025F937-C7B1-47D3-B67F-A62EFF666E3E}">
          <x14:id>{DAFE1B54-5F5D-437D-95B6-756FB3DA9EB0}</x14:id>
        </ext>
      </extLst>
    </cfRule>
  </conditionalFormatting>
  <conditionalFormatting sqref="F62:F65">
    <cfRule type="dataBar" priority="90">
      <dataBar>
        <cfvo type="min"/>
        <cfvo type="max"/>
        <color rgb="FF63C384"/>
      </dataBar>
      <extLst>
        <ext xmlns:x14="http://schemas.microsoft.com/office/spreadsheetml/2009/9/main" uri="{B025F937-C7B1-47D3-B67F-A62EFF666E3E}">
          <x14:id>{F44CF08E-483B-47DC-81EC-970C862E0F9C}</x14:id>
        </ext>
      </extLst>
    </cfRule>
  </conditionalFormatting>
  <conditionalFormatting sqref="F71:F74">
    <cfRule type="dataBar" priority="81">
      <dataBar>
        <cfvo type="min"/>
        <cfvo type="max"/>
        <color rgb="FF63C384"/>
      </dataBar>
      <extLst>
        <ext xmlns:x14="http://schemas.microsoft.com/office/spreadsheetml/2009/9/main" uri="{B025F937-C7B1-47D3-B67F-A62EFF666E3E}">
          <x14:id>{3EFA2C8E-C22D-4EE2-9804-6740AE21CC7E}</x14:id>
        </ext>
      </extLst>
    </cfRule>
  </conditionalFormatting>
  <conditionalFormatting sqref="F80:F83">
    <cfRule type="dataBar" priority="13">
      <dataBar>
        <cfvo type="min"/>
        <cfvo type="max"/>
        <color rgb="FF63C384"/>
      </dataBar>
      <extLst>
        <ext xmlns:x14="http://schemas.microsoft.com/office/spreadsheetml/2009/9/main" uri="{B025F937-C7B1-47D3-B67F-A62EFF666E3E}">
          <x14:id>{45010B2F-798B-4AA2-AC06-72D5D35CA6E1}</x14:id>
        </ext>
      </extLst>
    </cfRule>
  </conditionalFormatting>
  <conditionalFormatting sqref="F91:F95">
    <cfRule type="dataBar" priority="344">
      <dataBar>
        <cfvo type="min"/>
        <cfvo type="max"/>
        <color rgb="FF63C384"/>
      </dataBar>
      <extLst>
        <ext xmlns:x14="http://schemas.microsoft.com/office/spreadsheetml/2009/9/main" uri="{B025F937-C7B1-47D3-B67F-A62EFF666E3E}">
          <x14:id>{B5B525FB-0F45-4C44-A87E-EC0642932A07}</x14:id>
        </ext>
      </extLst>
    </cfRule>
  </conditionalFormatting>
  <conditionalFormatting sqref="G5:G12">
    <cfRule type="dataBar" priority="246">
      <dataBar>
        <cfvo type="min"/>
        <cfvo type="max"/>
        <color rgb="FF63C384"/>
      </dataBar>
      <extLst>
        <ext xmlns:x14="http://schemas.microsoft.com/office/spreadsheetml/2009/9/main" uri="{B025F937-C7B1-47D3-B67F-A62EFF666E3E}">
          <x14:id>{A1F44ECC-EF2B-4606-87E9-B7F443AC18BF}</x14:id>
        </ext>
      </extLst>
    </cfRule>
  </conditionalFormatting>
  <conditionalFormatting sqref="G18:G21">
    <cfRule type="dataBar" priority="283">
      <dataBar>
        <cfvo type="min"/>
        <cfvo type="max"/>
        <color rgb="FF63C384"/>
      </dataBar>
      <extLst>
        <ext xmlns:x14="http://schemas.microsoft.com/office/spreadsheetml/2009/9/main" uri="{B025F937-C7B1-47D3-B67F-A62EFF666E3E}">
          <x14:id>{00DC50B7-1706-4DFB-A90F-9F95CB19CA6D}</x14:id>
        </ext>
      </extLst>
    </cfRule>
  </conditionalFormatting>
  <conditionalFormatting sqref="G27:G30">
    <cfRule type="dataBar" priority="304">
      <dataBar>
        <cfvo type="min"/>
        <cfvo type="max"/>
        <color rgb="FF63C384"/>
      </dataBar>
      <extLst>
        <ext xmlns:x14="http://schemas.microsoft.com/office/spreadsheetml/2009/9/main" uri="{B025F937-C7B1-47D3-B67F-A62EFF666E3E}">
          <x14:id>{D8B74FD1-7701-4BC3-B5E5-72E82BF42A35}</x14:id>
        </ext>
      </extLst>
    </cfRule>
  </conditionalFormatting>
  <conditionalFormatting sqref="G62:G65">
    <cfRule type="dataBar" priority="91">
      <dataBar>
        <cfvo type="min"/>
        <cfvo type="max"/>
        <color rgb="FF63C384"/>
      </dataBar>
      <extLst>
        <ext xmlns:x14="http://schemas.microsoft.com/office/spreadsheetml/2009/9/main" uri="{B025F937-C7B1-47D3-B67F-A62EFF666E3E}">
          <x14:id>{F40DD088-E0A5-48D8-A6FA-1FD629BD5C2A}</x14:id>
        </ext>
      </extLst>
    </cfRule>
  </conditionalFormatting>
  <conditionalFormatting sqref="G71:G74">
    <cfRule type="dataBar" priority="82">
      <dataBar>
        <cfvo type="min"/>
        <cfvo type="max"/>
        <color rgb="FF63C384"/>
      </dataBar>
      <extLst>
        <ext xmlns:x14="http://schemas.microsoft.com/office/spreadsheetml/2009/9/main" uri="{B025F937-C7B1-47D3-B67F-A62EFF666E3E}">
          <x14:id>{D6A3FC1F-B64E-41AE-9236-0F547E5492C7}</x14:id>
        </ext>
      </extLst>
    </cfRule>
  </conditionalFormatting>
  <conditionalFormatting sqref="G80:G83">
    <cfRule type="dataBar" priority="14">
      <dataBar>
        <cfvo type="min"/>
        <cfvo type="max"/>
        <color rgb="FF63C384"/>
      </dataBar>
      <extLst>
        <ext xmlns:x14="http://schemas.microsoft.com/office/spreadsheetml/2009/9/main" uri="{B025F937-C7B1-47D3-B67F-A62EFF666E3E}">
          <x14:id>{35475379-727E-49A8-B55E-9B8C2823EE78}</x14:id>
        </ext>
      </extLst>
    </cfRule>
  </conditionalFormatting>
  <conditionalFormatting sqref="G91:G95">
    <cfRule type="dataBar" priority="345">
      <dataBar>
        <cfvo type="min"/>
        <cfvo type="max"/>
        <color rgb="FF63C384"/>
      </dataBar>
      <extLst>
        <ext xmlns:x14="http://schemas.microsoft.com/office/spreadsheetml/2009/9/main" uri="{B025F937-C7B1-47D3-B67F-A62EFF666E3E}">
          <x14:id>{FAC0F39E-D2BF-4B8B-9348-C229E1F215B8}</x14:id>
        </ext>
      </extLst>
    </cfRule>
  </conditionalFormatting>
  <conditionalFormatting sqref="H5:H12">
    <cfRule type="dataBar" priority="245">
      <dataBar>
        <cfvo type="min"/>
        <cfvo type="max"/>
        <color rgb="FF63C384"/>
      </dataBar>
      <extLst>
        <ext xmlns:x14="http://schemas.microsoft.com/office/spreadsheetml/2009/9/main" uri="{B025F937-C7B1-47D3-B67F-A62EFF666E3E}">
          <x14:id>{4320827E-AAAF-46DA-9F47-1F13F9C2B2E6}</x14:id>
        </ext>
      </extLst>
    </cfRule>
  </conditionalFormatting>
  <conditionalFormatting sqref="H18:H21">
    <cfRule type="dataBar" priority="284">
      <dataBar>
        <cfvo type="min"/>
        <cfvo type="max"/>
        <color rgb="FF63C384"/>
      </dataBar>
      <extLst>
        <ext xmlns:x14="http://schemas.microsoft.com/office/spreadsheetml/2009/9/main" uri="{B025F937-C7B1-47D3-B67F-A62EFF666E3E}">
          <x14:id>{EED505F4-1AE5-4E85-A25F-1DAC1EADC97D}</x14:id>
        </ext>
      </extLst>
    </cfRule>
  </conditionalFormatting>
  <conditionalFormatting sqref="H27:H30">
    <cfRule type="dataBar" priority="305">
      <dataBar>
        <cfvo type="min"/>
        <cfvo type="max"/>
        <color rgb="FF63C384"/>
      </dataBar>
      <extLst>
        <ext xmlns:x14="http://schemas.microsoft.com/office/spreadsheetml/2009/9/main" uri="{B025F937-C7B1-47D3-B67F-A62EFF666E3E}">
          <x14:id>{914EA6F8-5DCE-4065-B98A-652627FCB49B}</x14:id>
        </ext>
      </extLst>
    </cfRule>
  </conditionalFormatting>
  <conditionalFormatting sqref="H62:H65">
    <cfRule type="dataBar" priority="92">
      <dataBar>
        <cfvo type="min"/>
        <cfvo type="max"/>
        <color rgb="FF63C384"/>
      </dataBar>
      <extLst>
        <ext xmlns:x14="http://schemas.microsoft.com/office/spreadsheetml/2009/9/main" uri="{B025F937-C7B1-47D3-B67F-A62EFF666E3E}">
          <x14:id>{36BEC853-B443-4E64-BD5A-9CBCBFFCDA29}</x14:id>
        </ext>
      </extLst>
    </cfRule>
  </conditionalFormatting>
  <conditionalFormatting sqref="H91:H95">
    <cfRule type="dataBar" priority="346">
      <dataBar>
        <cfvo type="min"/>
        <cfvo type="max"/>
        <color rgb="FF63C384"/>
      </dataBar>
      <extLst>
        <ext xmlns:x14="http://schemas.microsoft.com/office/spreadsheetml/2009/9/main" uri="{B025F937-C7B1-47D3-B67F-A62EFF666E3E}">
          <x14:id>{9562E324-EAA5-4E66-A52D-CC75EC64EAE2}</x14:id>
        </ext>
      </extLst>
    </cfRule>
  </conditionalFormatting>
  <conditionalFormatting sqref="H71:I74">
    <cfRule type="dataBar" priority="83">
      <dataBar>
        <cfvo type="min"/>
        <cfvo type="max"/>
        <color rgb="FF63C384"/>
      </dataBar>
      <extLst>
        <ext xmlns:x14="http://schemas.microsoft.com/office/spreadsheetml/2009/9/main" uri="{B025F937-C7B1-47D3-B67F-A62EFF666E3E}">
          <x14:id>{BA21AD6B-70BD-46F6-8048-4689D3D631D8}</x14:id>
        </ext>
      </extLst>
    </cfRule>
  </conditionalFormatting>
  <conditionalFormatting sqref="H80:I83">
    <cfRule type="dataBar" priority="15">
      <dataBar>
        <cfvo type="min"/>
        <cfvo type="max"/>
        <color rgb="FF63C384"/>
      </dataBar>
      <extLst>
        <ext xmlns:x14="http://schemas.microsoft.com/office/spreadsheetml/2009/9/main" uri="{B025F937-C7B1-47D3-B67F-A62EFF666E3E}">
          <x14:id>{7A9A54C0-5623-4BCD-80AF-FC2FE6F8A659}</x14:id>
        </ext>
      </extLst>
    </cfRule>
  </conditionalFormatting>
  <conditionalFormatting sqref="I5:I12">
    <cfRule type="dataBar" priority="244">
      <dataBar>
        <cfvo type="min"/>
        <cfvo type="max"/>
        <color rgb="FF63C384"/>
      </dataBar>
      <extLst>
        <ext xmlns:x14="http://schemas.microsoft.com/office/spreadsheetml/2009/9/main" uri="{B025F937-C7B1-47D3-B67F-A62EFF666E3E}">
          <x14:id>{5091493A-8CC0-4646-874A-93DEE51CD4AB}</x14:id>
        </ext>
      </extLst>
    </cfRule>
  </conditionalFormatting>
  <conditionalFormatting sqref="I18:I21">
    <cfRule type="dataBar" priority="285">
      <dataBar>
        <cfvo type="min"/>
        <cfvo type="max"/>
        <color rgb="FF63C384"/>
      </dataBar>
      <extLst>
        <ext xmlns:x14="http://schemas.microsoft.com/office/spreadsheetml/2009/9/main" uri="{B025F937-C7B1-47D3-B67F-A62EFF666E3E}">
          <x14:id>{A192D211-7CF8-4DE2-A7D7-7E84CEAE76AC}</x14:id>
        </ext>
      </extLst>
    </cfRule>
  </conditionalFormatting>
  <conditionalFormatting sqref="I27:I30">
    <cfRule type="dataBar" priority="306">
      <dataBar>
        <cfvo type="min"/>
        <cfvo type="max"/>
        <color rgb="FF63C384"/>
      </dataBar>
      <extLst>
        <ext xmlns:x14="http://schemas.microsoft.com/office/spreadsheetml/2009/9/main" uri="{B025F937-C7B1-47D3-B67F-A62EFF666E3E}">
          <x14:id>{89871960-279D-49E3-AA52-A34AF6402557}</x14:id>
        </ext>
      </extLst>
    </cfRule>
  </conditionalFormatting>
  <conditionalFormatting sqref="I62:I65 I67">
    <cfRule type="dataBar" priority="93">
      <dataBar>
        <cfvo type="min"/>
        <cfvo type="max"/>
        <color rgb="FF63C384"/>
      </dataBar>
      <extLst>
        <ext xmlns:x14="http://schemas.microsoft.com/office/spreadsheetml/2009/9/main" uri="{B025F937-C7B1-47D3-B67F-A62EFF666E3E}">
          <x14:id>{21525251-7871-4CCB-B530-7367A18B2837}</x14:id>
        </ext>
      </extLst>
    </cfRule>
  </conditionalFormatting>
  <conditionalFormatting sqref="I71:I74">
    <cfRule type="dataBar" priority="84">
      <dataBar>
        <cfvo type="min"/>
        <cfvo type="max"/>
        <color rgb="FF63C384"/>
      </dataBar>
      <extLst>
        <ext xmlns:x14="http://schemas.microsoft.com/office/spreadsheetml/2009/9/main" uri="{B025F937-C7B1-47D3-B67F-A62EFF666E3E}">
          <x14:id>{B1834CD0-7D1A-450F-B706-09FF517C07F5}</x14:id>
        </ext>
      </extLst>
    </cfRule>
  </conditionalFormatting>
  <conditionalFormatting sqref="I76">
    <cfRule type="dataBar" priority="30">
      <dataBar>
        <cfvo type="min"/>
        <cfvo type="max"/>
        <color rgb="FF63C384"/>
      </dataBar>
      <extLst>
        <ext xmlns:x14="http://schemas.microsoft.com/office/spreadsheetml/2009/9/main" uri="{B025F937-C7B1-47D3-B67F-A62EFF666E3E}">
          <x14:id>{424B1211-CE5F-481B-BFA4-6EE381E9B210}</x14:id>
        </ext>
      </extLst>
    </cfRule>
  </conditionalFormatting>
  <conditionalFormatting sqref="I80:I83">
    <cfRule type="dataBar" priority="16">
      <dataBar>
        <cfvo type="min"/>
        <cfvo type="max"/>
        <color rgb="FF63C384"/>
      </dataBar>
      <extLst>
        <ext xmlns:x14="http://schemas.microsoft.com/office/spreadsheetml/2009/9/main" uri="{B025F937-C7B1-47D3-B67F-A62EFF666E3E}">
          <x14:id>{A1F06F07-060D-4430-A24A-C38073F65212}</x14:id>
        </ext>
      </extLst>
    </cfRule>
  </conditionalFormatting>
  <conditionalFormatting sqref="I91:L95">
    <cfRule type="dataBar" priority="347">
      <dataBar>
        <cfvo type="min"/>
        <cfvo type="max"/>
        <color rgb="FF63C384"/>
      </dataBar>
      <extLst>
        <ext xmlns:x14="http://schemas.microsoft.com/office/spreadsheetml/2009/9/main" uri="{B025F937-C7B1-47D3-B67F-A62EFF666E3E}">
          <x14:id>{06CDC64F-FCE8-486B-86CE-7420A2CB970F}</x14:id>
        </ext>
      </extLst>
    </cfRule>
  </conditionalFormatting>
  <conditionalFormatting sqref="I1048541:L1048544">
    <cfRule type="dataBar" priority="105">
      <dataBar>
        <cfvo type="min"/>
        <cfvo type="max"/>
        <color rgb="FF63C384"/>
      </dataBar>
      <extLst>
        <ext xmlns:x14="http://schemas.microsoft.com/office/spreadsheetml/2009/9/main" uri="{B025F937-C7B1-47D3-B67F-A62EFF666E3E}">
          <x14:id>{33D057A5-6F3E-43B0-85C5-0EEF53A658B6}</x14:id>
        </ext>
      </extLst>
    </cfRule>
    <cfRule type="dataBar" priority="106">
      <dataBar>
        <cfvo type="min"/>
        <cfvo type="max"/>
        <color rgb="FF63C384"/>
      </dataBar>
      <extLst>
        <ext xmlns:x14="http://schemas.microsoft.com/office/spreadsheetml/2009/9/main" uri="{B025F937-C7B1-47D3-B67F-A62EFF666E3E}">
          <x14:id>{9189FEA5-6672-481F-84FD-5C8AFDAE6EFF}</x14:id>
        </ext>
      </extLst>
    </cfRule>
  </conditionalFormatting>
  <conditionalFormatting sqref="K5:K12">
    <cfRule type="dataBar" priority="256">
      <dataBar>
        <cfvo type="min"/>
        <cfvo type="max"/>
        <color rgb="FF63C384"/>
      </dataBar>
      <extLst>
        <ext xmlns:x14="http://schemas.microsoft.com/office/spreadsheetml/2009/9/main" uri="{B025F937-C7B1-47D3-B67F-A62EFF666E3E}">
          <x14:id>{5A27FB5F-AC6D-40FD-B152-7630C251B9C8}</x14:id>
        </ext>
      </extLst>
    </cfRule>
  </conditionalFormatting>
  <conditionalFormatting sqref="K18:K21">
    <cfRule type="dataBar" priority="286">
      <dataBar>
        <cfvo type="min"/>
        <cfvo type="max"/>
        <color rgb="FF63C384"/>
      </dataBar>
      <extLst>
        <ext xmlns:x14="http://schemas.microsoft.com/office/spreadsheetml/2009/9/main" uri="{B025F937-C7B1-47D3-B67F-A62EFF666E3E}">
          <x14:id>{60785AC6-7D44-400D-A2D8-9BBBDC5C548B}</x14:id>
        </ext>
      </extLst>
    </cfRule>
  </conditionalFormatting>
  <conditionalFormatting sqref="K27:K30">
    <cfRule type="dataBar" priority="307">
      <dataBar>
        <cfvo type="min"/>
        <cfvo type="max"/>
        <color rgb="FF63C384"/>
      </dataBar>
      <extLst>
        <ext xmlns:x14="http://schemas.microsoft.com/office/spreadsheetml/2009/9/main" uri="{B025F937-C7B1-47D3-B67F-A62EFF666E3E}">
          <x14:id>{453C6738-D025-4507-80EB-A91F5A69956A}</x14:id>
        </ext>
      </extLst>
    </cfRule>
  </conditionalFormatting>
  <conditionalFormatting sqref="K62:K65">
    <cfRule type="dataBar" priority="42">
      <dataBar>
        <cfvo type="min"/>
        <cfvo type="max"/>
        <color rgb="FF63C384"/>
      </dataBar>
      <extLst>
        <ext xmlns:x14="http://schemas.microsoft.com/office/spreadsheetml/2009/9/main" uri="{B025F937-C7B1-47D3-B67F-A62EFF666E3E}">
          <x14:id>{C3CBC7D6-9712-4BEF-A11A-E364E30DFA2E}</x14:id>
        </ext>
      </extLst>
    </cfRule>
  </conditionalFormatting>
  <conditionalFormatting sqref="K71:K74">
    <cfRule type="dataBar" priority="37">
      <dataBar>
        <cfvo type="min"/>
        <cfvo type="max"/>
        <color rgb="FF63C384"/>
      </dataBar>
      <extLst>
        <ext xmlns:x14="http://schemas.microsoft.com/office/spreadsheetml/2009/9/main" uri="{B025F937-C7B1-47D3-B67F-A62EFF666E3E}">
          <x14:id>{3D0AB7C6-0D66-481E-BEA2-EE868B439983}</x14:id>
        </ext>
      </extLst>
    </cfRule>
  </conditionalFormatting>
  <conditionalFormatting sqref="K80:K83">
    <cfRule type="dataBar" priority="21">
      <dataBar>
        <cfvo type="min"/>
        <cfvo type="max"/>
        <color rgb="FF63C384"/>
      </dataBar>
      <extLst>
        <ext xmlns:x14="http://schemas.microsoft.com/office/spreadsheetml/2009/9/main" uri="{B025F937-C7B1-47D3-B67F-A62EFF666E3E}">
          <x14:id>{6EF75844-E5E4-4646-BFCF-5919E9292764}</x14:id>
        </ext>
      </extLst>
    </cfRule>
  </conditionalFormatting>
  <conditionalFormatting sqref="K18:O21">
    <cfRule type="dataBar" priority="289">
      <dataBar>
        <cfvo type="min"/>
        <cfvo type="max"/>
        <color rgb="FF63C384"/>
      </dataBar>
      <extLst>
        <ext xmlns:x14="http://schemas.microsoft.com/office/spreadsheetml/2009/9/main" uri="{B025F937-C7B1-47D3-B67F-A62EFF666E3E}">
          <x14:id>{589E11FE-E342-4D21-9EB3-CB0F15AE87A6}</x14:id>
        </ext>
      </extLst>
    </cfRule>
    <cfRule type="dataBar" priority="288">
      <dataBar>
        <cfvo type="min"/>
        <cfvo type="max"/>
        <color rgb="FF63C384"/>
      </dataBar>
      <extLst>
        <ext xmlns:x14="http://schemas.microsoft.com/office/spreadsheetml/2009/9/main" uri="{B025F937-C7B1-47D3-B67F-A62EFF666E3E}">
          <x14:id>{CBC457F7-3DB8-46A0-988B-11CCF8FF31E5}</x14:id>
        </ext>
      </extLst>
    </cfRule>
    <cfRule type="dataBar" priority="287">
      <dataBar>
        <cfvo type="min"/>
        <cfvo type="max"/>
        <color rgb="FF63C384"/>
      </dataBar>
      <extLst>
        <ext xmlns:x14="http://schemas.microsoft.com/office/spreadsheetml/2009/9/main" uri="{B025F937-C7B1-47D3-B67F-A62EFF666E3E}">
          <x14:id>{BE9D279A-ADD8-46F4-B26E-577DEFFA037B}</x14:id>
        </ext>
      </extLst>
    </cfRule>
  </conditionalFormatting>
  <conditionalFormatting sqref="K27:O30">
    <cfRule type="dataBar" priority="308">
      <dataBar>
        <cfvo type="min"/>
        <cfvo type="max"/>
        <color rgb="FF63C384"/>
      </dataBar>
      <extLst>
        <ext xmlns:x14="http://schemas.microsoft.com/office/spreadsheetml/2009/9/main" uri="{B025F937-C7B1-47D3-B67F-A62EFF666E3E}">
          <x14:id>{15DAABEF-1DDE-4166-90FB-2446E1F52952}</x14:id>
        </ext>
      </extLst>
    </cfRule>
    <cfRule type="dataBar" priority="309">
      <dataBar>
        <cfvo type="min"/>
        <cfvo type="max"/>
        <color rgb="FF63C384"/>
      </dataBar>
      <extLst>
        <ext xmlns:x14="http://schemas.microsoft.com/office/spreadsheetml/2009/9/main" uri="{B025F937-C7B1-47D3-B67F-A62EFF666E3E}">
          <x14:id>{6DF94BE1-9A90-432F-9587-858EADB55A91}</x14:id>
        </ext>
      </extLst>
    </cfRule>
    <cfRule type="dataBar" priority="310">
      <dataBar>
        <cfvo type="min"/>
        <cfvo type="max"/>
        <color rgb="FF63C384"/>
      </dataBar>
      <extLst>
        <ext xmlns:x14="http://schemas.microsoft.com/office/spreadsheetml/2009/9/main" uri="{B025F937-C7B1-47D3-B67F-A62EFF666E3E}">
          <x14:id>{A8FC8924-5F2E-4737-85A6-E5FF49A69250}</x14:id>
        </ext>
      </extLst>
    </cfRule>
  </conditionalFormatting>
  <conditionalFormatting sqref="K5:P10">
    <cfRule type="dataBar" priority="229">
      <dataBar>
        <cfvo type="min"/>
        <cfvo type="max"/>
        <color rgb="FF63C384"/>
      </dataBar>
      <extLst>
        <ext xmlns:x14="http://schemas.microsoft.com/office/spreadsheetml/2009/9/main" uri="{B025F937-C7B1-47D3-B67F-A62EFF666E3E}">
          <x14:id>{1642E512-5328-4DB9-81F4-5A67EFFA2D7A}</x14:id>
        </ext>
      </extLst>
    </cfRule>
    <cfRule type="dataBar" priority="230">
      <dataBar>
        <cfvo type="min"/>
        <cfvo type="max"/>
        <color rgb="FF63C384"/>
      </dataBar>
      <extLst>
        <ext xmlns:x14="http://schemas.microsoft.com/office/spreadsheetml/2009/9/main" uri="{B025F937-C7B1-47D3-B67F-A62EFF666E3E}">
          <x14:id>{5832A442-CC22-41FC-AD17-86122538435B}</x14:id>
        </ext>
      </extLst>
    </cfRule>
  </conditionalFormatting>
  <conditionalFormatting sqref="K18:P21">
    <cfRule type="dataBar" priority="292">
      <dataBar>
        <cfvo type="min"/>
        <cfvo type="max"/>
        <color rgb="FF63C384"/>
      </dataBar>
      <extLst>
        <ext xmlns:x14="http://schemas.microsoft.com/office/spreadsheetml/2009/9/main" uri="{B025F937-C7B1-47D3-B67F-A62EFF666E3E}">
          <x14:id>{9095667E-69EE-4811-BEDE-AFA010708C3B}</x14:id>
        </ext>
      </extLst>
    </cfRule>
    <cfRule type="dataBar" priority="293">
      <dataBar>
        <cfvo type="min"/>
        <cfvo type="max"/>
        <color rgb="FF63C384"/>
      </dataBar>
      <extLst>
        <ext xmlns:x14="http://schemas.microsoft.com/office/spreadsheetml/2009/9/main" uri="{B025F937-C7B1-47D3-B67F-A62EFF666E3E}">
          <x14:id>{00030478-9DDE-4C48-B970-8BFEEA7887D7}</x14:id>
        </ext>
      </extLst>
    </cfRule>
    <cfRule type="dataBar" priority="294">
      <dataBar>
        <cfvo type="min"/>
        <cfvo type="max"/>
        <color rgb="FF63C384"/>
      </dataBar>
      <extLst>
        <ext xmlns:x14="http://schemas.microsoft.com/office/spreadsheetml/2009/9/main" uri="{B025F937-C7B1-47D3-B67F-A62EFF666E3E}">
          <x14:id>{EC7F1560-4E75-4756-AE37-09B82982D1AB}</x14:id>
        </ext>
      </extLst>
    </cfRule>
    <cfRule type="dataBar" priority="290">
      <dataBar>
        <cfvo type="min"/>
        <cfvo type="max"/>
        <color rgb="FF63C384"/>
      </dataBar>
      <extLst>
        <ext xmlns:x14="http://schemas.microsoft.com/office/spreadsheetml/2009/9/main" uri="{B025F937-C7B1-47D3-B67F-A62EFF666E3E}">
          <x14:id>{A85696C3-3FD4-4347-BBC8-6CEF041D9BC2}</x14:id>
        </ext>
      </extLst>
    </cfRule>
    <cfRule type="dataBar" priority="291">
      <dataBar>
        <cfvo type="min"/>
        <cfvo type="max"/>
        <color rgb="FF63C384"/>
      </dataBar>
      <extLst>
        <ext xmlns:x14="http://schemas.microsoft.com/office/spreadsheetml/2009/9/main" uri="{B025F937-C7B1-47D3-B67F-A62EFF666E3E}">
          <x14:id>{4CBCF4A4-EFBB-41F0-984E-0C4EF2D8C81C}</x14:id>
        </ext>
      </extLst>
    </cfRule>
  </conditionalFormatting>
  <conditionalFormatting sqref="K27:P30">
    <cfRule type="dataBar" priority="315">
      <dataBar>
        <cfvo type="min"/>
        <cfvo type="max"/>
        <color rgb="FF63C384"/>
      </dataBar>
      <extLst>
        <ext xmlns:x14="http://schemas.microsoft.com/office/spreadsheetml/2009/9/main" uri="{B025F937-C7B1-47D3-B67F-A62EFF666E3E}">
          <x14:id>{BF003CDF-E865-4446-B296-85EEEECAB0F4}</x14:id>
        </ext>
      </extLst>
    </cfRule>
    <cfRule type="dataBar" priority="311">
      <dataBar>
        <cfvo type="min"/>
        <cfvo type="max"/>
        <color rgb="FF63C384"/>
      </dataBar>
      <extLst>
        <ext xmlns:x14="http://schemas.microsoft.com/office/spreadsheetml/2009/9/main" uri="{B025F937-C7B1-47D3-B67F-A62EFF666E3E}">
          <x14:id>{FBBA71FC-2649-4E44-9BCC-E60F01F1B3CF}</x14:id>
        </ext>
      </extLst>
    </cfRule>
    <cfRule type="dataBar" priority="312">
      <dataBar>
        <cfvo type="min"/>
        <cfvo type="max"/>
        <color rgb="FF63C384"/>
      </dataBar>
      <extLst>
        <ext xmlns:x14="http://schemas.microsoft.com/office/spreadsheetml/2009/9/main" uri="{B025F937-C7B1-47D3-B67F-A62EFF666E3E}">
          <x14:id>{EC3953CB-028A-4729-82C6-52C68F28465D}</x14:id>
        </ext>
      </extLst>
    </cfRule>
    <cfRule type="dataBar" priority="313">
      <dataBar>
        <cfvo type="min"/>
        <cfvo type="max"/>
        <color rgb="FF63C384"/>
      </dataBar>
      <extLst>
        <ext xmlns:x14="http://schemas.microsoft.com/office/spreadsheetml/2009/9/main" uri="{B025F937-C7B1-47D3-B67F-A62EFF666E3E}">
          <x14:id>{F7152BF6-82A3-4D1D-B5DC-888F3DA5520D}</x14:id>
        </ext>
      </extLst>
    </cfRule>
    <cfRule type="dataBar" priority="314">
      <dataBar>
        <cfvo type="min"/>
        <cfvo type="max"/>
        <color rgb="FF63C384"/>
      </dataBar>
      <extLst>
        <ext xmlns:x14="http://schemas.microsoft.com/office/spreadsheetml/2009/9/main" uri="{B025F937-C7B1-47D3-B67F-A62EFF666E3E}">
          <x14:id>{E452811F-F56E-40C9-94F4-5524A1D02EFF}</x14:id>
        </ext>
      </extLst>
    </cfRule>
  </conditionalFormatting>
  <conditionalFormatting sqref="K62:P65">
    <cfRule type="dataBar" priority="39">
      <dataBar>
        <cfvo type="min"/>
        <cfvo type="max"/>
        <color rgb="FF63C384"/>
      </dataBar>
      <extLst>
        <ext xmlns:x14="http://schemas.microsoft.com/office/spreadsheetml/2009/9/main" uri="{B025F937-C7B1-47D3-B67F-A62EFF666E3E}">
          <x14:id>{B1762839-04D2-4382-807B-02196366D964}</x14:id>
        </ext>
      </extLst>
    </cfRule>
    <cfRule type="dataBar" priority="38">
      <dataBar>
        <cfvo type="min"/>
        <cfvo type="max"/>
        <color rgb="FF63C384"/>
      </dataBar>
      <extLst>
        <ext xmlns:x14="http://schemas.microsoft.com/office/spreadsheetml/2009/9/main" uri="{B025F937-C7B1-47D3-B67F-A62EFF666E3E}">
          <x14:id>{BFA255C1-14BD-4690-B833-59D603315D0E}</x14:id>
        </ext>
      </extLst>
    </cfRule>
  </conditionalFormatting>
  <conditionalFormatting sqref="K71:P74">
    <cfRule type="dataBar" priority="33">
      <dataBar>
        <cfvo type="min"/>
        <cfvo type="max"/>
        <color rgb="FF63C384"/>
      </dataBar>
      <extLst>
        <ext xmlns:x14="http://schemas.microsoft.com/office/spreadsheetml/2009/9/main" uri="{B025F937-C7B1-47D3-B67F-A62EFF666E3E}">
          <x14:id>{7BC97657-2062-4953-B0D7-481CEA1D16A7}</x14:id>
        </ext>
      </extLst>
    </cfRule>
    <cfRule type="dataBar" priority="34">
      <dataBar>
        <cfvo type="min"/>
        <cfvo type="max"/>
        <color rgb="FF63C384"/>
      </dataBar>
      <extLst>
        <ext xmlns:x14="http://schemas.microsoft.com/office/spreadsheetml/2009/9/main" uri="{B025F937-C7B1-47D3-B67F-A62EFF666E3E}">
          <x14:id>{7DB2C9D1-A642-42CD-A153-D1F90D23AF45}</x14:id>
        </ext>
      </extLst>
    </cfRule>
  </conditionalFormatting>
  <conditionalFormatting sqref="K80:P83">
    <cfRule type="dataBar" priority="18">
      <dataBar>
        <cfvo type="min"/>
        <cfvo type="max"/>
        <color rgb="FF63C384"/>
      </dataBar>
      <extLst>
        <ext xmlns:x14="http://schemas.microsoft.com/office/spreadsheetml/2009/9/main" uri="{B025F937-C7B1-47D3-B67F-A62EFF666E3E}">
          <x14:id>{5BDF914B-626D-448D-9A9C-4E9A29150491}</x14:id>
        </ext>
      </extLst>
    </cfRule>
    <cfRule type="dataBar" priority="17">
      <dataBar>
        <cfvo type="min"/>
        <cfvo type="max"/>
        <color rgb="FF63C384"/>
      </dataBar>
      <extLst>
        <ext xmlns:x14="http://schemas.microsoft.com/office/spreadsheetml/2009/9/main" uri="{B025F937-C7B1-47D3-B67F-A62EFF666E3E}">
          <x14:id>{1C11AE78-F5CF-4C69-8CB8-BB1D2411BF23}</x14:id>
        </ext>
      </extLst>
    </cfRule>
  </conditionalFormatting>
  <conditionalFormatting sqref="L5:L12">
    <cfRule type="dataBar" priority="254">
      <dataBar>
        <cfvo type="min"/>
        <cfvo type="max"/>
        <color rgb="FF63C384"/>
      </dataBar>
      <extLst>
        <ext xmlns:x14="http://schemas.microsoft.com/office/spreadsheetml/2009/9/main" uri="{B025F937-C7B1-47D3-B67F-A62EFF666E3E}">
          <x14:id>{086E2BE5-AF7D-45A1-A497-EB3FB49CEB4D}</x14:id>
        </ext>
      </extLst>
    </cfRule>
  </conditionalFormatting>
  <conditionalFormatting sqref="L18:L21">
    <cfRule type="dataBar" priority="295">
      <dataBar>
        <cfvo type="min"/>
        <cfvo type="max"/>
        <color rgb="FF63C384"/>
      </dataBar>
      <extLst>
        <ext xmlns:x14="http://schemas.microsoft.com/office/spreadsheetml/2009/9/main" uri="{B025F937-C7B1-47D3-B67F-A62EFF666E3E}">
          <x14:id>{4BEF7755-0998-42F9-BE2B-3DDE71DD6879}</x14:id>
        </ext>
      </extLst>
    </cfRule>
  </conditionalFormatting>
  <conditionalFormatting sqref="L27:L30">
    <cfRule type="dataBar" priority="316">
      <dataBar>
        <cfvo type="min"/>
        <cfvo type="max"/>
        <color rgb="FF63C384"/>
      </dataBar>
      <extLst>
        <ext xmlns:x14="http://schemas.microsoft.com/office/spreadsheetml/2009/9/main" uri="{B025F937-C7B1-47D3-B67F-A62EFF666E3E}">
          <x14:id>{FE1A76EB-E3F4-436F-A182-1CF9E3816F6C}</x14:id>
        </ext>
      </extLst>
    </cfRule>
  </conditionalFormatting>
  <conditionalFormatting sqref="L62:L65">
    <cfRule type="dataBar" priority="41">
      <dataBar>
        <cfvo type="min"/>
        <cfvo type="max"/>
        <color rgb="FF63C384"/>
      </dataBar>
      <extLst>
        <ext xmlns:x14="http://schemas.microsoft.com/office/spreadsheetml/2009/9/main" uri="{B025F937-C7B1-47D3-B67F-A62EFF666E3E}">
          <x14:id>{6B1474B3-2221-4BB1-B618-780EB8A02505}</x14:id>
        </ext>
      </extLst>
    </cfRule>
  </conditionalFormatting>
  <conditionalFormatting sqref="L71:L74">
    <cfRule type="dataBar" priority="36">
      <dataBar>
        <cfvo type="min"/>
        <cfvo type="max"/>
        <color rgb="FF63C384"/>
      </dataBar>
      <extLst>
        <ext xmlns:x14="http://schemas.microsoft.com/office/spreadsheetml/2009/9/main" uri="{B025F937-C7B1-47D3-B67F-A62EFF666E3E}">
          <x14:id>{E4B51802-7C86-4BCD-90E0-4373F58A7CA7}</x14:id>
        </ext>
      </extLst>
    </cfRule>
  </conditionalFormatting>
  <conditionalFormatting sqref="L80:L83">
    <cfRule type="dataBar" priority="20">
      <dataBar>
        <cfvo type="min"/>
        <cfvo type="max"/>
        <color rgb="FF63C384"/>
      </dataBar>
      <extLst>
        <ext xmlns:x14="http://schemas.microsoft.com/office/spreadsheetml/2009/9/main" uri="{B025F937-C7B1-47D3-B67F-A62EFF666E3E}">
          <x14:id>{7BF2ECB1-3A9D-45C0-BDF4-E88D5B04BC2A}</x14:id>
        </ext>
      </extLst>
    </cfRule>
  </conditionalFormatting>
  <conditionalFormatting sqref="M11:M12">
    <cfRule type="dataBar" priority="253">
      <dataBar>
        <cfvo type="min"/>
        <cfvo type="max"/>
        <color rgb="FF63C384"/>
      </dataBar>
      <extLst>
        <ext xmlns:x14="http://schemas.microsoft.com/office/spreadsheetml/2009/9/main" uri="{B025F937-C7B1-47D3-B67F-A62EFF666E3E}">
          <x14:id>{CF921376-951B-44A1-A35C-F489AA25CABD}</x14:id>
        </ext>
      </extLst>
    </cfRule>
  </conditionalFormatting>
  <conditionalFormatting sqref="M20:M21">
    <cfRule type="dataBar" priority="296">
      <dataBar>
        <cfvo type="min"/>
        <cfvo type="max"/>
        <color rgb="FF63C384"/>
      </dataBar>
      <extLst>
        <ext xmlns:x14="http://schemas.microsoft.com/office/spreadsheetml/2009/9/main" uri="{B025F937-C7B1-47D3-B67F-A62EFF666E3E}">
          <x14:id>{56FDBD16-DDEB-4D7A-98AA-9D8D76CB1BBA}</x14:id>
        </ext>
      </extLst>
    </cfRule>
  </conditionalFormatting>
  <conditionalFormatting sqref="M29:M30">
    <cfRule type="dataBar" priority="317">
      <dataBar>
        <cfvo type="min"/>
        <cfvo type="max"/>
        <color rgb="FF63C384"/>
      </dataBar>
      <extLst>
        <ext xmlns:x14="http://schemas.microsoft.com/office/spreadsheetml/2009/9/main" uri="{B025F937-C7B1-47D3-B67F-A62EFF666E3E}">
          <x14:id>{14BF6372-82D5-4931-9849-AEE13B0773A9}</x14:id>
        </ext>
      </extLst>
    </cfRule>
  </conditionalFormatting>
  <conditionalFormatting sqref="M21:O21 K18:O20">
    <cfRule type="dataBar" priority="1">
      <dataBar>
        <cfvo type="min"/>
        <cfvo type="max"/>
        <color rgb="FF63C384"/>
      </dataBar>
      <extLst>
        <ext xmlns:x14="http://schemas.microsoft.com/office/spreadsheetml/2009/9/main" uri="{B025F937-C7B1-47D3-B67F-A62EFF666E3E}">
          <x14:id>{96AA5CCC-7D7D-4B7C-A258-FA35C89C5220}</x14:id>
        </ext>
      </extLst>
    </cfRule>
  </conditionalFormatting>
  <conditionalFormatting sqref="M5:P10">
    <cfRule type="dataBar" priority="235">
      <dataBar>
        <cfvo type="min"/>
        <cfvo type="max"/>
        <color rgb="FF63C384"/>
      </dataBar>
      <extLst>
        <ext xmlns:x14="http://schemas.microsoft.com/office/spreadsheetml/2009/9/main" uri="{B025F937-C7B1-47D3-B67F-A62EFF666E3E}">
          <x14:id>{418255D3-2B96-41A9-9582-87939D7FAE81}</x14:id>
        </ext>
      </extLst>
    </cfRule>
  </conditionalFormatting>
  <conditionalFormatting sqref="M62:P65">
    <cfRule type="dataBar" priority="40">
      <dataBar>
        <cfvo type="min"/>
        <cfvo type="max"/>
        <color rgb="FF63C384"/>
      </dataBar>
      <extLst>
        <ext xmlns:x14="http://schemas.microsoft.com/office/spreadsheetml/2009/9/main" uri="{B025F937-C7B1-47D3-B67F-A62EFF666E3E}">
          <x14:id>{42369CE1-FCFF-4C59-B4E0-E4D423BFD9FE}</x14:id>
        </ext>
      </extLst>
    </cfRule>
  </conditionalFormatting>
  <conditionalFormatting sqref="M71:P74">
    <cfRule type="dataBar" priority="35">
      <dataBar>
        <cfvo type="min"/>
        <cfvo type="max"/>
        <color rgb="FF63C384"/>
      </dataBar>
      <extLst>
        <ext xmlns:x14="http://schemas.microsoft.com/office/spreadsheetml/2009/9/main" uri="{B025F937-C7B1-47D3-B67F-A62EFF666E3E}">
          <x14:id>{184AE636-734E-432D-9101-DCF6E7C5AFD1}</x14:id>
        </ext>
      </extLst>
    </cfRule>
  </conditionalFormatting>
  <conditionalFormatting sqref="M80:P83">
    <cfRule type="dataBar" priority="19">
      <dataBar>
        <cfvo type="min"/>
        <cfvo type="max"/>
        <color rgb="FF63C384"/>
      </dataBar>
      <extLst>
        <ext xmlns:x14="http://schemas.microsoft.com/office/spreadsheetml/2009/9/main" uri="{B025F937-C7B1-47D3-B67F-A62EFF666E3E}">
          <x14:id>{75752F28-03D4-443D-88A3-9B0E92F58E97}</x14:id>
        </ext>
      </extLst>
    </cfRule>
  </conditionalFormatting>
  <conditionalFormatting sqref="M1048541:P1048544">
    <cfRule type="dataBar" priority="104">
      <dataBar>
        <cfvo type="min"/>
        <cfvo type="max"/>
        <color rgb="FF63C384"/>
      </dataBar>
      <extLst>
        <ext xmlns:x14="http://schemas.microsoft.com/office/spreadsheetml/2009/9/main" uri="{B025F937-C7B1-47D3-B67F-A62EFF666E3E}">
          <x14:id>{D79F9DB6-6801-4A2C-B1F4-8126B64EB689}</x14:id>
        </ext>
      </extLst>
    </cfRule>
    <cfRule type="dataBar" priority="103">
      <dataBar>
        <cfvo type="min"/>
        <cfvo type="max"/>
        <color rgb="FF63C384"/>
      </dataBar>
      <extLst>
        <ext xmlns:x14="http://schemas.microsoft.com/office/spreadsheetml/2009/9/main" uri="{B025F937-C7B1-47D3-B67F-A62EFF666E3E}">
          <x14:id>{799A0AC0-1DB2-40E4-95B9-A1DFF118974A}</x14:id>
        </ext>
      </extLst>
    </cfRule>
  </conditionalFormatting>
  <conditionalFormatting sqref="N11:N12">
    <cfRule type="dataBar" priority="252">
      <dataBar>
        <cfvo type="min"/>
        <cfvo type="max"/>
        <color rgb="FF63C384"/>
      </dataBar>
      <extLst>
        <ext xmlns:x14="http://schemas.microsoft.com/office/spreadsheetml/2009/9/main" uri="{B025F937-C7B1-47D3-B67F-A62EFF666E3E}">
          <x14:id>{13101FF6-2EA7-4030-B4D6-DA0DA1C2F6A6}</x14:id>
        </ext>
      </extLst>
    </cfRule>
  </conditionalFormatting>
  <conditionalFormatting sqref="N18:N21">
    <cfRule type="dataBar" priority="297">
      <dataBar>
        <cfvo type="min"/>
        <cfvo type="max"/>
        <color rgb="FF63C384"/>
      </dataBar>
      <extLst>
        <ext xmlns:x14="http://schemas.microsoft.com/office/spreadsheetml/2009/9/main" uri="{B025F937-C7B1-47D3-B67F-A62EFF666E3E}">
          <x14:id>{E359D2BF-B4C7-4D3A-9103-4CBEE70A31B4}</x14:id>
        </ext>
      </extLst>
    </cfRule>
  </conditionalFormatting>
  <conditionalFormatting sqref="N27:N30">
    <cfRule type="dataBar" priority="318">
      <dataBar>
        <cfvo type="min"/>
        <cfvo type="max"/>
        <color rgb="FF63C384"/>
      </dataBar>
      <extLst>
        <ext xmlns:x14="http://schemas.microsoft.com/office/spreadsheetml/2009/9/main" uri="{B025F937-C7B1-47D3-B67F-A62EFF666E3E}">
          <x14:id>{E2C8407F-ED48-42FA-A7BD-0E374224FAA5}</x14:id>
        </ext>
      </extLst>
    </cfRule>
  </conditionalFormatting>
  <conditionalFormatting sqref="O11:O12">
    <cfRule type="dataBar" priority="251">
      <dataBar>
        <cfvo type="min"/>
        <cfvo type="max"/>
        <color rgb="FF63C384"/>
      </dataBar>
      <extLst>
        <ext xmlns:x14="http://schemas.microsoft.com/office/spreadsheetml/2009/9/main" uri="{B025F937-C7B1-47D3-B67F-A62EFF666E3E}">
          <x14:id>{1F18C40A-A33A-4D0B-B57F-47D9D6CF0D64}</x14:id>
        </ext>
      </extLst>
    </cfRule>
  </conditionalFormatting>
  <conditionalFormatting sqref="O18:O21">
    <cfRule type="dataBar" priority="298">
      <dataBar>
        <cfvo type="min"/>
        <cfvo type="max"/>
        <color rgb="FF63C384"/>
      </dataBar>
      <extLst>
        <ext xmlns:x14="http://schemas.microsoft.com/office/spreadsheetml/2009/9/main" uri="{B025F937-C7B1-47D3-B67F-A62EFF666E3E}">
          <x14:id>{26AC0999-7FF4-4431-B91F-7A7C0E85B670}</x14:id>
        </ext>
      </extLst>
    </cfRule>
  </conditionalFormatting>
  <conditionalFormatting sqref="O27:O30">
    <cfRule type="dataBar" priority="319">
      <dataBar>
        <cfvo type="min"/>
        <cfvo type="max"/>
        <color rgb="FF63C384"/>
      </dataBar>
      <extLst>
        <ext xmlns:x14="http://schemas.microsoft.com/office/spreadsheetml/2009/9/main" uri="{B025F937-C7B1-47D3-B67F-A62EFF666E3E}">
          <x14:id>{F3BCEAD8-5984-4E98-9E5D-06302B668B7F}</x14:id>
        </ext>
      </extLst>
    </cfRule>
  </conditionalFormatting>
  <conditionalFormatting sqref="P11:P12">
    <cfRule type="dataBar" priority="250">
      <dataBar>
        <cfvo type="min"/>
        <cfvo type="max"/>
        <color rgb="FF63C384"/>
      </dataBar>
      <extLst>
        <ext xmlns:x14="http://schemas.microsoft.com/office/spreadsheetml/2009/9/main" uri="{B025F937-C7B1-47D3-B67F-A62EFF666E3E}">
          <x14:id>{BA11135A-0895-4A01-87D0-A486C9D5843C}</x14:id>
        </ext>
      </extLst>
    </cfRule>
  </conditionalFormatting>
  <conditionalFormatting sqref="P18:P21">
    <cfRule type="dataBar" priority="299">
      <dataBar>
        <cfvo type="min"/>
        <cfvo type="max"/>
        <color rgb="FF63C384"/>
      </dataBar>
      <extLst>
        <ext xmlns:x14="http://schemas.microsoft.com/office/spreadsheetml/2009/9/main" uri="{B025F937-C7B1-47D3-B67F-A62EFF666E3E}">
          <x14:id>{00154FAC-2C70-4EF2-A308-BA8404420986}</x14:id>
        </ext>
      </extLst>
    </cfRule>
  </conditionalFormatting>
  <conditionalFormatting sqref="P27:P30">
    <cfRule type="dataBar" priority="320">
      <dataBar>
        <cfvo type="min"/>
        <cfvo type="max"/>
        <color rgb="FF63C384"/>
      </dataBar>
      <extLst>
        <ext xmlns:x14="http://schemas.microsoft.com/office/spreadsheetml/2009/9/main" uri="{B025F937-C7B1-47D3-B67F-A62EFF666E3E}">
          <x14:id>{85FA8579-5B7F-45F3-98E7-F5803B202EC1}</x14:id>
        </ext>
      </extLst>
    </cfRule>
  </conditionalFormatting>
  <conditionalFormatting sqref="P32">
    <cfRule type="dataBar" priority="126">
      <dataBar>
        <cfvo type="min"/>
        <cfvo type="max"/>
        <color rgb="FF63C384"/>
      </dataBar>
      <extLst>
        <ext xmlns:x14="http://schemas.microsoft.com/office/spreadsheetml/2009/9/main" uri="{B025F937-C7B1-47D3-B67F-A62EFF666E3E}">
          <x14:id>{98D88D39-23B2-4790-9525-A56AF2F08BE8}</x14:id>
        </ext>
      </extLst>
    </cfRule>
    <cfRule type="dataBar" priority="127">
      <dataBar>
        <cfvo type="min"/>
        <cfvo type="max"/>
        <color rgb="FF63C384"/>
      </dataBar>
      <extLst>
        <ext xmlns:x14="http://schemas.microsoft.com/office/spreadsheetml/2009/9/main" uri="{B025F937-C7B1-47D3-B67F-A62EFF666E3E}">
          <x14:id>{36C8180B-F3F5-4A14-891D-85B537C33178}</x14:id>
        </ext>
      </extLst>
    </cfRule>
    <cfRule type="dataBar" priority="128">
      <dataBar>
        <cfvo type="min"/>
        <cfvo type="max"/>
        <color rgb="FF63C384"/>
      </dataBar>
      <extLst>
        <ext xmlns:x14="http://schemas.microsoft.com/office/spreadsheetml/2009/9/main" uri="{B025F937-C7B1-47D3-B67F-A62EFF666E3E}">
          <x14:id>{E1EAAE6C-0124-44D2-83BD-F51D7D52635D}</x14:id>
        </ext>
      </extLst>
    </cfRule>
    <cfRule type="dataBar" priority="123">
      <dataBar>
        <cfvo type="min"/>
        <cfvo type="max"/>
        <color rgb="FF63C384"/>
      </dataBar>
      <extLst>
        <ext xmlns:x14="http://schemas.microsoft.com/office/spreadsheetml/2009/9/main" uri="{B025F937-C7B1-47D3-B67F-A62EFF666E3E}">
          <x14:id>{74767E5A-7897-40B6-9AED-7F78E877E358}</x14:id>
        </ext>
      </extLst>
    </cfRule>
    <cfRule type="dataBar" priority="125">
      <dataBar>
        <cfvo type="min"/>
        <cfvo type="max"/>
        <color rgb="FF63C384"/>
      </dataBar>
      <extLst>
        <ext xmlns:x14="http://schemas.microsoft.com/office/spreadsheetml/2009/9/main" uri="{B025F937-C7B1-47D3-B67F-A62EFF666E3E}">
          <x14:id>{19703D07-3B11-4C3D-8D30-33A7F3E90CFB}</x14:id>
        </ext>
      </extLst>
    </cfRule>
    <cfRule type="dataBar" priority="124">
      <dataBar>
        <cfvo type="min"/>
        <cfvo type="max"/>
        <color rgb="FF63C384"/>
      </dataBar>
      <extLst>
        <ext xmlns:x14="http://schemas.microsoft.com/office/spreadsheetml/2009/9/main" uri="{B025F937-C7B1-47D3-B67F-A62EFF666E3E}">
          <x14:id>{5490A457-F862-452B-A2B2-F5525F0A9F2E}</x14:id>
        </ext>
      </extLst>
    </cfRule>
  </conditionalFormatting>
  <conditionalFormatting sqref="Q1048541:T1048544">
    <cfRule type="dataBar" priority="101">
      <dataBar>
        <cfvo type="min"/>
        <cfvo type="max"/>
        <color rgb="FF63C384"/>
      </dataBar>
      <extLst>
        <ext xmlns:x14="http://schemas.microsoft.com/office/spreadsheetml/2009/9/main" uri="{B025F937-C7B1-47D3-B67F-A62EFF666E3E}">
          <x14:id>{793C8F01-AA46-4D72-9991-2892EFFA9E6C}</x14:id>
        </ext>
      </extLst>
    </cfRule>
    <cfRule type="dataBar" priority="102">
      <dataBar>
        <cfvo type="min"/>
        <cfvo type="max"/>
        <color rgb="FF63C384"/>
      </dataBar>
      <extLst>
        <ext xmlns:x14="http://schemas.microsoft.com/office/spreadsheetml/2009/9/main" uri="{B025F937-C7B1-47D3-B67F-A62EFF666E3E}">
          <x14:id>{8CAF00D7-7689-4E44-A001-A2392E40A2D6}</x14:id>
        </ext>
      </extLst>
    </cfRule>
  </conditionalFormatting>
  <conditionalFormatting sqref="U1048541:U1048544 W1048541:X1048544">
    <cfRule type="dataBar" priority="100">
      <dataBar>
        <cfvo type="min"/>
        <cfvo type="max"/>
        <color rgb="FF63C384"/>
      </dataBar>
      <extLst>
        <ext xmlns:x14="http://schemas.microsoft.com/office/spreadsheetml/2009/9/main" uri="{B025F937-C7B1-47D3-B67F-A62EFF666E3E}">
          <x14:id>{B6F9BAAC-3AA4-4B10-BF83-D9DC865CF608}</x14:id>
        </ext>
      </extLst>
    </cfRule>
    <cfRule type="dataBar" priority="99">
      <dataBar>
        <cfvo type="min"/>
        <cfvo type="max"/>
        <color rgb="FF63C384"/>
      </dataBar>
      <extLst>
        <ext xmlns:x14="http://schemas.microsoft.com/office/spreadsheetml/2009/9/main" uri="{B025F937-C7B1-47D3-B67F-A62EFF666E3E}">
          <x14:id>{575BC555-96FE-4419-8646-556B5217F30D}</x14:id>
        </ext>
      </extLst>
    </cfRule>
  </conditionalFormatting>
  <conditionalFormatting sqref="V1048541:V1048544">
    <cfRule type="dataBar" priority="96">
      <dataBar>
        <cfvo type="min"/>
        <cfvo type="max"/>
        <color rgb="FF63C384"/>
      </dataBar>
      <extLst>
        <ext xmlns:x14="http://schemas.microsoft.com/office/spreadsheetml/2009/9/main" uri="{B025F937-C7B1-47D3-B67F-A62EFF666E3E}">
          <x14:id>{0DCFE0CF-C1A4-4E36-B487-CEFD248251D2}</x14:id>
        </ext>
      </extLst>
    </cfRule>
    <cfRule type="dataBar" priority="95">
      <dataBar>
        <cfvo type="min"/>
        <cfvo type="max"/>
        <color rgb="FF63C384"/>
      </dataBar>
      <extLst>
        <ext xmlns:x14="http://schemas.microsoft.com/office/spreadsheetml/2009/9/main" uri="{B025F937-C7B1-47D3-B67F-A62EFF666E3E}">
          <x14:id>{4F1AC2F2-6D07-491C-9805-8122381788FD}</x14:id>
        </ext>
      </extLst>
    </cfRule>
  </conditionalFormatting>
  <conditionalFormatting sqref="Y1048541:AB1048544">
    <cfRule type="dataBar" priority="98">
      <dataBar>
        <cfvo type="min"/>
        <cfvo type="max"/>
        <color rgb="FF63C384"/>
      </dataBar>
      <extLst>
        <ext xmlns:x14="http://schemas.microsoft.com/office/spreadsheetml/2009/9/main" uri="{B025F937-C7B1-47D3-B67F-A62EFF666E3E}">
          <x14:id>{DD2DF4FD-5538-4B2D-9B28-57DA70E28822}</x14:id>
        </ext>
      </extLst>
    </cfRule>
    <cfRule type="dataBar" priority="97">
      <dataBar>
        <cfvo type="min"/>
        <cfvo type="max"/>
        <color rgb="FF63C384"/>
      </dataBar>
      <extLst>
        <ext xmlns:x14="http://schemas.microsoft.com/office/spreadsheetml/2009/9/main" uri="{B025F937-C7B1-47D3-B67F-A62EFF666E3E}">
          <x14:id>{5E4B4E49-6DD9-4E83-9F17-B14F2E6CAAD5}</x14:id>
        </ext>
      </extLst>
    </cfRule>
  </conditionalFormatting>
  <hyperlinks>
    <hyperlink ref="B48:C48" r:id="rId1" display="Mordor intelligence" xr:uid="{D6A496BE-A862-45C9-95B5-989B59750076}"/>
    <hyperlink ref="B49:C49" r:id="rId2" display="Global Retail Market" xr:uid="{C36EF5A2-B919-4B0A-A8A4-A597012C87FC}"/>
    <hyperlink ref="B50:C50" r:id="rId3" display="Verified Market Research" xr:uid="{96855C8A-6E4F-4CB6-A935-F9A6D3233770}"/>
  </hyperlinks>
  <pageMargins left="0.75" right="0.75" top="1" bottom="1" header="0" footer="0"/>
  <pageSetup orientation="landscape" r:id="rId4"/>
  <headerFooter alignWithMargins="0"/>
  <drawing r:id="rId5"/>
  <legacyDrawing r:id="rId6"/>
  <extLst>
    <ext xmlns:x14="http://schemas.microsoft.com/office/spreadsheetml/2009/9/main" uri="{78C0D931-6437-407d-A8EE-F0AAD7539E65}">
      <x14:conditionalFormattings>
        <x14:conditionalFormatting xmlns:xm="http://schemas.microsoft.com/office/excel/2006/main">
          <x14:cfRule type="dataBar" id="{6E381EE6-DF6C-4880-BDC6-793A4FBC9886}">
            <x14:dataBar minLength="0" maxLength="100" border="1" negativeBarBorderColorSameAsPositive="0">
              <x14:cfvo type="autoMin"/>
              <x14:cfvo type="autoMax"/>
              <x14:borderColor rgb="FF638EC6"/>
              <x14:negativeFillColor rgb="FFFF0000"/>
              <x14:negativeBorderColor rgb="FFFF0000"/>
              <x14:axisColor rgb="FF000000"/>
            </x14:dataBar>
          </x14:cfRule>
          <xm:sqref>B5:B12</xm:sqref>
        </x14:conditionalFormatting>
        <x14:conditionalFormatting xmlns:xm="http://schemas.microsoft.com/office/excel/2006/main">
          <x14:cfRule type="dataBar" id="{070902CC-8EB6-43DB-B9AD-5811F17D394B}">
            <x14:dataBar minLength="0" maxLength="100" border="1" negativeBarBorderColorSameAsPositive="0">
              <x14:cfvo type="autoMin"/>
              <x14:cfvo type="autoMax"/>
              <x14:borderColor rgb="FF638EC6"/>
              <x14:negativeFillColor rgb="FFFF0000"/>
              <x14:negativeBorderColor rgb="FFFF0000"/>
              <x14:axisColor rgb="FF000000"/>
            </x14:dataBar>
          </x14:cfRule>
          <xm:sqref>B18:B21</xm:sqref>
        </x14:conditionalFormatting>
        <x14:conditionalFormatting xmlns:xm="http://schemas.microsoft.com/office/excel/2006/main">
          <x14:cfRule type="dataBar" id="{893466B0-E33E-4F3B-A84A-4BB795593CF2}">
            <x14:dataBar minLength="0" maxLength="100" border="1" negativeBarBorderColorSameAsPositive="0">
              <x14:cfvo type="autoMin"/>
              <x14:cfvo type="autoMax"/>
              <x14:borderColor rgb="FF638EC6"/>
              <x14:negativeFillColor rgb="FFFF0000"/>
              <x14:negativeBorderColor rgb="FFFF0000"/>
              <x14:axisColor rgb="FF000000"/>
            </x14:dataBar>
          </x14:cfRule>
          <xm:sqref>B27:B30</xm:sqref>
        </x14:conditionalFormatting>
        <x14:conditionalFormatting xmlns:xm="http://schemas.microsoft.com/office/excel/2006/main">
          <x14:cfRule type="dataBar" id="{137B0609-FF6A-4C21-8139-903F4019D8E1}">
            <x14:dataBar minLength="0" maxLength="100" border="1" negativeBarBorderColorSameAsPositive="0">
              <x14:cfvo type="autoMin"/>
              <x14:cfvo type="autoMax"/>
              <x14:borderColor rgb="FF638EC6"/>
              <x14:negativeFillColor rgb="FFFF0000"/>
              <x14:negativeBorderColor rgb="FFFF0000"/>
              <x14:axisColor rgb="FF000000"/>
            </x14:dataBar>
          </x14:cfRule>
          <xm:sqref>B62:B67</xm:sqref>
        </x14:conditionalFormatting>
        <x14:conditionalFormatting xmlns:xm="http://schemas.microsoft.com/office/excel/2006/main">
          <x14:cfRule type="dataBar" id="{C6BB11AA-3A12-43B0-8975-1AF81D011726}">
            <x14:dataBar minLength="0" maxLength="100" border="1" negativeBarBorderColorSameAsPositive="0">
              <x14:cfvo type="autoMin"/>
              <x14:cfvo type="autoMax"/>
              <x14:borderColor rgb="FF638EC6"/>
              <x14:negativeFillColor rgb="FFFF0000"/>
              <x14:negativeBorderColor rgb="FFFF0000"/>
              <x14:axisColor rgb="FF000000"/>
            </x14:dataBar>
          </x14:cfRule>
          <xm:sqref>B71:B75</xm:sqref>
        </x14:conditionalFormatting>
        <x14:conditionalFormatting xmlns:xm="http://schemas.microsoft.com/office/excel/2006/main">
          <x14:cfRule type="dataBar" id="{EF44F355-05BB-42E9-A917-D355F7E9EE63}">
            <x14:dataBar minLength="0" maxLength="100" border="1" negativeBarBorderColorSameAsPositive="0">
              <x14:cfvo type="autoMin"/>
              <x14:cfvo type="autoMax"/>
              <x14:borderColor rgb="FF638EC6"/>
              <x14:negativeFillColor rgb="FFFF0000"/>
              <x14:negativeBorderColor rgb="FFFF0000"/>
              <x14:axisColor rgb="FF000000"/>
            </x14:dataBar>
          </x14:cfRule>
          <xm:sqref>B76</xm:sqref>
        </x14:conditionalFormatting>
        <x14:conditionalFormatting xmlns:xm="http://schemas.microsoft.com/office/excel/2006/main">
          <x14:cfRule type="dataBar" id="{60FE3703-6151-403D-8D41-5BCF3142D5C7}">
            <x14:dataBar minLength="0" maxLength="100" border="1" negativeBarBorderColorSameAsPositive="0">
              <x14:cfvo type="autoMin"/>
              <x14:cfvo type="autoMax"/>
              <x14:borderColor rgb="FF638EC6"/>
              <x14:negativeFillColor rgb="FFFF0000"/>
              <x14:negativeBorderColor rgb="FFFF0000"/>
              <x14:axisColor rgb="FF000000"/>
            </x14:dataBar>
          </x14:cfRule>
          <xm:sqref>B80:B84</xm:sqref>
        </x14:conditionalFormatting>
        <x14:conditionalFormatting xmlns:xm="http://schemas.microsoft.com/office/excel/2006/main">
          <x14:cfRule type="dataBar" id="{F4498451-3D9D-456E-B9B4-8A1E391DF3B0}">
            <x14:dataBar minLength="0" maxLength="100" border="1" negativeBarBorderColorSameAsPositive="0">
              <x14:cfvo type="autoMin"/>
              <x14:cfvo type="autoMax"/>
              <x14:borderColor rgb="FF638EC6"/>
              <x14:negativeFillColor rgb="FFFF0000"/>
              <x14:negativeBorderColor rgb="FFFF0000"/>
              <x14:axisColor rgb="FF000000"/>
            </x14:dataBar>
          </x14:cfRule>
          <xm:sqref>B91:B96</xm:sqref>
        </x14:conditionalFormatting>
        <x14:conditionalFormatting xmlns:xm="http://schemas.microsoft.com/office/excel/2006/main">
          <x14:cfRule type="dataBar" id="{E8546D1F-60D3-47D7-8380-BD9EC31CD4C0}">
            <x14:dataBar minLength="0" maxLength="100" border="1" negativeBarBorderColorSameAsPositive="0">
              <x14:cfvo type="autoMin"/>
              <x14:cfvo type="autoMax"/>
              <x14:borderColor rgb="FF638EC6"/>
              <x14:negativeFillColor rgb="FFFF0000"/>
              <x14:negativeBorderColor rgb="FFFF0000"/>
              <x14:axisColor rgb="FF000000"/>
            </x14:dataBar>
          </x14:cfRule>
          <xm:sqref>C1048541:C1048544</xm:sqref>
        </x14:conditionalFormatting>
        <x14:conditionalFormatting xmlns:xm="http://schemas.microsoft.com/office/excel/2006/main">
          <x14:cfRule type="dataBar" id="{767D33FE-8570-4B26-81B7-5505E2A08A62}">
            <x14:dataBar minLength="0" maxLength="100" gradient="0">
              <x14:cfvo type="autoMin"/>
              <x14:cfvo type="autoMax"/>
              <x14:negativeFillColor rgb="FFFF0000"/>
              <x14:axisColor rgb="FF000000"/>
            </x14:dataBar>
          </x14:cfRule>
          <xm:sqref>D5:D12</xm:sqref>
        </x14:conditionalFormatting>
        <x14:conditionalFormatting xmlns:xm="http://schemas.microsoft.com/office/excel/2006/main">
          <x14:cfRule type="dataBar" id="{3F107DCC-63A1-497B-B919-528218A545C1}">
            <x14:dataBar minLength="0" maxLength="100" gradient="0">
              <x14:cfvo type="autoMin"/>
              <x14:cfvo type="autoMax"/>
              <x14:negativeFillColor rgb="FFFF0000"/>
              <x14:axisColor rgb="FF000000"/>
            </x14:dataBar>
          </x14:cfRule>
          <xm:sqref>D18:D21</xm:sqref>
        </x14:conditionalFormatting>
        <x14:conditionalFormatting xmlns:xm="http://schemas.microsoft.com/office/excel/2006/main">
          <x14:cfRule type="dataBar" id="{44C8FB28-CDC7-42C2-A7E9-5B76BA56A921}">
            <x14:dataBar minLength="0" maxLength="100" gradient="0">
              <x14:cfvo type="autoMin"/>
              <x14:cfvo type="autoMax"/>
              <x14:negativeFillColor rgb="FFFF0000"/>
              <x14:axisColor rgb="FF000000"/>
            </x14:dataBar>
          </x14:cfRule>
          <xm:sqref>D27:D30</xm:sqref>
        </x14:conditionalFormatting>
        <x14:conditionalFormatting xmlns:xm="http://schemas.microsoft.com/office/excel/2006/main">
          <x14:cfRule type="dataBar" id="{F1E36443-D772-4760-B32F-F0FEF5818CB7}">
            <x14:dataBar minLength="0" maxLength="100" gradient="0">
              <x14:cfvo type="autoMin"/>
              <x14:cfvo type="autoMax"/>
              <x14:negativeFillColor rgb="FFFF0000"/>
              <x14:axisColor rgb="FF000000"/>
            </x14:dataBar>
          </x14:cfRule>
          <xm:sqref>D62:D65</xm:sqref>
        </x14:conditionalFormatting>
        <x14:conditionalFormatting xmlns:xm="http://schemas.microsoft.com/office/excel/2006/main">
          <x14:cfRule type="dataBar" id="{BEC1EEAD-68C2-481F-82B0-EF07AE42DE6B}">
            <x14:dataBar minLength="0" maxLength="100" gradient="0">
              <x14:cfvo type="autoMin"/>
              <x14:cfvo type="autoMax"/>
              <x14:negativeFillColor rgb="FFFF0000"/>
              <x14:axisColor rgb="FF000000"/>
            </x14:dataBar>
          </x14:cfRule>
          <xm:sqref>D71:D74</xm:sqref>
        </x14:conditionalFormatting>
        <x14:conditionalFormatting xmlns:xm="http://schemas.microsoft.com/office/excel/2006/main">
          <x14:cfRule type="dataBar" id="{C04388EF-9D15-4785-B620-80AF2BD6CAD6}">
            <x14:dataBar minLength="0" maxLength="100" gradient="0">
              <x14:cfvo type="autoMin"/>
              <x14:cfvo type="autoMax"/>
              <x14:negativeFillColor rgb="FFFF0000"/>
              <x14:axisColor rgb="FF000000"/>
            </x14:dataBar>
          </x14:cfRule>
          <xm:sqref>D80:D83</xm:sqref>
        </x14:conditionalFormatting>
        <x14:conditionalFormatting xmlns:xm="http://schemas.microsoft.com/office/excel/2006/main">
          <x14:cfRule type="dataBar" id="{30B230CD-8578-4F54-9DE2-D0703B5E620F}">
            <x14:dataBar minLength="0" maxLength="100" gradient="0">
              <x14:cfvo type="autoMin"/>
              <x14:cfvo type="autoMax"/>
              <x14:negativeFillColor rgb="FFFF0000"/>
              <x14:axisColor rgb="FF000000"/>
            </x14:dataBar>
          </x14:cfRule>
          <xm:sqref>D91:D95</xm:sqref>
        </x14:conditionalFormatting>
        <x14:conditionalFormatting xmlns:xm="http://schemas.microsoft.com/office/excel/2006/main">
          <x14:cfRule type="dataBar" id="{83BDDF4E-0A7D-4B3E-A60B-AD52AC0FFA68}">
            <x14:dataBar minLength="0" maxLength="100" gradient="0">
              <x14:cfvo type="autoMin"/>
              <x14:cfvo type="autoMax"/>
              <x14:negativeFillColor rgb="FFFF0000"/>
              <x14:axisColor rgb="FF000000"/>
            </x14:dataBar>
          </x14:cfRule>
          <xm:sqref>D5:I10</xm:sqref>
        </x14:conditionalFormatting>
        <x14:conditionalFormatting xmlns:xm="http://schemas.microsoft.com/office/excel/2006/main">
          <x14:cfRule type="dataBar" id="{5BBC426E-7FA9-4F5C-AC78-B3996BA8F931}">
            <x14:dataBar minLength="0" maxLength="100" gradient="0">
              <x14:cfvo type="autoMin"/>
              <x14:cfvo type="autoMax"/>
              <x14:negativeFillColor rgb="FFFF0000"/>
              <x14:axisColor rgb="FF000000"/>
            </x14:dataBar>
          </x14:cfRule>
          <xm:sqref>D18:I21</xm:sqref>
        </x14:conditionalFormatting>
        <x14:conditionalFormatting xmlns:xm="http://schemas.microsoft.com/office/excel/2006/main">
          <x14:cfRule type="dataBar" id="{03E9C9E0-4192-4F76-A8AE-5D7D9D7BDB45}">
            <x14:dataBar minLength="0" maxLength="100" gradient="0">
              <x14:cfvo type="autoMin"/>
              <x14:cfvo type="autoMax"/>
              <x14:negativeFillColor rgb="FFFF0000"/>
              <x14:axisColor rgb="FF000000"/>
            </x14:dataBar>
          </x14:cfRule>
          <xm:sqref>D27:I30</xm:sqref>
        </x14:conditionalFormatting>
        <x14:conditionalFormatting xmlns:xm="http://schemas.microsoft.com/office/excel/2006/main">
          <x14:cfRule type="dataBar" id="{6FBCF6C6-F83A-4305-BFB7-2147BA29D1CE}">
            <x14:dataBar minLength="0" maxLength="100" gradient="0">
              <x14:cfvo type="autoMin"/>
              <x14:cfvo type="autoMax"/>
              <x14:negativeFillColor rgb="FFFF0000"/>
              <x14:axisColor rgb="FF000000"/>
            </x14:dataBar>
          </x14:cfRule>
          <xm:sqref>D62:I65 I67</xm:sqref>
        </x14:conditionalFormatting>
        <x14:conditionalFormatting xmlns:xm="http://schemas.microsoft.com/office/excel/2006/main">
          <x14:cfRule type="dataBar" id="{7DF54E24-CFDC-47CC-BEB5-3FB632822D98}">
            <x14:dataBar minLength="0" maxLength="100" gradient="0">
              <x14:cfvo type="autoMin"/>
              <x14:cfvo type="autoMax"/>
              <x14:negativeFillColor rgb="FFFF0000"/>
              <x14:axisColor rgb="FF000000"/>
            </x14:dataBar>
          </x14:cfRule>
          <xm:sqref>D71:I74</xm:sqref>
        </x14:conditionalFormatting>
        <x14:conditionalFormatting xmlns:xm="http://schemas.microsoft.com/office/excel/2006/main">
          <x14:cfRule type="dataBar" id="{BD9DD1B0-EAED-4527-9563-706278CE83A3}">
            <x14:dataBar minLength="0" maxLength="100" gradient="0">
              <x14:cfvo type="autoMin"/>
              <x14:cfvo type="autoMax"/>
              <x14:negativeFillColor rgb="FFFF0000"/>
              <x14:axisColor rgb="FF000000"/>
            </x14:dataBar>
          </x14:cfRule>
          <xm:sqref>D80:I83</xm:sqref>
        </x14:conditionalFormatting>
        <x14:conditionalFormatting xmlns:xm="http://schemas.microsoft.com/office/excel/2006/main">
          <x14:cfRule type="dataBar" id="{E1DA33FA-33A8-4307-A4F3-AF385A579CA2}">
            <x14:dataBar minLength="0" maxLength="100" gradient="0">
              <x14:cfvo type="autoMin"/>
              <x14:cfvo type="autoMax"/>
              <x14:negativeFillColor rgb="FFFF0000"/>
              <x14:axisColor rgb="FF000000"/>
            </x14:dataBar>
          </x14:cfRule>
          <xm:sqref>D91:L95</xm:sqref>
        </x14:conditionalFormatting>
        <x14:conditionalFormatting xmlns:xm="http://schemas.microsoft.com/office/excel/2006/main">
          <x14:cfRule type="dataBar" id="{740A2B96-C6E5-4177-AC04-9573B81E30EC}">
            <x14:dataBar minLength="0" maxLength="100" gradient="0">
              <x14:cfvo type="autoMin"/>
              <x14:cfvo type="autoMax"/>
              <x14:negativeFillColor rgb="FFFF0000"/>
              <x14:axisColor rgb="FF000000"/>
            </x14:dataBar>
          </x14:cfRule>
          <xm:sqref>E5:E12</xm:sqref>
        </x14:conditionalFormatting>
        <x14:conditionalFormatting xmlns:xm="http://schemas.microsoft.com/office/excel/2006/main">
          <x14:cfRule type="dataBar" id="{5AA7A103-2149-42E1-9BBB-48A01258D43D}">
            <x14:dataBar minLength="0" maxLength="100" gradient="0">
              <x14:cfvo type="autoMin"/>
              <x14:cfvo type="autoMax"/>
              <x14:negativeFillColor rgb="FFFF0000"/>
              <x14:axisColor rgb="FF000000"/>
            </x14:dataBar>
          </x14:cfRule>
          <xm:sqref>E18:E21</xm:sqref>
        </x14:conditionalFormatting>
        <x14:conditionalFormatting xmlns:xm="http://schemas.microsoft.com/office/excel/2006/main">
          <x14:cfRule type="dataBar" id="{1BB3D441-09F4-43BD-AF9E-6479C064EA93}">
            <x14:dataBar minLength="0" maxLength="100" gradient="0">
              <x14:cfvo type="autoMin"/>
              <x14:cfvo type="autoMax"/>
              <x14:negativeFillColor rgb="FFFF0000"/>
              <x14:axisColor rgb="FF000000"/>
            </x14:dataBar>
          </x14:cfRule>
          <xm:sqref>E27:E30</xm:sqref>
        </x14:conditionalFormatting>
        <x14:conditionalFormatting xmlns:xm="http://schemas.microsoft.com/office/excel/2006/main">
          <x14:cfRule type="dataBar" id="{638414AA-5F3D-4DB1-A4A4-56C14EB212ED}">
            <x14:dataBar minLength="0" maxLength="100" gradient="0">
              <x14:cfvo type="autoMin"/>
              <x14:cfvo type="autoMax"/>
              <x14:negativeFillColor rgb="FFFF0000"/>
              <x14:axisColor rgb="FF000000"/>
            </x14:dataBar>
          </x14:cfRule>
          <xm:sqref>E62:E65</xm:sqref>
        </x14:conditionalFormatting>
        <x14:conditionalFormatting xmlns:xm="http://schemas.microsoft.com/office/excel/2006/main">
          <x14:cfRule type="dataBar" id="{79B1C1A3-AE44-4494-9481-CAB14CCA34B2}">
            <x14:dataBar minLength="0" maxLength="100" gradient="0">
              <x14:cfvo type="autoMin"/>
              <x14:cfvo type="autoMax"/>
              <x14:negativeFillColor rgb="FFFF0000"/>
              <x14:axisColor rgb="FF000000"/>
            </x14:dataBar>
          </x14:cfRule>
          <xm:sqref>E71:E74</xm:sqref>
        </x14:conditionalFormatting>
        <x14:conditionalFormatting xmlns:xm="http://schemas.microsoft.com/office/excel/2006/main">
          <x14:cfRule type="dataBar" id="{4390F163-57C8-46E6-909E-74B6F3166BE8}">
            <x14:dataBar minLength="0" maxLength="100" gradient="0">
              <x14:cfvo type="autoMin"/>
              <x14:cfvo type="autoMax"/>
              <x14:negativeFillColor rgb="FFFF0000"/>
              <x14:axisColor rgb="FF000000"/>
            </x14:dataBar>
          </x14:cfRule>
          <xm:sqref>E80:E83</xm:sqref>
        </x14:conditionalFormatting>
        <x14:conditionalFormatting xmlns:xm="http://schemas.microsoft.com/office/excel/2006/main">
          <x14:cfRule type="dataBar" id="{920622FC-A015-428C-9AE6-3F08426A6E7D}">
            <x14:dataBar minLength="0" maxLength="100" gradient="0">
              <x14:cfvo type="autoMin"/>
              <x14:cfvo type="autoMax"/>
              <x14:negativeFillColor rgb="FFFF0000"/>
              <x14:axisColor rgb="FF000000"/>
            </x14:dataBar>
          </x14:cfRule>
          <xm:sqref>E91:E95</xm:sqref>
        </x14:conditionalFormatting>
        <x14:conditionalFormatting xmlns:xm="http://schemas.microsoft.com/office/excel/2006/main">
          <x14:cfRule type="dataBar" id="{9D845DEE-1E11-4511-A83B-F1F262F86CC8}">
            <x14:dataBar minLength="0" maxLength="100" gradient="0">
              <x14:cfvo type="autoMin"/>
              <x14:cfvo type="autoMax"/>
              <x14:negativeFillColor rgb="FFFF0000"/>
              <x14:axisColor rgb="FF000000"/>
            </x14:dataBar>
          </x14:cfRule>
          <xm:sqref>E1048541:H1048544</xm:sqref>
        </x14:conditionalFormatting>
        <x14:conditionalFormatting xmlns:xm="http://schemas.microsoft.com/office/excel/2006/main">
          <x14:cfRule type="dataBar" id="{5EFE30C4-0901-404E-9108-731E3BE4821E}">
            <x14:dataBar minLength="0" maxLength="100" gradient="0">
              <x14:cfvo type="autoMin"/>
              <x14:cfvo type="autoMax"/>
              <x14:negativeFillColor rgb="FFFF0000"/>
              <x14:axisColor rgb="FF000000"/>
            </x14:dataBar>
          </x14:cfRule>
          <xm:sqref>F5:F12</xm:sqref>
        </x14:conditionalFormatting>
        <x14:conditionalFormatting xmlns:xm="http://schemas.microsoft.com/office/excel/2006/main">
          <x14:cfRule type="dataBar" id="{5EE1521A-2483-44CA-9CCA-E5FC63E6246F}">
            <x14:dataBar minLength="0" maxLength="100" gradient="0">
              <x14:cfvo type="autoMin"/>
              <x14:cfvo type="autoMax"/>
              <x14:negativeFillColor rgb="FFFF0000"/>
              <x14:axisColor rgb="FF000000"/>
            </x14:dataBar>
          </x14:cfRule>
          <xm:sqref>F18:F21</xm:sqref>
        </x14:conditionalFormatting>
        <x14:conditionalFormatting xmlns:xm="http://schemas.microsoft.com/office/excel/2006/main">
          <x14:cfRule type="dataBar" id="{DAFE1B54-5F5D-437D-95B6-756FB3DA9EB0}">
            <x14:dataBar minLength="0" maxLength="100" gradient="0">
              <x14:cfvo type="autoMin"/>
              <x14:cfvo type="autoMax"/>
              <x14:negativeFillColor rgb="FFFF0000"/>
              <x14:axisColor rgb="FF000000"/>
            </x14:dataBar>
          </x14:cfRule>
          <xm:sqref>F27:F30</xm:sqref>
        </x14:conditionalFormatting>
        <x14:conditionalFormatting xmlns:xm="http://schemas.microsoft.com/office/excel/2006/main">
          <x14:cfRule type="dataBar" id="{F44CF08E-483B-47DC-81EC-970C862E0F9C}">
            <x14:dataBar minLength="0" maxLength="100" gradient="0">
              <x14:cfvo type="autoMin"/>
              <x14:cfvo type="autoMax"/>
              <x14:negativeFillColor rgb="FFFF0000"/>
              <x14:axisColor rgb="FF000000"/>
            </x14:dataBar>
          </x14:cfRule>
          <xm:sqref>F62:F65</xm:sqref>
        </x14:conditionalFormatting>
        <x14:conditionalFormatting xmlns:xm="http://schemas.microsoft.com/office/excel/2006/main">
          <x14:cfRule type="dataBar" id="{3EFA2C8E-C22D-4EE2-9804-6740AE21CC7E}">
            <x14:dataBar minLength="0" maxLength="100" gradient="0">
              <x14:cfvo type="autoMin"/>
              <x14:cfvo type="autoMax"/>
              <x14:negativeFillColor rgb="FFFF0000"/>
              <x14:axisColor rgb="FF000000"/>
            </x14:dataBar>
          </x14:cfRule>
          <xm:sqref>F71:F74</xm:sqref>
        </x14:conditionalFormatting>
        <x14:conditionalFormatting xmlns:xm="http://schemas.microsoft.com/office/excel/2006/main">
          <x14:cfRule type="dataBar" id="{45010B2F-798B-4AA2-AC06-72D5D35CA6E1}">
            <x14:dataBar minLength="0" maxLength="100" gradient="0">
              <x14:cfvo type="autoMin"/>
              <x14:cfvo type="autoMax"/>
              <x14:negativeFillColor rgb="FFFF0000"/>
              <x14:axisColor rgb="FF000000"/>
            </x14:dataBar>
          </x14:cfRule>
          <xm:sqref>F80:F83</xm:sqref>
        </x14:conditionalFormatting>
        <x14:conditionalFormatting xmlns:xm="http://schemas.microsoft.com/office/excel/2006/main">
          <x14:cfRule type="dataBar" id="{B5B525FB-0F45-4C44-A87E-EC0642932A07}">
            <x14:dataBar minLength="0" maxLength="100" gradient="0">
              <x14:cfvo type="autoMin"/>
              <x14:cfvo type="autoMax"/>
              <x14:negativeFillColor rgb="FFFF0000"/>
              <x14:axisColor rgb="FF000000"/>
            </x14:dataBar>
          </x14:cfRule>
          <xm:sqref>F91:F95</xm:sqref>
        </x14:conditionalFormatting>
        <x14:conditionalFormatting xmlns:xm="http://schemas.microsoft.com/office/excel/2006/main">
          <x14:cfRule type="dataBar" id="{A1F44ECC-EF2B-4606-87E9-B7F443AC18BF}">
            <x14:dataBar minLength="0" maxLength="100" gradient="0">
              <x14:cfvo type="autoMin"/>
              <x14:cfvo type="autoMax"/>
              <x14:negativeFillColor rgb="FFFF0000"/>
              <x14:axisColor rgb="FF000000"/>
            </x14:dataBar>
          </x14:cfRule>
          <xm:sqref>G5:G12</xm:sqref>
        </x14:conditionalFormatting>
        <x14:conditionalFormatting xmlns:xm="http://schemas.microsoft.com/office/excel/2006/main">
          <x14:cfRule type="dataBar" id="{00DC50B7-1706-4DFB-A90F-9F95CB19CA6D}">
            <x14:dataBar minLength="0" maxLength="100" gradient="0">
              <x14:cfvo type="autoMin"/>
              <x14:cfvo type="autoMax"/>
              <x14:negativeFillColor rgb="FFFF0000"/>
              <x14:axisColor rgb="FF000000"/>
            </x14:dataBar>
          </x14:cfRule>
          <xm:sqref>G18:G21</xm:sqref>
        </x14:conditionalFormatting>
        <x14:conditionalFormatting xmlns:xm="http://schemas.microsoft.com/office/excel/2006/main">
          <x14:cfRule type="dataBar" id="{D8B74FD1-7701-4BC3-B5E5-72E82BF42A35}">
            <x14:dataBar minLength="0" maxLength="100" gradient="0">
              <x14:cfvo type="autoMin"/>
              <x14:cfvo type="autoMax"/>
              <x14:negativeFillColor rgb="FFFF0000"/>
              <x14:axisColor rgb="FF000000"/>
            </x14:dataBar>
          </x14:cfRule>
          <xm:sqref>G27:G30</xm:sqref>
        </x14:conditionalFormatting>
        <x14:conditionalFormatting xmlns:xm="http://schemas.microsoft.com/office/excel/2006/main">
          <x14:cfRule type="dataBar" id="{F40DD088-E0A5-48D8-A6FA-1FD629BD5C2A}">
            <x14:dataBar minLength="0" maxLength="100" gradient="0">
              <x14:cfvo type="autoMin"/>
              <x14:cfvo type="autoMax"/>
              <x14:negativeFillColor rgb="FFFF0000"/>
              <x14:axisColor rgb="FF000000"/>
            </x14:dataBar>
          </x14:cfRule>
          <xm:sqref>G62:G65</xm:sqref>
        </x14:conditionalFormatting>
        <x14:conditionalFormatting xmlns:xm="http://schemas.microsoft.com/office/excel/2006/main">
          <x14:cfRule type="dataBar" id="{D6A3FC1F-B64E-41AE-9236-0F547E5492C7}">
            <x14:dataBar minLength="0" maxLength="100" gradient="0">
              <x14:cfvo type="autoMin"/>
              <x14:cfvo type="autoMax"/>
              <x14:negativeFillColor rgb="FFFF0000"/>
              <x14:axisColor rgb="FF000000"/>
            </x14:dataBar>
          </x14:cfRule>
          <xm:sqref>G71:G74</xm:sqref>
        </x14:conditionalFormatting>
        <x14:conditionalFormatting xmlns:xm="http://schemas.microsoft.com/office/excel/2006/main">
          <x14:cfRule type="dataBar" id="{35475379-727E-49A8-B55E-9B8C2823EE78}">
            <x14:dataBar minLength="0" maxLength="100" gradient="0">
              <x14:cfvo type="autoMin"/>
              <x14:cfvo type="autoMax"/>
              <x14:negativeFillColor rgb="FFFF0000"/>
              <x14:axisColor rgb="FF000000"/>
            </x14:dataBar>
          </x14:cfRule>
          <xm:sqref>G80:G83</xm:sqref>
        </x14:conditionalFormatting>
        <x14:conditionalFormatting xmlns:xm="http://schemas.microsoft.com/office/excel/2006/main">
          <x14:cfRule type="dataBar" id="{FAC0F39E-D2BF-4B8B-9348-C229E1F215B8}">
            <x14:dataBar minLength="0" maxLength="100" gradient="0">
              <x14:cfvo type="autoMin"/>
              <x14:cfvo type="autoMax"/>
              <x14:negativeFillColor rgb="FFFF0000"/>
              <x14:axisColor rgb="FF000000"/>
            </x14:dataBar>
          </x14:cfRule>
          <xm:sqref>G91:G95</xm:sqref>
        </x14:conditionalFormatting>
        <x14:conditionalFormatting xmlns:xm="http://schemas.microsoft.com/office/excel/2006/main">
          <x14:cfRule type="dataBar" id="{4320827E-AAAF-46DA-9F47-1F13F9C2B2E6}">
            <x14:dataBar minLength="0" maxLength="100" gradient="0">
              <x14:cfvo type="autoMin"/>
              <x14:cfvo type="autoMax"/>
              <x14:negativeFillColor rgb="FFFF0000"/>
              <x14:axisColor rgb="FF000000"/>
            </x14:dataBar>
          </x14:cfRule>
          <xm:sqref>H5:H12</xm:sqref>
        </x14:conditionalFormatting>
        <x14:conditionalFormatting xmlns:xm="http://schemas.microsoft.com/office/excel/2006/main">
          <x14:cfRule type="dataBar" id="{EED505F4-1AE5-4E85-A25F-1DAC1EADC97D}">
            <x14:dataBar minLength="0" maxLength="100" gradient="0">
              <x14:cfvo type="autoMin"/>
              <x14:cfvo type="autoMax"/>
              <x14:negativeFillColor rgb="FFFF0000"/>
              <x14:axisColor rgb="FF000000"/>
            </x14:dataBar>
          </x14:cfRule>
          <xm:sqref>H18:H21</xm:sqref>
        </x14:conditionalFormatting>
        <x14:conditionalFormatting xmlns:xm="http://schemas.microsoft.com/office/excel/2006/main">
          <x14:cfRule type="dataBar" id="{914EA6F8-5DCE-4065-B98A-652627FCB49B}">
            <x14:dataBar minLength="0" maxLength="100" gradient="0">
              <x14:cfvo type="autoMin"/>
              <x14:cfvo type="autoMax"/>
              <x14:negativeFillColor rgb="FFFF0000"/>
              <x14:axisColor rgb="FF000000"/>
            </x14:dataBar>
          </x14:cfRule>
          <xm:sqref>H27:H30</xm:sqref>
        </x14:conditionalFormatting>
        <x14:conditionalFormatting xmlns:xm="http://schemas.microsoft.com/office/excel/2006/main">
          <x14:cfRule type="dataBar" id="{36BEC853-B443-4E64-BD5A-9CBCBFFCDA29}">
            <x14:dataBar minLength="0" maxLength="100" gradient="0">
              <x14:cfvo type="autoMin"/>
              <x14:cfvo type="autoMax"/>
              <x14:negativeFillColor rgb="FFFF0000"/>
              <x14:axisColor rgb="FF000000"/>
            </x14:dataBar>
          </x14:cfRule>
          <xm:sqref>H62:H65</xm:sqref>
        </x14:conditionalFormatting>
        <x14:conditionalFormatting xmlns:xm="http://schemas.microsoft.com/office/excel/2006/main">
          <x14:cfRule type="dataBar" id="{9562E324-EAA5-4E66-A52D-CC75EC64EAE2}">
            <x14:dataBar minLength="0" maxLength="100" gradient="0">
              <x14:cfvo type="autoMin"/>
              <x14:cfvo type="autoMax"/>
              <x14:negativeFillColor rgb="FFFF0000"/>
              <x14:axisColor rgb="FF000000"/>
            </x14:dataBar>
          </x14:cfRule>
          <xm:sqref>H91:H95</xm:sqref>
        </x14:conditionalFormatting>
        <x14:conditionalFormatting xmlns:xm="http://schemas.microsoft.com/office/excel/2006/main">
          <x14:cfRule type="dataBar" id="{BA21AD6B-70BD-46F6-8048-4689D3D631D8}">
            <x14:dataBar minLength="0" maxLength="100" gradient="0">
              <x14:cfvo type="autoMin"/>
              <x14:cfvo type="autoMax"/>
              <x14:negativeFillColor rgb="FFFF0000"/>
              <x14:axisColor rgb="FF000000"/>
            </x14:dataBar>
          </x14:cfRule>
          <xm:sqref>H71:I74</xm:sqref>
        </x14:conditionalFormatting>
        <x14:conditionalFormatting xmlns:xm="http://schemas.microsoft.com/office/excel/2006/main">
          <x14:cfRule type="dataBar" id="{7A9A54C0-5623-4BCD-80AF-FC2FE6F8A659}">
            <x14:dataBar minLength="0" maxLength="100" gradient="0">
              <x14:cfvo type="autoMin"/>
              <x14:cfvo type="autoMax"/>
              <x14:negativeFillColor rgb="FFFF0000"/>
              <x14:axisColor rgb="FF000000"/>
            </x14:dataBar>
          </x14:cfRule>
          <xm:sqref>H80:I83</xm:sqref>
        </x14:conditionalFormatting>
        <x14:conditionalFormatting xmlns:xm="http://schemas.microsoft.com/office/excel/2006/main">
          <x14:cfRule type="dataBar" id="{5091493A-8CC0-4646-874A-93DEE51CD4AB}">
            <x14:dataBar minLength="0" maxLength="100" gradient="0">
              <x14:cfvo type="autoMin"/>
              <x14:cfvo type="autoMax"/>
              <x14:negativeFillColor rgb="FFFF0000"/>
              <x14:axisColor rgb="FF000000"/>
            </x14:dataBar>
          </x14:cfRule>
          <xm:sqref>I5:I12</xm:sqref>
        </x14:conditionalFormatting>
        <x14:conditionalFormatting xmlns:xm="http://schemas.microsoft.com/office/excel/2006/main">
          <x14:cfRule type="dataBar" id="{A192D211-7CF8-4DE2-A7D7-7E84CEAE76AC}">
            <x14:dataBar minLength="0" maxLength="100" gradient="0">
              <x14:cfvo type="autoMin"/>
              <x14:cfvo type="autoMax"/>
              <x14:negativeFillColor rgb="FFFF0000"/>
              <x14:axisColor rgb="FF000000"/>
            </x14:dataBar>
          </x14:cfRule>
          <xm:sqref>I18:I21</xm:sqref>
        </x14:conditionalFormatting>
        <x14:conditionalFormatting xmlns:xm="http://schemas.microsoft.com/office/excel/2006/main">
          <x14:cfRule type="dataBar" id="{89871960-279D-49E3-AA52-A34AF6402557}">
            <x14:dataBar minLength="0" maxLength="100" gradient="0">
              <x14:cfvo type="autoMin"/>
              <x14:cfvo type="autoMax"/>
              <x14:negativeFillColor rgb="FFFF0000"/>
              <x14:axisColor rgb="FF000000"/>
            </x14:dataBar>
          </x14:cfRule>
          <xm:sqref>I27:I30</xm:sqref>
        </x14:conditionalFormatting>
        <x14:conditionalFormatting xmlns:xm="http://schemas.microsoft.com/office/excel/2006/main">
          <x14:cfRule type="dataBar" id="{21525251-7871-4CCB-B530-7367A18B2837}">
            <x14:dataBar minLength="0" maxLength="100" gradient="0">
              <x14:cfvo type="autoMin"/>
              <x14:cfvo type="autoMax"/>
              <x14:negativeFillColor rgb="FFFF0000"/>
              <x14:axisColor rgb="FF000000"/>
            </x14:dataBar>
          </x14:cfRule>
          <xm:sqref>I62:I65 I67</xm:sqref>
        </x14:conditionalFormatting>
        <x14:conditionalFormatting xmlns:xm="http://schemas.microsoft.com/office/excel/2006/main">
          <x14:cfRule type="dataBar" id="{B1834CD0-7D1A-450F-B706-09FF517C07F5}">
            <x14:dataBar minLength="0" maxLength="100" gradient="0">
              <x14:cfvo type="autoMin"/>
              <x14:cfvo type="autoMax"/>
              <x14:negativeFillColor rgb="FFFF0000"/>
              <x14:axisColor rgb="FF000000"/>
            </x14:dataBar>
          </x14:cfRule>
          <xm:sqref>I71:I74</xm:sqref>
        </x14:conditionalFormatting>
        <x14:conditionalFormatting xmlns:xm="http://schemas.microsoft.com/office/excel/2006/main">
          <x14:cfRule type="dataBar" id="{424B1211-CE5F-481B-BFA4-6EE381E9B210}">
            <x14:dataBar minLength="0" maxLength="100" gradient="0">
              <x14:cfvo type="autoMin"/>
              <x14:cfvo type="autoMax"/>
              <x14:negativeFillColor rgb="FFFF0000"/>
              <x14:axisColor rgb="FF000000"/>
            </x14:dataBar>
          </x14:cfRule>
          <xm:sqref>I76</xm:sqref>
        </x14:conditionalFormatting>
        <x14:conditionalFormatting xmlns:xm="http://schemas.microsoft.com/office/excel/2006/main">
          <x14:cfRule type="dataBar" id="{A1F06F07-060D-4430-A24A-C38073F65212}">
            <x14:dataBar minLength="0" maxLength="100" gradient="0">
              <x14:cfvo type="autoMin"/>
              <x14:cfvo type="autoMax"/>
              <x14:negativeFillColor rgb="FFFF0000"/>
              <x14:axisColor rgb="FF000000"/>
            </x14:dataBar>
          </x14:cfRule>
          <xm:sqref>I80:I83</xm:sqref>
        </x14:conditionalFormatting>
        <x14:conditionalFormatting xmlns:xm="http://schemas.microsoft.com/office/excel/2006/main">
          <x14:cfRule type="dataBar" id="{06CDC64F-FCE8-486B-86CE-7420A2CB970F}">
            <x14:dataBar minLength="0" maxLength="100" gradient="0">
              <x14:cfvo type="autoMin"/>
              <x14:cfvo type="autoMax"/>
              <x14:negativeFillColor rgb="FFFF0000"/>
              <x14:axisColor rgb="FF000000"/>
            </x14:dataBar>
          </x14:cfRule>
          <xm:sqref>I91:L95</xm:sqref>
        </x14:conditionalFormatting>
        <x14:conditionalFormatting xmlns:xm="http://schemas.microsoft.com/office/excel/2006/main">
          <x14:cfRule type="dataBar" id="{33D057A5-6F3E-43B0-85C5-0EEF53A658B6}">
            <x14:dataBar minLength="0" maxLength="100" gradient="0">
              <x14:cfvo type="autoMin"/>
              <x14:cfvo type="autoMax"/>
              <x14:negativeFillColor rgb="FFFF0000"/>
              <x14:axisColor rgb="FF000000"/>
            </x14:dataBar>
          </x14:cfRule>
          <x14:cfRule type="dataBar" id="{9189FEA5-6672-481F-84FD-5C8AFDAE6EFF}">
            <x14:dataBar minLength="0" maxLength="100" gradient="0">
              <x14:cfvo type="autoMin"/>
              <x14:cfvo type="autoMax"/>
              <x14:negativeFillColor rgb="FFFF0000"/>
              <x14:axisColor rgb="FF000000"/>
            </x14:dataBar>
          </x14:cfRule>
          <xm:sqref>I1048541:L1048544</xm:sqref>
        </x14:conditionalFormatting>
        <x14:conditionalFormatting xmlns:xm="http://schemas.microsoft.com/office/excel/2006/main">
          <x14:cfRule type="dataBar" id="{5A27FB5F-AC6D-40FD-B152-7630C251B9C8}">
            <x14:dataBar minLength="0" maxLength="100" gradient="0">
              <x14:cfvo type="autoMin"/>
              <x14:cfvo type="autoMax"/>
              <x14:negativeFillColor rgb="FFFF0000"/>
              <x14:axisColor rgb="FF000000"/>
            </x14:dataBar>
          </x14:cfRule>
          <xm:sqref>K5:K12</xm:sqref>
        </x14:conditionalFormatting>
        <x14:conditionalFormatting xmlns:xm="http://schemas.microsoft.com/office/excel/2006/main">
          <x14:cfRule type="dataBar" id="{60785AC6-7D44-400D-A2D8-9BBBDC5C548B}">
            <x14:dataBar minLength="0" maxLength="100" gradient="0">
              <x14:cfvo type="autoMin"/>
              <x14:cfvo type="autoMax"/>
              <x14:negativeFillColor rgb="FFFF0000"/>
              <x14:axisColor rgb="FF000000"/>
            </x14:dataBar>
          </x14:cfRule>
          <xm:sqref>K18:K21</xm:sqref>
        </x14:conditionalFormatting>
        <x14:conditionalFormatting xmlns:xm="http://schemas.microsoft.com/office/excel/2006/main">
          <x14:cfRule type="dataBar" id="{453C6738-D025-4507-80EB-A91F5A69956A}">
            <x14:dataBar minLength="0" maxLength="100" gradient="0">
              <x14:cfvo type="autoMin"/>
              <x14:cfvo type="autoMax"/>
              <x14:negativeFillColor rgb="FFFF0000"/>
              <x14:axisColor rgb="FF000000"/>
            </x14:dataBar>
          </x14:cfRule>
          <xm:sqref>K27:K30</xm:sqref>
        </x14:conditionalFormatting>
        <x14:conditionalFormatting xmlns:xm="http://schemas.microsoft.com/office/excel/2006/main">
          <x14:cfRule type="dataBar" id="{C3CBC7D6-9712-4BEF-A11A-E364E30DFA2E}">
            <x14:dataBar minLength="0" maxLength="100" gradient="0">
              <x14:cfvo type="autoMin"/>
              <x14:cfvo type="autoMax"/>
              <x14:negativeFillColor rgb="FFFF0000"/>
              <x14:axisColor rgb="FF000000"/>
            </x14:dataBar>
          </x14:cfRule>
          <xm:sqref>K62:K65</xm:sqref>
        </x14:conditionalFormatting>
        <x14:conditionalFormatting xmlns:xm="http://schemas.microsoft.com/office/excel/2006/main">
          <x14:cfRule type="dataBar" id="{3D0AB7C6-0D66-481E-BEA2-EE868B439983}">
            <x14:dataBar minLength="0" maxLength="100" gradient="0">
              <x14:cfvo type="autoMin"/>
              <x14:cfvo type="autoMax"/>
              <x14:negativeFillColor rgb="FFFF0000"/>
              <x14:axisColor rgb="FF000000"/>
            </x14:dataBar>
          </x14:cfRule>
          <xm:sqref>K71:K74</xm:sqref>
        </x14:conditionalFormatting>
        <x14:conditionalFormatting xmlns:xm="http://schemas.microsoft.com/office/excel/2006/main">
          <x14:cfRule type="dataBar" id="{6EF75844-E5E4-4646-BFCF-5919E9292764}">
            <x14:dataBar minLength="0" maxLength="100" gradient="0">
              <x14:cfvo type="autoMin"/>
              <x14:cfvo type="autoMax"/>
              <x14:negativeFillColor rgb="FFFF0000"/>
              <x14:axisColor rgb="FF000000"/>
            </x14:dataBar>
          </x14:cfRule>
          <xm:sqref>K80:K83</xm:sqref>
        </x14:conditionalFormatting>
        <x14:conditionalFormatting xmlns:xm="http://schemas.microsoft.com/office/excel/2006/main">
          <x14:cfRule type="dataBar" id="{589E11FE-E342-4D21-9EB3-CB0F15AE87A6}">
            <x14:dataBar minLength="0" maxLength="100" gradient="0">
              <x14:cfvo type="autoMin"/>
              <x14:cfvo type="autoMax"/>
              <x14:negativeFillColor rgb="FFFF0000"/>
              <x14:axisColor rgb="FF000000"/>
            </x14:dataBar>
          </x14:cfRule>
          <x14:cfRule type="dataBar" id="{CBC457F7-3DB8-46A0-988B-11CCF8FF31E5}">
            <x14:dataBar minLength="0" maxLength="100" gradient="0">
              <x14:cfvo type="autoMin"/>
              <x14:cfvo type="autoMax"/>
              <x14:negativeFillColor rgb="FFFF0000"/>
              <x14:axisColor rgb="FF000000"/>
            </x14:dataBar>
          </x14:cfRule>
          <x14:cfRule type="dataBar" id="{BE9D279A-ADD8-46F4-B26E-577DEFFA037B}">
            <x14:dataBar minLength="0" maxLength="100" border="1" negativeBarBorderColorSameAsPositive="0">
              <x14:cfvo type="autoMin"/>
              <x14:cfvo type="autoMax"/>
              <x14:borderColor rgb="FF63C384"/>
              <x14:negativeFillColor rgb="FFFF0000"/>
              <x14:negativeBorderColor rgb="FFFF0000"/>
              <x14:axisColor rgb="FF000000"/>
            </x14:dataBar>
          </x14:cfRule>
          <xm:sqref>K18:O21</xm:sqref>
        </x14:conditionalFormatting>
        <x14:conditionalFormatting xmlns:xm="http://schemas.microsoft.com/office/excel/2006/main">
          <x14:cfRule type="dataBar" id="{15DAABEF-1DDE-4166-90FB-2446E1F5295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DF94BE1-9A90-432F-9587-858EADB55A91}">
            <x14:dataBar minLength="0" maxLength="100" gradient="0">
              <x14:cfvo type="autoMin"/>
              <x14:cfvo type="autoMax"/>
              <x14:negativeFillColor rgb="FFFF0000"/>
              <x14:axisColor rgb="FF000000"/>
            </x14:dataBar>
          </x14:cfRule>
          <x14:cfRule type="dataBar" id="{A8FC8924-5F2E-4737-85A6-E5FF49A69250}">
            <x14:dataBar minLength="0" maxLength="100" gradient="0">
              <x14:cfvo type="autoMin"/>
              <x14:cfvo type="autoMax"/>
              <x14:negativeFillColor rgb="FFFF0000"/>
              <x14:axisColor rgb="FF000000"/>
            </x14:dataBar>
          </x14:cfRule>
          <xm:sqref>K27:O30</xm:sqref>
        </x14:conditionalFormatting>
        <x14:conditionalFormatting xmlns:xm="http://schemas.microsoft.com/office/excel/2006/main">
          <x14:cfRule type="dataBar" id="{1642E512-5328-4DB9-81F4-5A67EFFA2D7A}">
            <x14:dataBar minLength="0" maxLength="100" gradient="0">
              <x14:cfvo type="autoMin"/>
              <x14:cfvo type="autoMax"/>
              <x14:negativeFillColor rgb="FFFF0000"/>
              <x14:axisColor rgb="FF000000"/>
            </x14:dataBar>
          </x14:cfRule>
          <x14:cfRule type="dataBar" id="{5832A442-CC22-41FC-AD17-86122538435B}">
            <x14:dataBar minLength="0" maxLength="100" border="1" negativeBarBorderColorSameAsPositive="0">
              <x14:cfvo type="autoMin"/>
              <x14:cfvo type="autoMax"/>
              <x14:borderColor rgb="FF63C384"/>
              <x14:negativeFillColor rgb="FFFF0000"/>
              <x14:negativeBorderColor rgb="FFFF0000"/>
              <x14:axisColor rgb="FF000000"/>
            </x14:dataBar>
          </x14:cfRule>
          <xm:sqref>K5:P10</xm:sqref>
        </x14:conditionalFormatting>
        <x14:conditionalFormatting xmlns:xm="http://schemas.microsoft.com/office/excel/2006/main">
          <x14:cfRule type="dataBar" id="{9095667E-69EE-4811-BEDE-AFA010708C3B}">
            <x14:dataBar minLength="0" maxLength="100" gradient="0">
              <x14:cfvo type="autoMin"/>
              <x14:cfvo type="autoMax"/>
              <x14:negativeFillColor rgb="FFFF0000"/>
              <x14:axisColor rgb="FF000000"/>
            </x14:dataBar>
          </x14:cfRule>
          <x14:cfRule type="dataBar" id="{00030478-9DDE-4C48-B970-8BFEEA7887D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C7F1560-4E75-4756-AE37-09B82982D1AB}">
            <x14:dataBar minLength="0" maxLength="100" gradient="0">
              <x14:cfvo type="autoMin"/>
              <x14:cfvo type="autoMax"/>
              <x14:negativeFillColor rgb="FFFF0000"/>
              <x14:axisColor rgb="FF000000"/>
            </x14:dataBar>
          </x14:cfRule>
          <x14:cfRule type="dataBar" id="{A85696C3-3FD4-4347-BBC8-6CEF041D9BC2}">
            <x14:dataBar minLength="0" maxLength="100" gradient="0">
              <x14:cfvo type="autoMin"/>
              <x14:cfvo type="autoMax"/>
              <x14:negativeFillColor rgb="FFFF0000"/>
              <x14:axisColor rgb="FF000000"/>
            </x14:dataBar>
          </x14:cfRule>
          <x14:cfRule type="dataBar" id="{4CBCF4A4-EFBB-41F0-984E-0C4EF2D8C81C}">
            <x14:dataBar minLength="0" maxLength="100" gradient="0">
              <x14:cfvo type="autoMin"/>
              <x14:cfvo type="autoMax"/>
              <x14:negativeFillColor rgb="FFFF0000"/>
              <x14:axisColor rgb="FF000000"/>
            </x14:dataBar>
          </x14:cfRule>
          <xm:sqref>K18:P21</xm:sqref>
        </x14:conditionalFormatting>
        <x14:conditionalFormatting xmlns:xm="http://schemas.microsoft.com/office/excel/2006/main">
          <x14:cfRule type="dataBar" id="{BF003CDF-E865-4446-B296-85EEEECAB0F4}">
            <x14:dataBar minLength="0" maxLength="100" gradient="0">
              <x14:cfvo type="autoMin"/>
              <x14:cfvo type="autoMax"/>
              <x14:negativeFillColor rgb="FFFF0000"/>
              <x14:axisColor rgb="FF000000"/>
            </x14:dataBar>
          </x14:cfRule>
          <x14:cfRule type="dataBar" id="{FBBA71FC-2649-4E44-9BCC-E60F01F1B3CF}">
            <x14:dataBar minLength="0" maxLength="100" gradient="0">
              <x14:cfvo type="autoMin"/>
              <x14:cfvo type="autoMax"/>
              <x14:negativeFillColor rgb="FFFF0000"/>
              <x14:axisColor rgb="FF000000"/>
            </x14:dataBar>
          </x14:cfRule>
          <x14:cfRule type="dataBar" id="{EC3953CB-028A-4729-82C6-52C68F28465D}">
            <x14:dataBar minLength="0" maxLength="100" gradient="0">
              <x14:cfvo type="autoMin"/>
              <x14:cfvo type="autoMax"/>
              <x14:negativeFillColor rgb="FFFF0000"/>
              <x14:axisColor rgb="FF000000"/>
            </x14:dataBar>
          </x14:cfRule>
          <x14:cfRule type="dataBar" id="{F7152BF6-82A3-4D1D-B5DC-888F3DA5520D}">
            <x14:dataBar minLength="0" maxLength="100" gradient="0">
              <x14:cfvo type="autoMin"/>
              <x14:cfvo type="autoMax"/>
              <x14:negativeFillColor rgb="FFFF0000"/>
              <x14:axisColor rgb="FF000000"/>
            </x14:dataBar>
          </x14:cfRule>
          <x14:cfRule type="dataBar" id="{E452811F-F56E-40C9-94F4-5524A1D02EFF}">
            <x14:dataBar minLength="0" maxLength="100" border="1" negativeBarBorderColorSameAsPositive="0">
              <x14:cfvo type="autoMin"/>
              <x14:cfvo type="autoMax"/>
              <x14:borderColor rgb="FF63C384"/>
              <x14:negativeFillColor rgb="FFFF0000"/>
              <x14:negativeBorderColor rgb="FFFF0000"/>
              <x14:axisColor rgb="FF000000"/>
            </x14:dataBar>
          </x14:cfRule>
          <xm:sqref>K27:P30</xm:sqref>
        </x14:conditionalFormatting>
        <x14:conditionalFormatting xmlns:xm="http://schemas.microsoft.com/office/excel/2006/main">
          <x14:cfRule type="dataBar" id="{B1762839-04D2-4382-807B-02196366D96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FA255C1-14BD-4690-B833-59D603315D0E}">
            <x14:dataBar minLength="0" maxLength="100" gradient="0">
              <x14:cfvo type="autoMin"/>
              <x14:cfvo type="autoMax"/>
              <x14:negativeFillColor rgb="FFFF0000"/>
              <x14:axisColor rgb="FF000000"/>
            </x14:dataBar>
          </x14:cfRule>
          <xm:sqref>K62:P65</xm:sqref>
        </x14:conditionalFormatting>
        <x14:conditionalFormatting xmlns:xm="http://schemas.microsoft.com/office/excel/2006/main">
          <x14:cfRule type="dataBar" id="{7BC97657-2062-4953-B0D7-481CEA1D16A7}">
            <x14:dataBar minLength="0" maxLength="100" gradient="0">
              <x14:cfvo type="autoMin"/>
              <x14:cfvo type="autoMax"/>
              <x14:negativeFillColor rgb="FFFF0000"/>
              <x14:axisColor rgb="FF000000"/>
            </x14:dataBar>
          </x14:cfRule>
          <x14:cfRule type="dataBar" id="{7DB2C9D1-A642-42CD-A153-D1F90D23AF45}">
            <x14:dataBar minLength="0" maxLength="100" border="1" negativeBarBorderColorSameAsPositive="0">
              <x14:cfvo type="autoMin"/>
              <x14:cfvo type="autoMax"/>
              <x14:borderColor rgb="FF63C384"/>
              <x14:negativeFillColor rgb="FFFF0000"/>
              <x14:negativeBorderColor rgb="FFFF0000"/>
              <x14:axisColor rgb="FF000000"/>
            </x14:dataBar>
          </x14:cfRule>
          <xm:sqref>K71:P74</xm:sqref>
        </x14:conditionalFormatting>
        <x14:conditionalFormatting xmlns:xm="http://schemas.microsoft.com/office/excel/2006/main">
          <x14:cfRule type="dataBar" id="{5BDF914B-626D-448D-9A9C-4E9A2915049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C11AE78-F5CF-4C69-8CB8-BB1D2411BF23}">
            <x14:dataBar minLength="0" maxLength="100" gradient="0">
              <x14:cfvo type="autoMin"/>
              <x14:cfvo type="autoMax"/>
              <x14:negativeFillColor rgb="FFFF0000"/>
              <x14:axisColor rgb="FF000000"/>
            </x14:dataBar>
          </x14:cfRule>
          <xm:sqref>K80:P83</xm:sqref>
        </x14:conditionalFormatting>
        <x14:conditionalFormatting xmlns:xm="http://schemas.microsoft.com/office/excel/2006/main">
          <x14:cfRule type="dataBar" id="{086E2BE5-AF7D-45A1-A497-EB3FB49CEB4D}">
            <x14:dataBar minLength="0" maxLength="100" gradient="0">
              <x14:cfvo type="autoMin"/>
              <x14:cfvo type="autoMax"/>
              <x14:negativeFillColor rgb="FFFF0000"/>
              <x14:axisColor rgb="FF000000"/>
            </x14:dataBar>
          </x14:cfRule>
          <xm:sqref>L5:L12</xm:sqref>
        </x14:conditionalFormatting>
        <x14:conditionalFormatting xmlns:xm="http://schemas.microsoft.com/office/excel/2006/main">
          <x14:cfRule type="dataBar" id="{4BEF7755-0998-42F9-BE2B-3DDE71DD6879}">
            <x14:dataBar minLength="0" maxLength="100" gradient="0">
              <x14:cfvo type="autoMin"/>
              <x14:cfvo type="autoMax"/>
              <x14:negativeFillColor rgb="FFFF0000"/>
              <x14:axisColor rgb="FF000000"/>
            </x14:dataBar>
          </x14:cfRule>
          <xm:sqref>L18:L21</xm:sqref>
        </x14:conditionalFormatting>
        <x14:conditionalFormatting xmlns:xm="http://schemas.microsoft.com/office/excel/2006/main">
          <x14:cfRule type="dataBar" id="{FE1A76EB-E3F4-436F-A182-1CF9E3816F6C}">
            <x14:dataBar minLength="0" maxLength="100" gradient="0">
              <x14:cfvo type="autoMin"/>
              <x14:cfvo type="autoMax"/>
              <x14:negativeFillColor rgb="FFFF0000"/>
              <x14:axisColor rgb="FF000000"/>
            </x14:dataBar>
          </x14:cfRule>
          <xm:sqref>L27:L30</xm:sqref>
        </x14:conditionalFormatting>
        <x14:conditionalFormatting xmlns:xm="http://schemas.microsoft.com/office/excel/2006/main">
          <x14:cfRule type="dataBar" id="{6B1474B3-2221-4BB1-B618-780EB8A02505}">
            <x14:dataBar minLength="0" maxLength="100" gradient="0">
              <x14:cfvo type="autoMin"/>
              <x14:cfvo type="autoMax"/>
              <x14:negativeFillColor rgb="FFFF0000"/>
              <x14:axisColor rgb="FF000000"/>
            </x14:dataBar>
          </x14:cfRule>
          <xm:sqref>L62:L65</xm:sqref>
        </x14:conditionalFormatting>
        <x14:conditionalFormatting xmlns:xm="http://schemas.microsoft.com/office/excel/2006/main">
          <x14:cfRule type="dataBar" id="{E4B51802-7C86-4BCD-90E0-4373F58A7CA7}">
            <x14:dataBar minLength="0" maxLength="100" gradient="0">
              <x14:cfvo type="autoMin"/>
              <x14:cfvo type="autoMax"/>
              <x14:negativeFillColor rgb="FFFF0000"/>
              <x14:axisColor rgb="FF000000"/>
            </x14:dataBar>
          </x14:cfRule>
          <xm:sqref>L71:L74</xm:sqref>
        </x14:conditionalFormatting>
        <x14:conditionalFormatting xmlns:xm="http://schemas.microsoft.com/office/excel/2006/main">
          <x14:cfRule type="dataBar" id="{7BF2ECB1-3A9D-45C0-BDF4-E88D5B04BC2A}">
            <x14:dataBar minLength="0" maxLength="100" gradient="0">
              <x14:cfvo type="autoMin"/>
              <x14:cfvo type="autoMax"/>
              <x14:negativeFillColor rgb="FFFF0000"/>
              <x14:axisColor rgb="FF000000"/>
            </x14:dataBar>
          </x14:cfRule>
          <xm:sqref>L80:L83</xm:sqref>
        </x14:conditionalFormatting>
        <x14:conditionalFormatting xmlns:xm="http://schemas.microsoft.com/office/excel/2006/main">
          <x14:cfRule type="dataBar" id="{CF921376-951B-44A1-A35C-F489AA25CABD}">
            <x14:dataBar minLength="0" maxLength="100" gradient="0">
              <x14:cfvo type="autoMin"/>
              <x14:cfvo type="autoMax"/>
              <x14:negativeFillColor rgb="FFFF0000"/>
              <x14:axisColor rgb="FF000000"/>
            </x14:dataBar>
          </x14:cfRule>
          <xm:sqref>M11:M12</xm:sqref>
        </x14:conditionalFormatting>
        <x14:conditionalFormatting xmlns:xm="http://schemas.microsoft.com/office/excel/2006/main">
          <x14:cfRule type="dataBar" id="{56FDBD16-DDEB-4D7A-98AA-9D8D76CB1BBA}">
            <x14:dataBar minLength="0" maxLength="100" gradient="0">
              <x14:cfvo type="autoMin"/>
              <x14:cfvo type="autoMax"/>
              <x14:negativeFillColor rgb="FFFF0000"/>
              <x14:axisColor rgb="FF000000"/>
            </x14:dataBar>
          </x14:cfRule>
          <xm:sqref>M20:M21</xm:sqref>
        </x14:conditionalFormatting>
        <x14:conditionalFormatting xmlns:xm="http://schemas.microsoft.com/office/excel/2006/main">
          <x14:cfRule type="dataBar" id="{14BF6372-82D5-4931-9849-AEE13B0773A9}">
            <x14:dataBar minLength="0" maxLength="100" gradient="0">
              <x14:cfvo type="autoMin"/>
              <x14:cfvo type="autoMax"/>
              <x14:negativeFillColor rgb="FFFF0000"/>
              <x14:axisColor rgb="FF000000"/>
            </x14:dataBar>
          </x14:cfRule>
          <xm:sqref>M29:M30</xm:sqref>
        </x14:conditionalFormatting>
        <x14:conditionalFormatting xmlns:xm="http://schemas.microsoft.com/office/excel/2006/main">
          <x14:cfRule type="dataBar" id="{96AA5CCC-7D7D-4B7C-A258-FA35C89C5220}">
            <x14:dataBar minLength="0" maxLength="100" gradient="0">
              <x14:cfvo type="autoMin"/>
              <x14:cfvo type="autoMax"/>
              <x14:negativeFillColor rgb="FFFF0000"/>
              <x14:axisColor rgb="FF000000"/>
            </x14:dataBar>
          </x14:cfRule>
          <xm:sqref>M21:O21 K18:O20</xm:sqref>
        </x14:conditionalFormatting>
        <x14:conditionalFormatting xmlns:xm="http://schemas.microsoft.com/office/excel/2006/main">
          <x14:cfRule type="dataBar" id="{418255D3-2B96-41A9-9582-87939D7FAE81}">
            <x14:dataBar minLength="0" maxLength="100" gradient="0">
              <x14:cfvo type="autoMin"/>
              <x14:cfvo type="autoMax"/>
              <x14:negativeFillColor rgb="FFFF0000"/>
              <x14:axisColor rgb="FF000000"/>
            </x14:dataBar>
          </x14:cfRule>
          <xm:sqref>M5:P10</xm:sqref>
        </x14:conditionalFormatting>
        <x14:conditionalFormatting xmlns:xm="http://schemas.microsoft.com/office/excel/2006/main">
          <x14:cfRule type="dataBar" id="{42369CE1-FCFF-4C59-B4E0-E4D423BFD9FE}">
            <x14:dataBar minLength="0" maxLength="100" gradient="0">
              <x14:cfvo type="autoMin"/>
              <x14:cfvo type="autoMax"/>
              <x14:negativeFillColor rgb="FFFF0000"/>
              <x14:axisColor rgb="FF000000"/>
            </x14:dataBar>
          </x14:cfRule>
          <xm:sqref>M62:P65</xm:sqref>
        </x14:conditionalFormatting>
        <x14:conditionalFormatting xmlns:xm="http://schemas.microsoft.com/office/excel/2006/main">
          <x14:cfRule type="dataBar" id="{184AE636-734E-432D-9101-DCF6E7C5AFD1}">
            <x14:dataBar minLength="0" maxLength="100" gradient="0">
              <x14:cfvo type="autoMin"/>
              <x14:cfvo type="autoMax"/>
              <x14:negativeFillColor rgb="FFFF0000"/>
              <x14:axisColor rgb="FF000000"/>
            </x14:dataBar>
          </x14:cfRule>
          <xm:sqref>M71:P74</xm:sqref>
        </x14:conditionalFormatting>
        <x14:conditionalFormatting xmlns:xm="http://schemas.microsoft.com/office/excel/2006/main">
          <x14:cfRule type="dataBar" id="{75752F28-03D4-443D-88A3-9B0E92F58E97}">
            <x14:dataBar minLength="0" maxLength="100" gradient="0">
              <x14:cfvo type="autoMin"/>
              <x14:cfvo type="autoMax"/>
              <x14:negativeFillColor rgb="FFFF0000"/>
              <x14:axisColor rgb="FF000000"/>
            </x14:dataBar>
          </x14:cfRule>
          <xm:sqref>M80:P83</xm:sqref>
        </x14:conditionalFormatting>
        <x14:conditionalFormatting xmlns:xm="http://schemas.microsoft.com/office/excel/2006/main">
          <x14:cfRule type="dataBar" id="{D79F9DB6-6801-4A2C-B1F4-8126B64EB689}">
            <x14:dataBar minLength="0" maxLength="100" gradient="0">
              <x14:cfvo type="autoMin"/>
              <x14:cfvo type="autoMax"/>
              <x14:negativeFillColor rgb="FFFF0000"/>
              <x14:axisColor rgb="FF000000"/>
            </x14:dataBar>
          </x14:cfRule>
          <x14:cfRule type="dataBar" id="{799A0AC0-1DB2-40E4-95B9-A1DFF118974A}">
            <x14:dataBar minLength="0" maxLength="100" gradient="0">
              <x14:cfvo type="autoMin"/>
              <x14:cfvo type="autoMax"/>
              <x14:negativeFillColor rgb="FFFF0000"/>
              <x14:axisColor rgb="FF000000"/>
            </x14:dataBar>
          </x14:cfRule>
          <xm:sqref>M1048541:P1048544</xm:sqref>
        </x14:conditionalFormatting>
        <x14:conditionalFormatting xmlns:xm="http://schemas.microsoft.com/office/excel/2006/main">
          <x14:cfRule type="dataBar" id="{13101FF6-2EA7-4030-B4D6-DA0DA1C2F6A6}">
            <x14:dataBar minLength="0" maxLength="100" gradient="0">
              <x14:cfvo type="autoMin"/>
              <x14:cfvo type="autoMax"/>
              <x14:negativeFillColor rgb="FFFF0000"/>
              <x14:axisColor rgb="FF000000"/>
            </x14:dataBar>
          </x14:cfRule>
          <xm:sqref>N11:N12</xm:sqref>
        </x14:conditionalFormatting>
        <x14:conditionalFormatting xmlns:xm="http://schemas.microsoft.com/office/excel/2006/main">
          <x14:cfRule type="dataBar" id="{E359D2BF-B4C7-4D3A-9103-4CBEE70A31B4}">
            <x14:dataBar minLength="0" maxLength="100" gradient="0">
              <x14:cfvo type="autoMin"/>
              <x14:cfvo type="autoMax"/>
              <x14:negativeFillColor rgb="FFFF0000"/>
              <x14:axisColor rgb="FF000000"/>
            </x14:dataBar>
          </x14:cfRule>
          <xm:sqref>N18:N21</xm:sqref>
        </x14:conditionalFormatting>
        <x14:conditionalFormatting xmlns:xm="http://schemas.microsoft.com/office/excel/2006/main">
          <x14:cfRule type="dataBar" id="{E2C8407F-ED48-42FA-A7BD-0E374224FAA5}">
            <x14:dataBar minLength="0" maxLength="100" gradient="0">
              <x14:cfvo type="autoMin"/>
              <x14:cfvo type="autoMax"/>
              <x14:negativeFillColor rgb="FFFF0000"/>
              <x14:axisColor rgb="FF000000"/>
            </x14:dataBar>
          </x14:cfRule>
          <xm:sqref>N27:N30</xm:sqref>
        </x14:conditionalFormatting>
        <x14:conditionalFormatting xmlns:xm="http://schemas.microsoft.com/office/excel/2006/main">
          <x14:cfRule type="dataBar" id="{1F18C40A-A33A-4D0B-B57F-47D9D6CF0D64}">
            <x14:dataBar minLength="0" maxLength="100" gradient="0">
              <x14:cfvo type="autoMin"/>
              <x14:cfvo type="autoMax"/>
              <x14:negativeFillColor rgb="FFFF0000"/>
              <x14:axisColor rgb="FF000000"/>
            </x14:dataBar>
          </x14:cfRule>
          <xm:sqref>O11:O12</xm:sqref>
        </x14:conditionalFormatting>
        <x14:conditionalFormatting xmlns:xm="http://schemas.microsoft.com/office/excel/2006/main">
          <x14:cfRule type="dataBar" id="{26AC0999-7FF4-4431-B91F-7A7C0E85B670}">
            <x14:dataBar minLength="0" maxLength="100" gradient="0">
              <x14:cfvo type="autoMin"/>
              <x14:cfvo type="autoMax"/>
              <x14:negativeFillColor rgb="FFFF0000"/>
              <x14:axisColor rgb="FF000000"/>
            </x14:dataBar>
          </x14:cfRule>
          <xm:sqref>O18:O21</xm:sqref>
        </x14:conditionalFormatting>
        <x14:conditionalFormatting xmlns:xm="http://schemas.microsoft.com/office/excel/2006/main">
          <x14:cfRule type="dataBar" id="{F3BCEAD8-5984-4E98-9E5D-06302B668B7F}">
            <x14:dataBar minLength="0" maxLength="100" gradient="0">
              <x14:cfvo type="autoMin"/>
              <x14:cfvo type="autoMax"/>
              <x14:negativeFillColor rgb="FFFF0000"/>
              <x14:axisColor rgb="FF000000"/>
            </x14:dataBar>
          </x14:cfRule>
          <xm:sqref>O27:O30</xm:sqref>
        </x14:conditionalFormatting>
        <x14:conditionalFormatting xmlns:xm="http://schemas.microsoft.com/office/excel/2006/main">
          <x14:cfRule type="dataBar" id="{BA11135A-0895-4A01-87D0-A486C9D5843C}">
            <x14:dataBar minLength="0" maxLength="100" gradient="0">
              <x14:cfvo type="autoMin"/>
              <x14:cfvo type="autoMax"/>
              <x14:negativeFillColor rgb="FFFF0000"/>
              <x14:axisColor rgb="FF000000"/>
            </x14:dataBar>
          </x14:cfRule>
          <xm:sqref>P11:P12</xm:sqref>
        </x14:conditionalFormatting>
        <x14:conditionalFormatting xmlns:xm="http://schemas.microsoft.com/office/excel/2006/main">
          <x14:cfRule type="dataBar" id="{00154FAC-2C70-4EF2-A308-BA8404420986}">
            <x14:dataBar minLength="0" maxLength="100" gradient="0">
              <x14:cfvo type="autoMin"/>
              <x14:cfvo type="autoMax"/>
              <x14:negativeFillColor rgb="FFFF0000"/>
              <x14:axisColor rgb="FF000000"/>
            </x14:dataBar>
          </x14:cfRule>
          <xm:sqref>P18:P21</xm:sqref>
        </x14:conditionalFormatting>
        <x14:conditionalFormatting xmlns:xm="http://schemas.microsoft.com/office/excel/2006/main">
          <x14:cfRule type="dataBar" id="{85FA8579-5B7F-45F3-98E7-F5803B202EC1}">
            <x14:dataBar minLength="0" maxLength="100" gradient="0">
              <x14:cfvo type="autoMin"/>
              <x14:cfvo type="autoMax"/>
              <x14:negativeFillColor rgb="FFFF0000"/>
              <x14:axisColor rgb="FF000000"/>
            </x14:dataBar>
          </x14:cfRule>
          <xm:sqref>P27:P30</xm:sqref>
        </x14:conditionalFormatting>
        <x14:conditionalFormatting xmlns:xm="http://schemas.microsoft.com/office/excel/2006/main">
          <x14:cfRule type="dataBar" id="{98D88D39-23B2-4790-9525-A56AF2F08BE8}">
            <x14:dataBar minLength="0" maxLength="100" gradient="0">
              <x14:cfvo type="autoMin"/>
              <x14:cfvo type="autoMax"/>
              <x14:negativeFillColor rgb="FFFF0000"/>
              <x14:axisColor rgb="FF000000"/>
            </x14:dataBar>
          </x14:cfRule>
          <x14:cfRule type="dataBar" id="{36C8180B-F3F5-4A14-891D-85B537C33178}">
            <x14:dataBar minLength="0" maxLength="100" gradient="0">
              <x14:cfvo type="autoMin"/>
              <x14:cfvo type="autoMax"/>
              <x14:negativeFillColor rgb="FFFF0000"/>
              <x14:axisColor rgb="FF000000"/>
            </x14:dataBar>
          </x14:cfRule>
          <x14:cfRule type="dataBar" id="{E1EAAE6C-0124-44D2-83BD-F51D7D52635D}">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4767E5A-7897-40B6-9AED-7F78E877E358}">
            <x14:dataBar minLength="0" maxLength="100" gradient="0">
              <x14:cfvo type="autoMin"/>
              <x14:cfvo type="autoMax"/>
              <x14:negativeFillColor rgb="FFFF0000"/>
              <x14:axisColor rgb="FF000000"/>
            </x14:dataBar>
          </x14:cfRule>
          <x14:cfRule type="dataBar" id="{19703D07-3B11-4C3D-8D30-33A7F3E90CFB}">
            <x14:dataBar minLength="0" maxLength="100" gradient="0">
              <x14:cfvo type="autoMin"/>
              <x14:cfvo type="autoMax"/>
              <x14:negativeFillColor rgb="FFFF0000"/>
              <x14:axisColor rgb="FF000000"/>
            </x14:dataBar>
          </x14:cfRule>
          <x14:cfRule type="dataBar" id="{5490A457-F862-452B-A2B2-F5525F0A9F2E}">
            <x14:dataBar minLength="0" maxLength="100" gradient="0">
              <x14:cfvo type="autoMin"/>
              <x14:cfvo type="autoMax"/>
              <x14:negativeFillColor rgb="FFFF0000"/>
              <x14:axisColor rgb="FF000000"/>
            </x14:dataBar>
          </x14:cfRule>
          <xm:sqref>P32</xm:sqref>
        </x14:conditionalFormatting>
        <x14:conditionalFormatting xmlns:xm="http://schemas.microsoft.com/office/excel/2006/main">
          <x14:cfRule type="dataBar" id="{793C8F01-AA46-4D72-9991-2892EFFA9E6C}">
            <x14:dataBar minLength="0" maxLength="100" gradient="0">
              <x14:cfvo type="autoMin"/>
              <x14:cfvo type="autoMax"/>
              <x14:negativeFillColor rgb="FFFF0000"/>
              <x14:axisColor rgb="FF000000"/>
            </x14:dataBar>
          </x14:cfRule>
          <x14:cfRule type="dataBar" id="{8CAF00D7-7689-4E44-A001-A2392E40A2D6}">
            <x14:dataBar minLength="0" maxLength="100" gradient="0">
              <x14:cfvo type="autoMin"/>
              <x14:cfvo type="autoMax"/>
              <x14:negativeFillColor rgb="FFFF0000"/>
              <x14:axisColor rgb="FF000000"/>
            </x14:dataBar>
          </x14:cfRule>
          <xm:sqref>Q1048541:T1048544</xm:sqref>
        </x14:conditionalFormatting>
        <x14:conditionalFormatting xmlns:xm="http://schemas.microsoft.com/office/excel/2006/main">
          <x14:cfRule type="dataBar" id="{B6F9BAAC-3AA4-4B10-BF83-D9DC865CF608}">
            <x14:dataBar minLength="0" maxLength="100" gradient="0">
              <x14:cfvo type="autoMin"/>
              <x14:cfvo type="autoMax"/>
              <x14:negativeFillColor rgb="FFFF0000"/>
              <x14:axisColor rgb="FF000000"/>
            </x14:dataBar>
          </x14:cfRule>
          <x14:cfRule type="dataBar" id="{575BC555-96FE-4419-8646-556B5217F30D}">
            <x14:dataBar minLength="0" maxLength="100" gradient="0">
              <x14:cfvo type="autoMin"/>
              <x14:cfvo type="autoMax"/>
              <x14:negativeFillColor rgb="FFFF0000"/>
              <x14:axisColor rgb="FF000000"/>
            </x14:dataBar>
          </x14:cfRule>
          <xm:sqref>U1048541:U1048544 W1048541:X1048544</xm:sqref>
        </x14:conditionalFormatting>
        <x14:conditionalFormatting xmlns:xm="http://schemas.microsoft.com/office/excel/2006/main">
          <x14:cfRule type="dataBar" id="{0DCFE0CF-C1A4-4E36-B487-CEFD248251D2}">
            <x14:dataBar minLength="0" maxLength="100" gradient="0">
              <x14:cfvo type="autoMin"/>
              <x14:cfvo type="autoMax"/>
              <x14:negativeFillColor rgb="FFFF0000"/>
              <x14:axisColor rgb="FF000000"/>
            </x14:dataBar>
          </x14:cfRule>
          <x14:cfRule type="dataBar" id="{4F1AC2F2-6D07-491C-9805-8122381788FD}">
            <x14:dataBar minLength="0" maxLength="100" gradient="0">
              <x14:cfvo type="autoMin"/>
              <x14:cfvo type="autoMax"/>
              <x14:negativeFillColor rgb="FFFF0000"/>
              <x14:axisColor rgb="FF000000"/>
            </x14:dataBar>
          </x14:cfRule>
          <xm:sqref>V1048541:V1048544</xm:sqref>
        </x14:conditionalFormatting>
        <x14:conditionalFormatting xmlns:xm="http://schemas.microsoft.com/office/excel/2006/main">
          <x14:cfRule type="dataBar" id="{DD2DF4FD-5538-4B2D-9B28-57DA70E28822}">
            <x14:dataBar minLength="0" maxLength="100" gradient="0">
              <x14:cfvo type="autoMin"/>
              <x14:cfvo type="autoMax"/>
              <x14:negativeFillColor rgb="FFFF0000"/>
              <x14:axisColor rgb="FF000000"/>
            </x14:dataBar>
          </x14:cfRule>
          <x14:cfRule type="dataBar" id="{5E4B4E49-6DD9-4E83-9F17-B14F2E6CAAD5}">
            <x14:dataBar minLength="0" maxLength="100" gradient="0">
              <x14:cfvo type="autoMin"/>
              <x14:cfvo type="autoMax"/>
              <x14:negativeFillColor rgb="FFFF0000"/>
              <x14:axisColor rgb="FF000000"/>
            </x14:dataBar>
          </x14:cfRule>
          <xm:sqref>Y1048541:AB1048544</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N103"/>
  <sheetViews>
    <sheetView showGridLines="0" topLeftCell="A46" zoomScale="77" zoomScaleNormal="85" workbookViewId="0">
      <selection activeCell="D4" sqref="D4:G4"/>
    </sheetView>
  </sheetViews>
  <sheetFormatPr defaultColWidth="11.42578125" defaultRowHeight="12.6"/>
  <cols>
    <col min="1" max="1" width="0.42578125" customWidth="1"/>
    <col min="2" max="2" width="32.5703125" customWidth="1"/>
    <col min="3" max="4" width="32.140625" customWidth="1"/>
    <col min="5" max="5" width="33.42578125" customWidth="1"/>
    <col min="6" max="6" width="33.85546875" customWidth="1"/>
    <col min="7" max="7" width="32.140625" customWidth="1"/>
    <col min="8" max="8" width="33" hidden="1" customWidth="1"/>
    <col min="9" max="9" width="15.5703125" customWidth="1"/>
    <col min="10" max="10" width="10.5703125" customWidth="1"/>
  </cols>
  <sheetData>
    <row r="1" spans="2:14" ht="14.1">
      <c r="B1" s="178" t="s">
        <v>242</v>
      </c>
      <c r="C1" s="179" t="s">
        <v>243</v>
      </c>
      <c r="D1" s="1413" t="s">
        <v>198</v>
      </c>
      <c r="E1" s="1413"/>
      <c r="F1" s="1413"/>
      <c r="G1" s="1413"/>
      <c r="H1" s="1413"/>
    </row>
    <row r="2" spans="2:14" ht="81.75" customHeight="1">
      <c r="B2" s="180"/>
      <c r="C2" s="343" t="e" vm="3">
        <v>#VALUE!</v>
      </c>
      <c r="D2" s="1407" t="s">
        <v>244</v>
      </c>
      <c r="E2" s="1408"/>
      <c r="F2" s="1408"/>
      <c r="G2" s="1409"/>
      <c r="H2" s="950"/>
    </row>
    <row r="3" spans="2:14" ht="81.75" customHeight="1">
      <c r="B3" s="180"/>
      <c r="C3" s="687" t="e" vm="5">
        <v>#VALUE!</v>
      </c>
      <c r="D3" s="1407" t="s">
        <v>245</v>
      </c>
      <c r="E3" s="1408"/>
      <c r="F3" s="1408"/>
      <c r="G3" s="1409"/>
      <c r="H3" s="950"/>
    </row>
    <row r="4" spans="2:14" ht="81.75" customHeight="1">
      <c r="B4" s="180"/>
      <c r="C4" s="344" t="e" vm="4">
        <v>#VALUE!</v>
      </c>
      <c r="D4" s="1407" t="s">
        <v>246</v>
      </c>
      <c r="E4" s="1408"/>
      <c r="F4" s="1408"/>
      <c r="G4" s="1409"/>
      <c r="H4" s="950"/>
    </row>
    <row r="5" spans="2:14" ht="81.75" customHeight="1">
      <c r="B5" s="180"/>
      <c r="C5" s="345" t="e" vm="6">
        <v>#VALUE!</v>
      </c>
      <c r="D5" s="1407" t="s">
        <v>247</v>
      </c>
      <c r="E5" s="1408"/>
      <c r="F5" s="1408"/>
      <c r="G5" s="1409"/>
      <c r="H5" s="950"/>
    </row>
    <row r="6" spans="2:14" ht="81.75" hidden="1" customHeight="1">
      <c r="B6" s="180"/>
      <c r="C6" s="346"/>
      <c r="D6" s="1407"/>
      <c r="E6" s="1407"/>
      <c r="F6" s="1407"/>
      <c r="G6" s="1407"/>
      <c r="H6" s="1412"/>
      <c r="L6" s="2"/>
    </row>
    <row r="7" spans="2:14" ht="12.95" thickBot="1">
      <c r="B7" s="10"/>
    </row>
    <row r="8" spans="2:14" ht="17.25" customHeight="1" thickBot="1">
      <c r="B8" s="147" t="s">
        <v>248</v>
      </c>
      <c r="C8" s="338" t="e" vm="1">
        <f>OP!E2</f>
        <v>#VALUE!</v>
      </c>
      <c r="D8" s="989" t="e" vm="3">
        <f>C2</f>
        <v>#VALUE!</v>
      </c>
      <c r="E8" s="990" t="e" vm="5">
        <f>C3</f>
        <v>#VALUE!</v>
      </c>
      <c r="F8" s="341" t="e" vm="4">
        <f>C4</f>
        <v>#VALUE!</v>
      </c>
      <c r="G8" s="991" t="e" vm="6">
        <f>C5</f>
        <v>#VALUE!</v>
      </c>
      <c r="H8" s="342"/>
      <c r="I8" s="174" t="s">
        <v>249</v>
      </c>
      <c r="J8" s="518" t="s">
        <v>250</v>
      </c>
    </row>
    <row r="9" spans="2:14" ht="16.5" customHeight="1" thickBot="1">
      <c r="B9" s="172" t="s">
        <v>251</v>
      </c>
      <c r="C9" s="161"/>
      <c r="D9" s="162"/>
      <c r="E9" s="162"/>
      <c r="F9" s="162"/>
      <c r="G9" s="162"/>
      <c r="H9" s="163"/>
      <c r="I9" s="164" t="str">
        <f t="shared" ref="I9:I22" si="0">IFERROR(AVERAGE(C9:H9),"")</f>
        <v/>
      </c>
      <c r="J9" s="500"/>
      <c r="L9" s="1414" t="s">
        <v>252</v>
      </c>
      <c r="M9" s="1415"/>
      <c r="N9" s="1416"/>
    </row>
    <row r="10" spans="2:14" ht="13.5" customHeight="1" thickBot="1">
      <c r="B10" s="171" t="s">
        <v>253</v>
      </c>
      <c r="C10" s="869" cm="1">
        <f t="array" aca="1" ref="C10" ca="1">_FV(C8,"Market cap",TRUE)/1000000</f>
        <v>16223.82</v>
      </c>
      <c r="D10" s="869" cm="1">
        <f t="array" aca="1" ref="D10" ca="1">_FV(D8,"Market cap",TRUE)/1000000</f>
        <v>8356.4279999999999</v>
      </c>
      <c r="E10" s="869" cm="1">
        <f t="array" aca="1" ref="E10" ca="1">_FV(E8,"Market cap",TRUE)/1000000</f>
        <v>4946.9570000000003</v>
      </c>
      <c r="F10" s="869" cm="1">
        <f t="array" aca="1" ref="F10" ca="1">_FV(F8,"Market cap",TRUE)/1000000</f>
        <v>32199.69</v>
      </c>
      <c r="G10" s="869" cm="1">
        <f t="array" aca="1" ref="G10" ca="1">_FV(G8,"Market cap",TRUE)/1000000</f>
        <v>251207.8</v>
      </c>
      <c r="H10" s="869"/>
      <c r="I10" s="464">
        <f t="shared" ca="1" si="0"/>
        <v>62586.938999999998</v>
      </c>
      <c r="J10" s="501">
        <f ca="1">SQRT((C10-I10)^2)</f>
        <v>46363.118999999999</v>
      </c>
      <c r="L10" s="1424"/>
      <c r="M10" s="1417" t="s">
        <v>254</v>
      </c>
      <c r="N10" s="1418"/>
    </row>
    <row r="11" spans="2:14" ht="13.5" customHeight="1" thickBot="1">
      <c r="B11" s="443" t="s">
        <v>255</v>
      </c>
      <c r="C11" s="870">
        <f>C59</f>
        <v>5491</v>
      </c>
      <c r="D11" s="868">
        <f>D59</f>
        <v>13040.1</v>
      </c>
      <c r="E11" s="737">
        <f>E59</f>
        <v>10397.200000000001</v>
      </c>
      <c r="F11" s="737">
        <f>F59</f>
        <v>3419.3240000000001</v>
      </c>
      <c r="G11" s="737">
        <f>G59</f>
        <v>17945.741050000001</v>
      </c>
      <c r="H11" s="444"/>
      <c r="I11" s="465">
        <f t="shared" si="0"/>
        <v>10058.67301</v>
      </c>
      <c r="J11" s="502">
        <f>SQRT((C11-I11)^2)</f>
        <v>4567.6730100000004</v>
      </c>
      <c r="L11" s="1424"/>
      <c r="M11" s="1417"/>
      <c r="N11" s="1418"/>
    </row>
    <row r="12" spans="2:14" ht="16.5" customHeight="1" thickBot="1">
      <c r="B12" s="172" t="s">
        <v>256</v>
      </c>
      <c r="C12" s="177"/>
      <c r="D12" s="177"/>
      <c r="E12" s="177"/>
      <c r="F12" s="177"/>
      <c r="G12" s="177"/>
      <c r="H12" s="177"/>
      <c r="I12" s="466" t="str">
        <f t="shared" si="0"/>
        <v/>
      </c>
      <c r="J12" s="503"/>
      <c r="L12" s="1423"/>
      <c r="M12" s="1417" t="s">
        <v>257</v>
      </c>
      <c r="N12" s="1418"/>
    </row>
    <row r="13" spans="2:14" ht="13.5" customHeight="1" thickBot="1">
      <c r="B13" s="171" t="s">
        <v>258</v>
      </c>
      <c r="C13" s="865">
        <f>C59/C58-1</f>
        <v>9.0782677791021005E-2</v>
      </c>
      <c r="D13" s="865">
        <f>D59/D57-1</f>
        <v>0.19850555591298047</v>
      </c>
      <c r="E13" s="865">
        <f>E59/E58-1</f>
        <v>2.6883950617283991E-2</v>
      </c>
      <c r="F13" s="865">
        <f>F59/F58-1</f>
        <v>0.15092133984304645</v>
      </c>
      <c r="G13" s="865">
        <f>G59/G58-1</f>
        <v>1.6269239717201511E-2</v>
      </c>
      <c r="H13" s="865"/>
      <c r="I13" s="467">
        <f t="shared" si="0"/>
        <v>9.6672552776306681E-2</v>
      </c>
      <c r="J13" s="927">
        <f t="shared" ref="J13:J18" si="1">SQRT((C13-I13)^2)</f>
        <v>5.8898749852856758E-3</v>
      </c>
      <c r="L13" s="1423"/>
      <c r="M13" s="1417"/>
      <c r="N13" s="1418"/>
    </row>
    <row r="14" spans="2:14" ht="12.75" customHeight="1" thickBot="1">
      <c r="B14" s="445" t="s">
        <v>259</v>
      </c>
      <c r="C14" s="446">
        <f>C59/C57-1</f>
        <v>0.55358759619737441</v>
      </c>
      <c r="D14" s="446">
        <f>D59/D57-1</f>
        <v>0.19850555591298047</v>
      </c>
      <c r="E14" s="446">
        <f>E59/E57-1</f>
        <v>5.7561054997813166E-2</v>
      </c>
      <c r="F14" s="446">
        <f>F59/F57-1</f>
        <v>0.53919188154342157</v>
      </c>
      <c r="G14" s="446">
        <f>G59/G57-1</f>
        <v>-9.0661299839026599E-2</v>
      </c>
      <c r="H14" s="446"/>
      <c r="I14" s="468">
        <f t="shared" si="0"/>
        <v>0.2516369577625126</v>
      </c>
      <c r="J14" s="504">
        <f t="shared" si="1"/>
        <v>0.30195063843486181</v>
      </c>
      <c r="L14" s="1421"/>
      <c r="M14" s="1417" t="s">
        <v>260</v>
      </c>
      <c r="N14" s="1418"/>
    </row>
    <row r="15" spans="2:14" ht="13.5" customHeight="1" thickBot="1">
      <c r="B15" s="451" t="s">
        <v>125</v>
      </c>
      <c r="C15" s="888">
        <f>C62/C59</f>
        <v>0.17767255509014751</v>
      </c>
      <c r="D15" s="864">
        <f>D62/D59</f>
        <v>5.4769518638660745E-2</v>
      </c>
      <c r="E15" s="864">
        <f>E62/E59</f>
        <v>2.9334820913322814E-3</v>
      </c>
      <c r="F15" s="864">
        <f>F62/F59</f>
        <v>5.8701895462377938E-2</v>
      </c>
      <c r="G15" s="864">
        <f>G62/G59</f>
        <v>8.3174105535196052E-2</v>
      </c>
      <c r="H15" s="864"/>
      <c r="I15" s="468">
        <f t="shared" si="0"/>
        <v>7.545031136354291E-2</v>
      </c>
      <c r="J15" s="926">
        <f t="shared" si="1"/>
        <v>0.1022222437266046</v>
      </c>
      <c r="L15" s="1422"/>
      <c r="M15" s="1419"/>
      <c r="N15" s="1420"/>
    </row>
    <row r="16" spans="2:14" ht="13.5" thickBot="1">
      <c r="B16" s="445" t="s">
        <v>261</v>
      </c>
      <c r="C16" s="888">
        <f>C65/C59</f>
        <v>0.14578401019850665</v>
      </c>
      <c r="D16" s="446">
        <f>D65/D59</f>
        <v>5.4769518638660745E-2</v>
      </c>
      <c r="E16" s="446">
        <f>E65/E59</f>
        <v>5.1821644288846988E-2</v>
      </c>
      <c r="F16" s="446">
        <f>F65/F59</f>
        <v>5.8701895462377938E-2</v>
      </c>
      <c r="G16" s="446">
        <f>G65/G59</f>
        <v>1.8353210328976636E-2</v>
      </c>
      <c r="H16" s="446"/>
      <c r="I16" s="468">
        <f t="shared" si="0"/>
        <v>6.5886055783473785E-2</v>
      </c>
      <c r="J16" s="504">
        <f t="shared" si="1"/>
        <v>7.9897954415032862E-2</v>
      </c>
    </row>
    <row r="17" spans="1:10" ht="13.5" thickBot="1">
      <c r="B17" s="451" t="s">
        <v>262</v>
      </c>
      <c r="C17" s="888">
        <f>C65/C77</f>
        <v>0.5779783393501805</v>
      </c>
      <c r="D17" s="864">
        <f>D65/D77</f>
        <v>0.2523585739019823</v>
      </c>
      <c r="E17" s="864">
        <f>E65/E77</f>
        <v>0.18783991075163853</v>
      </c>
      <c r="F17" s="864">
        <f>F65/F77</f>
        <v>0.23833955223880599</v>
      </c>
      <c r="G17" s="864">
        <f>G65/G77</f>
        <v>9.1006491460263447E-2</v>
      </c>
      <c r="H17" s="864"/>
      <c r="I17" s="468">
        <f t="shared" si="0"/>
        <v>0.26950457354057417</v>
      </c>
      <c r="J17" s="926">
        <f t="shared" si="1"/>
        <v>0.30847376580960634</v>
      </c>
    </row>
    <row r="18" spans="1:10" ht="13.5" thickBot="1">
      <c r="B18" s="443" t="s">
        <v>263</v>
      </c>
      <c r="C18" s="863">
        <f>(1+C64/(C62+C63))*C62/(C76+C77-C68)</f>
        <v>0.23796645047186196</v>
      </c>
      <c r="D18" s="863">
        <f>(1+D64/(D62+D63))*D62/(D76+D77-D68)</f>
        <v>0.52728241543814502</v>
      </c>
      <c r="E18" s="863">
        <f>(1+E64/(E62+E63))*E62/(E76+E77-E68)</f>
        <v>9.4420572759954021E-3</v>
      </c>
      <c r="F18" s="863">
        <f>(1+F64/(F62+F63))*F62/(F76+F77-F68)</f>
        <v>0.33786385060164803</v>
      </c>
      <c r="G18" s="863">
        <f>(1+G64/(G62+G63))*G62/(G76+G77-G68)</f>
        <v>0.34040150662370944</v>
      </c>
      <c r="H18" s="863"/>
      <c r="I18" s="469">
        <f t="shared" si="0"/>
        <v>0.29059125608227199</v>
      </c>
      <c r="J18" s="505">
        <f t="shared" si="1"/>
        <v>5.2624805610410025E-2</v>
      </c>
    </row>
    <row r="19" spans="1:10" ht="15.95" thickBot="1">
      <c r="B19" s="172" t="s">
        <v>264</v>
      </c>
      <c r="C19" s="177"/>
      <c r="D19" s="177"/>
      <c r="E19" s="177"/>
      <c r="F19" s="177"/>
      <c r="G19" s="177"/>
      <c r="H19" s="177"/>
      <c r="I19" s="470" t="str">
        <f t="shared" si="0"/>
        <v/>
      </c>
      <c r="J19" s="503"/>
    </row>
    <row r="20" spans="1:10" ht="13.5" thickBot="1">
      <c r="B20" s="171" t="s">
        <v>69</v>
      </c>
      <c r="C20" s="452">
        <f>C76/C73</f>
        <v>0.40571089896915946</v>
      </c>
      <c r="D20" s="452">
        <f>D76/D73</f>
        <v>1.3475847135518645E-3</v>
      </c>
      <c r="E20" s="452">
        <f>E76/E73</f>
        <v>0.14059058934652383</v>
      </c>
      <c r="F20" s="452">
        <f>F76/F73</f>
        <v>1.6580440067319079E-2</v>
      </c>
      <c r="G20" s="452">
        <f>G76/G73</f>
        <v>1.5960859012565669</v>
      </c>
      <c r="H20" s="452"/>
      <c r="I20" s="471">
        <f t="shared" si="0"/>
        <v>0.43206308287062428</v>
      </c>
      <c r="J20" s="506">
        <f>SQRT((C20-I20)^2)</f>
        <v>2.6352183901464821E-2</v>
      </c>
    </row>
    <row r="21" spans="1:10" ht="13.5" thickBot="1">
      <c r="B21" s="445" t="s">
        <v>265</v>
      </c>
      <c r="C21" s="925">
        <f>(C76-C68)/C61</f>
        <v>1.5691330004539266</v>
      </c>
      <c r="D21" s="447">
        <f>(D76-D68)/D61</f>
        <v>-3.7712686567164178</v>
      </c>
      <c r="E21" s="447">
        <f>(E76-E68)/E61</f>
        <v>1.0659856630824374</v>
      </c>
      <c r="F21" s="447">
        <f>(F76-F68)/F61</f>
        <v>-0.2821152407084061</v>
      </c>
      <c r="G21" s="447">
        <f>(G76-G68)/G61</f>
        <v>0.491867336528652</v>
      </c>
      <c r="H21" s="447"/>
      <c r="I21" s="471">
        <f t="shared" si="0"/>
        <v>-0.18527957947196161</v>
      </c>
      <c r="J21" s="507">
        <f>SQRT((C21-I21)^2)</f>
        <v>1.7544125799258881</v>
      </c>
    </row>
    <row r="22" spans="1:10" ht="13.5" thickBot="1">
      <c r="B22" s="453" t="s">
        <v>266</v>
      </c>
      <c r="C22" s="903">
        <f>-C61/C63</f>
        <v>13.649318463444857</v>
      </c>
      <c r="D22" s="462">
        <f>-D61/D63</f>
        <v>-42.539682539682538</v>
      </c>
      <c r="E22" s="462">
        <f>-E61/E63</f>
        <v>-2.4844167408726627</v>
      </c>
      <c r="F22" s="462">
        <f>-F61/F63</f>
        <v>-1.0461899791231732</v>
      </c>
      <c r="G22" s="462">
        <f>-G61/G63</f>
        <v>-47.228181818181824</v>
      </c>
      <c r="H22" s="462"/>
      <c r="I22" s="472">
        <f t="shared" si="0"/>
        <v>-15.929830522883069</v>
      </c>
      <c r="J22" s="508">
        <f>SQRT((C22-I22)^2)</f>
        <v>29.579148986327926</v>
      </c>
    </row>
    <row r="23" spans="1:10" ht="15.95" thickBot="1">
      <c r="B23" s="172" t="s">
        <v>267</v>
      </c>
      <c r="C23" s="177"/>
      <c r="D23" s="177"/>
      <c r="E23" s="177"/>
      <c r="F23" s="177"/>
      <c r="G23" s="177"/>
      <c r="H23" s="177"/>
      <c r="I23" s="473"/>
      <c r="J23" s="503"/>
    </row>
    <row r="24" spans="1:10" ht="13.5" thickBot="1">
      <c r="B24" s="448" t="s">
        <v>268</v>
      </c>
      <c r="C24" s="924">
        <f>C71/C75</f>
        <v>1.9649193224692942</v>
      </c>
      <c r="D24" s="449">
        <f>D71/D75</f>
        <v>0.85577458071695423</v>
      </c>
      <c r="E24" s="449">
        <f>E71/E75</f>
        <v>1.524167292762334</v>
      </c>
      <c r="F24" s="449">
        <f>F71/F75</f>
        <v>0.90857645875251514</v>
      </c>
      <c r="G24" s="449">
        <f>G71/G75</f>
        <v>0.24692684793969996</v>
      </c>
      <c r="H24" s="449"/>
      <c r="I24" s="474">
        <f t="shared" ref="I24:I41" si="2">IFERROR(AVERAGE(C24:H24),"")</f>
        <v>1.1000729005281595</v>
      </c>
      <c r="J24" s="509">
        <f>SQRT((C24-I24)^2)</f>
        <v>0.8648464219411347</v>
      </c>
    </row>
    <row r="25" spans="1:10" ht="13.5" thickBot="1">
      <c r="B25" s="453" t="s">
        <v>269</v>
      </c>
      <c r="C25" s="902">
        <f>(C68+C69)/C75</f>
        <v>1.1693826764068393</v>
      </c>
      <c r="D25" s="454">
        <f>(D68+D69)/D75</f>
        <v>0.66811064303314527</v>
      </c>
      <c r="E25" s="454">
        <f>(E68+E69)/E75</f>
        <v>0.39539193588780364</v>
      </c>
      <c r="F25" s="454">
        <f>(F68+F69)/F75</f>
        <v>0.22044768611670015</v>
      </c>
      <c r="G25" s="454">
        <f>(G68+G69)/G75</f>
        <v>0.4638656204454783</v>
      </c>
      <c r="H25" s="454"/>
      <c r="I25" s="472">
        <f t="shared" si="2"/>
        <v>0.5834397123779933</v>
      </c>
      <c r="J25" s="510">
        <f>SQRT((C25-I25)^2)</f>
        <v>0.58594296402884605</v>
      </c>
    </row>
    <row r="26" spans="1:10" ht="15.95" thickBot="1">
      <c r="B26" s="172" t="s">
        <v>270</v>
      </c>
      <c r="C26" s="177"/>
      <c r="D26" s="177"/>
      <c r="E26" s="177"/>
      <c r="F26" s="177"/>
      <c r="G26" s="177"/>
      <c r="H26" s="177"/>
      <c r="I26" s="473" t="str">
        <f t="shared" si="2"/>
        <v/>
      </c>
      <c r="J26" s="503"/>
    </row>
    <row r="27" spans="1:10" ht="13.5" thickBot="1">
      <c r="B27" s="448" t="s">
        <v>271</v>
      </c>
      <c r="C27" s="449">
        <f>C60/C70</f>
        <v>3.9928478543563068</v>
      </c>
      <c r="D27" s="449">
        <f>D60/D70</f>
        <v>6.9507015059853267E-3</v>
      </c>
      <c r="E27" s="449">
        <f>E60/E70</f>
        <v>3.4494882903246058</v>
      </c>
      <c r="F27" s="449">
        <f>F60/F70</f>
        <v>1.2476312419974391</v>
      </c>
      <c r="G27" s="449">
        <f>G60/G70</f>
        <v>0.68046051917019656</v>
      </c>
      <c r="H27" s="449"/>
      <c r="I27" s="474">
        <f t="shared" si="2"/>
        <v>1.8754757214709066</v>
      </c>
      <c r="J27" s="509">
        <f>SQRT((C27-I27)^2)</f>
        <v>2.1173721328854</v>
      </c>
    </row>
    <row r="28" spans="1:10" ht="13.5" thickBot="1">
      <c r="B28" s="451" t="s">
        <v>272</v>
      </c>
      <c r="C28" s="454">
        <f>C59/C69</f>
        <v>4.3290760012614324</v>
      </c>
      <c r="D28" s="454">
        <f>D59/D69</f>
        <v>19.796720813724001</v>
      </c>
      <c r="E28" s="454">
        <f>E59/E69</f>
        <v>41.095652173913045</v>
      </c>
      <c r="F28" s="454">
        <f>F59/F69</f>
        <v>48.904494382022477</v>
      </c>
      <c r="G28" s="454">
        <f>G59/G69</f>
        <v>46.181764820974365</v>
      </c>
      <c r="H28" s="454"/>
      <c r="I28" s="471">
        <f t="shared" si="2"/>
        <v>32.061541638379069</v>
      </c>
      <c r="J28" s="510">
        <f>SQRT((C28-I28)^2)</f>
        <v>27.732465637117635</v>
      </c>
    </row>
    <row r="29" spans="1:10" ht="13.5" thickBot="1">
      <c r="A29" t="s">
        <v>273</v>
      </c>
      <c r="B29" s="445" t="s">
        <v>274</v>
      </c>
      <c r="C29" s="447">
        <f>C60/C74</f>
        <v>3.0958862673926197</v>
      </c>
      <c r="D29" s="447">
        <f>D60/D74</f>
        <v>2.5617913563262015E-3</v>
      </c>
      <c r="E29" s="447">
        <f>E60/E74</f>
        <v>-3.7991840121706661</v>
      </c>
      <c r="F29" s="447">
        <f>F60/F74</f>
        <v>64.960000000000008</v>
      </c>
      <c r="G29" s="447">
        <f>G60/G74</f>
        <v>0.29795025443477435</v>
      </c>
      <c r="H29" s="447"/>
      <c r="I29" s="471">
        <f t="shared" si="2"/>
        <v>12.911442860202616</v>
      </c>
      <c r="J29" s="507">
        <f>SQRT((C29-I29)^2)</f>
        <v>9.8155565928099957</v>
      </c>
    </row>
    <row r="30" spans="1:10" ht="13.5" thickBot="1">
      <c r="B30" s="451" t="s">
        <v>275</v>
      </c>
      <c r="C30" s="902">
        <f>C59/C72</f>
        <v>7.9869090909090907</v>
      </c>
      <c r="D30" s="454">
        <f>D59/D72</f>
        <v>1.9972889767035797</v>
      </c>
      <c r="E30" s="454">
        <f>E59/E72</f>
        <v>2.0781930841495106</v>
      </c>
      <c r="F30" s="454">
        <f>F59/F72</f>
        <v>1.9743706055794965</v>
      </c>
      <c r="G30" s="454">
        <f>G59/G72</f>
        <v>485.66872427983537</v>
      </c>
      <c r="H30" s="454"/>
      <c r="I30" s="471">
        <f t="shared" si="2"/>
        <v>99.941097207435405</v>
      </c>
      <c r="J30" s="510">
        <f>SQRT((C30-I30)^2)</f>
        <v>91.954188116526311</v>
      </c>
    </row>
    <row r="31" spans="1:10" ht="13.5" thickBot="1">
      <c r="B31" s="443" t="s">
        <v>276</v>
      </c>
      <c r="C31" s="923">
        <f>C59/C73</f>
        <v>1.1622885930190716</v>
      </c>
      <c r="D31" s="455">
        <f>D59/D73</f>
        <v>1.5019349934348436</v>
      </c>
      <c r="E31" s="455">
        <f>E59/E73</f>
        <v>1.2921876165146282</v>
      </c>
      <c r="F31" s="455">
        <f>F59/F73</f>
        <v>1.0852085021504707</v>
      </c>
      <c r="G31" s="455">
        <f>G59/G73</f>
        <v>7.2516820793265531</v>
      </c>
      <c r="H31" s="455"/>
      <c r="I31" s="471">
        <f t="shared" si="2"/>
        <v>2.4586603568891134</v>
      </c>
      <c r="J31" s="511">
        <f>SQRT((C31-I31)^2)</f>
        <v>1.2963717638700418</v>
      </c>
    </row>
    <row r="32" spans="1:10" ht="15.95" thickBot="1">
      <c r="B32" s="173" t="s">
        <v>110</v>
      </c>
      <c r="C32" s="177"/>
      <c r="D32" s="177"/>
      <c r="E32" s="177"/>
      <c r="F32" s="177"/>
      <c r="G32" s="177"/>
      <c r="H32" s="177"/>
      <c r="I32" s="475" t="str">
        <f t="shared" si="2"/>
        <v/>
      </c>
      <c r="J32" s="503"/>
    </row>
    <row r="33" spans="2:11" ht="13.5" thickBot="1">
      <c r="B33" s="171" t="s">
        <v>277</v>
      </c>
      <c r="C33" s="935">
        <f ca="1">C10/C65</f>
        <v>20.267108057464085</v>
      </c>
      <c r="D33" s="461">
        <v>10.7</v>
      </c>
      <c r="E33" s="461">
        <v>14.61</v>
      </c>
      <c r="F33" s="461">
        <v>5.44</v>
      </c>
      <c r="G33" s="461">
        <v>6.7</v>
      </c>
      <c r="H33" s="461"/>
      <c r="I33" s="474">
        <f t="shared" ca="1" si="2"/>
        <v>11.543421611492818</v>
      </c>
      <c r="J33" s="512">
        <f ca="1">SQRT((C33-I33)^2)</f>
        <v>8.7236864459712677</v>
      </c>
    </row>
    <row r="34" spans="2:11" ht="13.5" thickBot="1">
      <c r="B34" s="445" t="s">
        <v>273</v>
      </c>
      <c r="C34" s="450">
        <f ca="1">C10/C59</f>
        <v>2.9546202877435803</v>
      </c>
      <c r="D34" s="450">
        <f ca="1">D10/D59</f>
        <v>0.6408254537925322</v>
      </c>
      <c r="E34" s="450">
        <f ca="1">E10/E59</f>
        <v>0.47579704151117608</v>
      </c>
      <c r="F34" s="450">
        <f ca="1">F10/F59</f>
        <v>9.4169754021555132</v>
      </c>
      <c r="G34" s="450">
        <f ca="1">G10/G59</f>
        <v>13.998184822799502</v>
      </c>
      <c r="H34" s="450"/>
      <c r="I34" s="471">
        <f t="shared" ca="1" si="2"/>
        <v>5.4972806016004601</v>
      </c>
      <c r="J34" s="513">
        <f ca="1">SQRT((C34-I34)^2)</f>
        <v>2.5426603138568797</v>
      </c>
    </row>
    <row r="35" spans="2:11" ht="13.5" thickBot="1">
      <c r="B35" s="451" t="s">
        <v>278</v>
      </c>
      <c r="C35" s="463">
        <f ca="1">C10/C77</f>
        <v>11.713949458483754</v>
      </c>
      <c r="D35" s="463">
        <f ca="1">D10/D77</f>
        <v>2.9526970778417723</v>
      </c>
      <c r="E35" s="463">
        <f ca="1">E10/E77</f>
        <v>1.7246398689164693</v>
      </c>
      <c r="F35" s="463">
        <f ca="1">F10/F77</f>
        <v>38.23450134130772</v>
      </c>
      <c r="G35" s="463">
        <f ca="1">G10/G77</f>
        <v>69.411599643904125</v>
      </c>
      <c r="H35" s="463"/>
      <c r="I35" s="471">
        <f t="shared" ca="1" si="2"/>
        <v>24.807477478090767</v>
      </c>
      <c r="J35" s="514">
        <f ca="1">SQRT((C35-I35)^2)</f>
        <v>13.093528019607014</v>
      </c>
    </row>
    <row r="36" spans="2:11" ht="13.5" thickBot="1">
      <c r="B36" s="445" t="s">
        <v>279</v>
      </c>
      <c r="C36" s="957">
        <f ca="1">(C76+C10-C68)/C59</f>
        <v>3.2693899107630671</v>
      </c>
      <c r="D36" s="450">
        <f ca="1">(D76+D10-D68)/D59</f>
        <v>0.56331837946028029</v>
      </c>
      <c r="E36" s="450">
        <f ca="1">(E76+E10-E68)/E59</f>
        <v>0.53300667487400455</v>
      </c>
      <c r="F36" s="450">
        <f ca="1">(F76+F10-F68)/F59</f>
        <v>9.3520127370205337</v>
      </c>
      <c r="G36" s="450">
        <f ca="1">(G76+G10-G68)/G59</f>
        <v>14.106444191113523</v>
      </c>
      <c r="H36" s="450"/>
      <c r="I36" s="471">
        <f t="shared" ca="1" si="2"/>
        <v>5.5648343786462817</v>
      </c>
      <c r="J36" s="513">
        <f ca="1">SQRT((C36-I36)^2)</f>
        <v>2.2954444678832147</v>
      </c>
    </row>
    <row r="37" spans="2:11" ht="13.5" thickBot="1">
      <c r="B37" s="453" t="s">
        <v>280</v>
      </c>
      <c r="C37" s="460">
        <v>9.39</v>
      </c>
      <c r="D37" s="460" t="s">
        <v>281</v>
      </c>
      <c r="E37" s="460">
        <f ca="1">(E76+E10-E68)/E61</f>
        <v>9.9315000000000015</v>
      </c>
      <c r="F37" s="460">
        <f ca="1">(F76+F10-F68)/F61</f>
        <v>40.613255612753179</v>
      </c>
      <c r="G37" s="460">
        <f ca="1">(G76+G10-G68)/G61</f>
        <v>64.09144298761295</v>
      </c>
      <c r="H37" s="460"/>
      <c r="I37" s="472">
        <f t="shared" ca="1" si="2"/>
        <v>31.006549650091532</v>
      </c>
      <c r="J37" s="515">
        <f ca="1">SQRT((C37-I37)^2)</f>
        <v>21.616549650091532</v>
      </c>
    </row>
    <row r="38" spans="2:11" ht="15.95" thickBot="1">
      <c r="B38" s="173" t="s">
        <v>282</v>
      </c>
      <c r="C38" s="177"/>
      <c r="D38" s="177"/>
      <c r="E38" s="177"/>
      <c r="F38" s="177"/>
      <c r="G38" s="177"/>
      <c r="H38" s="177"/>
      <c r="I38" s="476" t="str">
        <f t="shared" si="2"/>
        <v/>
      </c>
      <c r="J38" s="503"/>
    </row>
    <row r="39" spans="2:11" ht="13.5" thickBot="1">
      <c r="B39" s="171" t="s">
        <v>46</v>
      </c>
      <c r="C39" s="922">
        <f>OP!M19</f>
        <v>0.88814229249011856</v>
      </c>
      <c r="D39" s="922">
        <v>0.94599999999999995</v>
      </c>
      <c r="E39" s="922">
        <v>0.47699999999999998</v>
      </c>
      <c r="F39" s="922">
        <v>0.59699999999999998</v>
      </c>
      <c r="G39" s="922">
        <v>0.37</v>
      </c>
      <c r="H39" s="922"/>
      <c r="I39" s="467">
        <f t="shared" si="2"/>
        <v>0.65562845849802376</v>
      </c>
      <c r="J39" s="921">
        <f>SQRT((C39-I39)^2)</f>
        <v>0.2325138339920948</v>
      </c>
    </row>
    <row r="40" spans="2:11" ht="13.5" thickBot="1">
      <c r="B40" s="456" t="s">
        <v>283</v>
      </c>
      <c r="C40" s="457">
        <f ca="1">OP!M21</f>
        <v>1.3444</v>
      </c>
      <c r="D40" s="457">
        <v>1.62</v>
      </c>
      <c r="E40" s="457">
        <v>1.65</v>
      </c>
      <c r="F40" s="457">
        <v>1.1399999999999999</v>
      </c>
      <c r="G40" s="457">
        <v>1.25</v>
      </c>
      <c r="H40" s="457"/>
      <c r="I40" s="477">
        <f t="shared" ca="1" si="2"/>
        <v>1.4008799999999999</v>
      </c>
      <c r="J40" s="516">
        <f ca="1">SQRT((C40-I40)^2)</f>
        <v>5.6479999999999864E-2</v>
      </c>
    </row>
    <row r="41" spans="2:11" ht="13.5" thickBot="1">
      <c r="B41" s="453" t="s">
        <v>284</v>
      </c>
      <c r="C41" s="920">
        <f ca="1">OP!M31</f>
        <v>1.5094814759634005E-4</v>
      </c>
      <c r="D41" s="920" t="s">
        <v>285</v>
      </c>
      <c r="E41" s="920">
        <v>5.7999999999999996E-3</v>
      </c>
      <c r="F41" s="920">
        <v>5.6000000000000001E-2</v>
      </c>
      <c r="G41" s="920">
        <v>3.7900000000000003E-2</v>
      </c>
      <c r="H41" s="920"/>
      <c r="I41" s="468">
        <f t="shared" ca="1" si="2"/>
        <v>2.4962737036899087E-2</v>
      </c>
      <c r="J41" s="919">
        <f ca="1">SQRT((C41-I41)^2)</f>
        <v>2.4811788889302747E-2</v>
      </c>
    </row>
    <row r="42" spans="2:11" ht="15.95" thickBot="1">
      <c r="B42" s="173" t="s">
        <v>286</v>
      </c>
      <c r="C42" s="177"/>
      <c r="D42" s="177"/>
      <c r="E42" s="177"/>
      <c r="F42" s="177"/>
      <c r="G42" s="177"/>
      <c r="H42" s="177"/>
      <c r="I42" s="478"/>
      <c r="J42" s="503"/>
    </row>
    <row r="43" spans="2:11" ht="13.5" thickBot="1">
      <c r="B43" s="175" t="s">
        <v>287</v>
      </c>
      <c r="C43" s="918">
        <v>0.33779999999999999</v>
      </c>
      <c r="D43" s="918">
        <v>0.64239999999999997</v>
      </c>
      <c r="E43" s="918">
        <v>0.39489999999999997</v>
      </c>
      <c r="F43" s="918">
        <v>0.29389999999999999</v>
      </c>
      <c r="G43" s="918">
        <v>-1.4200000000000001E-2</v>
      </c>
      <c r="H43" s="918"/>
      <c r="I43" s="467">
        <f t="shared" ref="I43:I53" si="3">IFERROR(AVERAGE(C43:H43),"")</f>
        <v>0.33096000000000003</v>
      </c>
      <c r="J43" s="495">
        <f>SQRT((C43-I43)^2)</f>
        <v>6.8399999999999572E-3</v>
      </c>
    </row>
    <row r="44" spans="2:11" ht="13.5" thickBot="1">
      <c r="B44" s="445" t="s">
        <v>288</v>
      </c>
      <c r="C44" s="917">
        <v>0.56000000000000005</v>
      </c>
      <c r="D44" s="917">
        <v>0.73150000000000004</v>
      </c>
      <c r="E44" s="917">
        <v>0.45739999999999997</v>
      </c>
      <c r="F44" s="917">
        <v>1.8425</v>
      </c>
      <c r="G44" s="917">
        <v>0.43780000000000002</v>
      </c>
      <c r="H44" s="917"/>
      <c r="I44" s="467">
        <f t="shared" si="3"/>
        <v>0.80584000000000011</v>
      </c>
      <c r="J44" s="517">
        <f>SQRT((C44-I44)^2)</f>
        <v>0.24584000000000006</v>
      </c>
    </row>
    <row r="45" spans="2:11" ht="13.5" thickBot="1">
      <c r="B45" s="176" t="s">
        <v>289</v>
      </c>
      <c r="C45" s="980" cm="1">
        <f t="array" aca="1" ref="C45" ca="1">_FV(C8,"Price")</f>
        <v>13435</v>
      </c>
      <c r="D45" s="980">
        <v>3.68</v>
      </c>
      <c r="E45" s="980" cm="1">
        <f t="array" aca="1" ref="E45" ca="1">_FV(E8,"Price")</f>
        <v>1.28</v>
      </c>
      <c r="F45" s="980" cm="1">
        <f t="array" aca="1" ref="F45" ca="1">_FV(F8,"Price")</f>
        <v>17285</v>
      </c>
      <c r="G45" s="980" cm="1">
        <f t="array" aca="1" ref="G45" ca="1">_FV(G8,"Price")</f>
        <v>180.1</v>
      </c>
      <c r="H45" s="916"/>
      <c r="I45" s="912">
        <f t="shared" ca="1" si="3"/>
        <v>6181.0119999999997</v>
      </c>
      <c r="J45" s="1055">
        <f ca="1">SQRT((C45-I45)^2)</f>
        <v>7253.9880000000003</v>
      </c>
    </row>
    <row r="46" spans="2:11" ht="13.5" thickBot="1">
      <c r="B46" s="445" t="s">
        <v>290</v>
      </c>
      <c r="C46" s="981">
        <v>10115</v>
      </c>
      <c r="D46" s="981">
        <v>3.37</v>
      </c>
      <c r="E46" s="981">
        <v>1.69</v>
      </c>
      <c r="F46" s="981">
        <v>18545</v>
      </c>
      <c r="G46" s="981">
        <v>185.5</v>
      </c>
      <c r="H46" s="458"/>
      <c r="I46" s="467">
        <f t="shared" si="3"/>
        <v>5770.1120000000001</v>
      </c>
      <c r="J46" s="1056">
        <f>SQRT((C46-I46)^2)</f>
        <v>4344.8879999999999</v>
      </c>
    </row>
    <row r="47" spans="2:11" ht="13.5" thickBot="1">
      <c r="B47" s="459" t="s">
        <v>291</v>
      </c>
      <c r="C47" s="915">
        <f ca="1">C46/C45-1</f>
        <v>-0.24711574246371415</v>
      </c>
      <c r="D47" s="915">
        <f>D46/D45-1</f>
        <v>-8.4239130434782594E-2</v>
      </c>
      <c r="E47" s="915">
        <f ca="1">E46/E45-1</f>
        <v>0.3203125</v>
      </c>
      <c r="F47" s="915">
        <f ca="1">F46/F45-1</f>
        <v>7.2895574197280988E-2</v>
      </c>
      <c r="G47" s="915">
        <f ca="1">G46/G45-1</f>
        <v>2.9983342587451389E-2</v>
      </c>
      <c r="H47" s="915"/>
      <c r="I47" s="479">
        <f t="shared" ca="1" si="3"/>
        <v>1.8367308777247127E-2</v>
      </c>
      <c r="J47" s="914">
        <f ca="1">SQRT((C47-I47)^2)</f>
        <v>0.26548305124096128</v>
      </c>
    </row>
    <row r="48" spans="2:11" ht="15.95" thickBot="1">
      <c r="B48" s="173" t="s">
        <v>292</v>
      </c>
      <c r="C48" s="173"/>
      <c r="D48" s="173"/>
      <c r="E48" s="173"/>
      <c r="F48" s="173"/>
      <c r="G48" s="173"/>
      <c r="H48" s="173"/>
      <c r="I48" s="173" t="str">
        <f t="shared" si="3"/>
        <v/>
      </c>
      <c r="J48" s="494"/>
      <c r="K48" s="499"/>
    </row>
    <row r="49" spans="2:11" ht="13.5" thickBot="1">
      <c r="B49" s="175" t="s">
        <v>293</v>
      </c>
      <c r="C49" s="832">
        <f>(Inputs!B59-Inputs!E59)/Inputs!E59</f>
        <v>0.35826867119301653</v>
      </c>
      <c r="D49" s="386">
        <f>1029.9/513</f>
        <v>2.0076023391812869</v>
      </c>
      <c r="E49" s="386">
        <f>59521/42544</f>
        <v>1.3990456938698759</v>
      </c>
      <c r="F49" s="386">
        <f>4343.3/1074.533</f>
        <v>4.0420350049742542</v>
      </c>
      <c r="G49" s="386">
        <f>33949/25900</f>
        <v>1.3107722007722007</v>
      </c>
      <c r="H49" s="386"/>
      <c r="I49" s="479">
        <f t="shared" si="3"/>
        <v>1.8235447819981268</v>
      </c>
      <c r="J49" s="495">
        <f>SQRT((C49-I49)^2)</f>
        <v>1.4652761108051102</v>
      </c>
      <c r="K49" s="386"/>
    </row>
    <row r="50" spans="2:11" ht="13.5" hidden="1" thickBot="1">
      <c r="B50" s="496" t="s">
        <v>294</v>
      </c>
      <c r="C50" s="497">
        <f>C66/C11</f>
        <v>0</v>
      </c>
      <c r="D50" s="497">
        <f>D66/D11</f>
        <v>0</v>
      </c>
      <c r="E50" s="497">
        <f>E66/E11</f>
        <v>0</v>
      </c>
      <c r="F50" s="497">
        <f>F66/F11</f>
        <v>0</v>
      </c>
      <c r="G50" s="497">
        <f>G66/G11</f>
        <v>0</v>
      </c>
      <c r="H50" s="497"/>
      <c r="I50" s="479">
        <f t="shared" si="3"/>
        <v>0</v>
      </c>
      <c r="J50" s="498">
        <f>SQRT((C50-I50)^2)</f>
        <v>0</v>
      </c>
      <c r="K50" s="913"/>
    </row>
    <row r="51" spans="2:11" ht="15.95" thickBot="1">
      <c r="B51" s="173" t="s">
        <v>295</v>
      </c>
      <c r="C51" s="173"/>
      <c r="D51" s="173"/>
      <c r="E51" s="173"/>
      <c r="F51" s="173"/>
      <c r="G51" s="173"/>
      <c r="H51" s="173"/>
      <c r="I51" s="173" t="str">
        <f t="shared" si="3"/>
        <v/>
      </c>
      <c r="J51" s="494"/>
    </row>
    <row r="52" spans="2:11" ht="13.5" thickBot="1">
      <c r="B52" s="175" t="s">
        <v>296</v>
      </c>
      <c r="C52" s="832">
        <f>C79/C59</f>
        <v>0.8378437443088691</v>
      </c>
      <c r="D52" s="832">
        <f>D79/D59</f>
        <v>0.92556805545969734</v>
      </c>
      <c r="E52" s="832">
        <f>E79/E59</f>
        <v>3.1912437964067245E-2</v>
      </c>
      <c r="F52" s="832">
        <f>F79/F59</f>
        <v>0.14543365881677195</v>
      </c>
      <c r="G52" s="832">
        <f>G79/G59</f>
        <v>0.3349037219056496</v>
      </c>
      <c r="H52" s="832"/>
      <c r="I52" s="479">
        <f t="shared" si="3"/>
        <v>0.45513232369101103</v>
      </c>
      <c r="J52" s="495">
        <f>SQRT((C52-I52)^2)</f>
        <v>0.38271142061785807</v>
      </c>
    </row>
    <row r="53" spans="2:11" ht="13.5" thickBot="1">
      <c r="B53" s="496" t="s">
        <v>297</v>
      </c>
      <c r="C53" s="836">
        <f>C79</f>
        <v>4600.6000000000004</v>
      </c>
      <c r="D53" s="836">
        <f>D79</f>
        <v>12069.5</v>
      </c>
      <c r="E53" s="836">
        <f>E79</f>
        <v>331.8</v>
      </c>
      <c r="F53" s="836">
        <f>F79</f>
        <v>497.28479999999996</v>
      </c>
      <c r="G53" s="836">
        <f>G79</f>
        <v>6010.0954700000002</v>
      </c>
      <c r="H53" s="836"/>
      <c r="I53" s="1057">
        <f t="shared" si="3"/>
        <v>4701.8560539999999</v>
      </c>
      <c r="J53" s="1058">
        <f>SQRT((C53-I53)^2)</f>
        <v>101.25605399999949</v>
      </c>
    </row>
    <row r="54" spans="2:11" ht="12.95" thickBot="1"/>
    <row r="55" spans="2:11" ht="15.6">
      <c r="B55" s="435" t="s">
        <v>298</v>
      </c>
      <c r="C55" s="434" t="e" vm="1">
        <f>OP!E2</f>
        <v>#VALUE!</v>
      </c>
      <c r="D55" s="339" t="e" vm="3">
        <f>D8</f>
        <v>#VALUE!</v>
      </c>
      <c r="E55" s="340" t="e" vm="5">
        <f>E8</f>
        <v>#VALUE!</v>
      </c>
      <c r="F55" s="341" t="e" vm="4">
        <f>F8</f>
        <v>#VALUE!</v>
      </c>
      <c r="G55" s="949" t="e" vm="6">
        <f>G8</f>
        <v>#VALUE!</v>
      </c>
      <c r="H55" s="545"/>
    </row>
    <row r="56" spans="2:11" ht="12.95">
      <c r="B56" s="166" t="s">
        <v>299</v>
      </c>
      <c r="C56" s="167"/>
      <c r="D56" s="167"/>
      <c r="E56" s="167"/>
      <c r="F56" s="167"/>
      <c r="G56" s="168"/>
      <c r="H56" s="168"/>
    </row>
    <row r="57" spans="2:11" ht="12.95">
      <c r="B57" s="165" t="s">
        <v>300</v>
      </c>
      <c r="C57" s="858">
        <f>'Fin. Data'!E5</f>
        <v>3534.4</v>
      </c>
      <c r="D57" s="859">
        <v>10880.3</v>
      </c>
      <c r="E57" s="859">
        <v>9831.2999999999993</v>
      </c>
      <c r="F57" s="859">
        <f>11340*F88</f>
        <v>2221.5059999999999</v>
      </c>
      <c r="G57" s="951">
        <f>G88*223600</f>
        <v>19734.936000000002</v>
      </c>
      <c r="H57" s="943"/>
    </row>
    <row r="58" spans="2:11" ht="13.5" thickBot="1">
      <c r="B58" s="165" t="s">
        <v>301</v>
      </c>
      <c r="C58" s="858">
        <f>'Fin. Data'!C5</f>
        <v>5034</v>
      </c>
      <c r="D58" s="859">
        <v>11.9313</v>
      </c>
      <c r="E58" s="859">
        <v>10125</v>
      </c>
      <c r="F58" s="859">
        <f>15930*F87</f>
        <v>2970.9450000000002</v>
      </c>
      <c r="G58" s="943">
        <f>G87*223553</f>
        <v>17658.45147</v>
      </c>
      <c r="H58" s="943"/>
    </row>
    <row r="59" spans="2:11" ht="13.5" thickBot="1">
      <c r="B59" s="165" t="s">
        <v>255</v>
      </c>
      <c r="C59" s="858">
        <f>'Fin. Data'!B5</f>
        <v>5491</v>
      </c>
      <c r="D59" s="737">
        <v>13040.1</v>
      </c>
      <c r="E59" s="737">
        <v>10397.200000000001</v>
      </c>
      <c r="F59" s="737">
        <f>F86*17410</f>
        <v>3419.3240000000001</v>
      </c>
      <c r="G59" s="944">
        <f>G86*236035</f>
        <v>17945.741050000001</v>
      </c>
      <c r="H59" s="944"/>
    </row>
    <row r="60" spans="2:11" ht="13.5" thickBot="1">
      <c r="B60" s="165" t="s">
        <v>302</v>
      </c>
      <c r="C60" s="858">
        <f>'Fin. Data'!B5-'Fin. Data'!B7</f>
        <v>3070.5</v>
      </c>
      <c r="D60" s="859">
        <v>5.4</v>
      </c>
      <c r="E60" s="859">
        <v>5494</v>
      </c>
      <c r="F60" s="859">
        <f>F86*4872</f>
        <v>956.86079999999993</v>
      </c>
      <c r="G60" s="943">
        <f>G86*6265</f>
        <v>476.32794999999999</v>
      </c>
      <c r="H60" s="943"/>
    </row>
    <row r="61" spans="2:11" ht="12.95">
      <c r="B61" s="165" t="s">
        <v>53</v>
      </c>
      <c r="C61" s="858">
        <f>'Fin. Data'!B19</f>
        <v>1101.5</v>
      </c>
      <c r="D61" s="859">
        <v>268</v>
      </c>
      <c r="E61" s="859">
        <v>558</v>
      </c>
      <c r="F61" s="859">
        <f>F86*4009</f>
        <v>787.36759999999992</v>
      </c>
      <c r="G61" s="943">
        <f>G86*51951</f>
        <v>3949.8345300000001</v>
      </c>
      <c r="H61" s="943"/>
    </row>
    <row r="62" spans="2:11" ht="12.95">
      <c r="B62" s="165" t="s">
        <v>303</v>
      </c>
      <c r="C62" s="860">
        <f>'Fin. Data'!B11</f>
        <v>975.6</v>
      </c>
      <c r="D62" s="859">
        <v>714.2</v>
      </c>
      <c r="E62" s="859">
        <v>30.5</v>
      </c>
      <c r="F62" s="859">
        <f>F86*1022</f>
        <v>200.7208</v>
      </c>
      <c r="G62" s="943">
        <f>G86*19632</f>
        <v>1492.62096</v>
      </c>
      <c r="H62" s="943"/>
    </row>
    <row r="63" spans="2:11" ht="12.95">
      <c r="B63" s="165" t="s">
        <v>304</v>
      </c>
      <c r="C63" s="860">
        <f>'Fin. Data'!B14</f>
        <v>-80.7</v>
      </c>
      <c r="D63" s="859">
        <v>6.3</v>
      </c>
      <c r="E63" s="859">
        <v>224.6</v>
      </c>
      <c r="F63" s="859">
        <f>F86*3832</f>
        <v>752.60479999999995</v>
      </c>
      <c r="G63" s="943">
        <f>G86*1100</f>
        <v>83.632999999999996</v>
      </c>
      <c r="H63" s="943"/>
    </row>
    <row r="64" spans="2:11" ht="12.95">
      <c r="B64" s="165" t="s">
        <v>305</v>
      </c>
      <c r="C64" s="860">
        <f>'Fin. Data'!B21</f>
        <v>-215.3</v>
      </c>
      <c r="D64" s="859">
        <v>247.3</v>
      </c>
      <c r="E64" s="859">
        <v>18.399999999999999</v>
      </c>
      <c r="F64" s="859">
        <f>F86*212</f>
        <v>41.636800000000001</v>
      </c>
      <c r="G64" s="943">
        <f>G86*5565</f>
        <v>423.10694999999998</v>
      </c>
      <c r="H64" s="943"/>
    </row>
    <row r="65" spans="2:8" ht="13.5" thickBot="1">
      <c r="B65" s="165" t="s">
        <v>65</v>
      </c>
      <c r="C65" s="860">
        <f>'Fin. Data'!B23</f>
        <v>800.5</v>
      </c>
      <c r="D65" s="859">
        <v>714.2</v>
      </c>
      <c r="E65" s="859">
        <v>538.79999999999995</v>
      </c>
      <c r="F65" s="859">
        <f>F86*1022</f>
        <v>200.7208</v>
      </c>
      <c r="G65" s="943">
        <f>G86*4332</f>
        <v>329.36196000000001</v>
      </c>
      <c r="H65" s="943"/>
    </row>
    <row r="66" spans="2:8" ht="12.95" hidden="1">
      <c r="B66" s="165" t="s">
        <v>306</v>
      </c>
      <c r="C66" s="860"/>
      <c r="D66" s="859"/>
      <c r="E66" s="859"/>
      <c r="F66" s="859"/>
      <c r="G66" s="943"/>
      <c r="H66" s="943"/>
    </row>
    <row r="67" spans="2:8" ht="13.5" thickBot="1">
      <c r="B67" s="169" t="s">
        <v>307</v>
      </c>
      <c r="C67" s="170"/>
      <c r="D67" s="871"/>
      <c r="E67" s="871"/>
      <c r="F67" s="871"/>
      <c r="G67" s="945"/>
      <c r="H67" s="945"/>
    </row>
    <row r="68" spans="2:8" ht="13.5" thickBot="1">
      <c r="B68" s="165" t="s">
        <v>308</v>
      </c>
      <c r="C68" s="181">
        <f>'Fin. Data'!B39</f>
        <v>188.3</v>
      </c>
      <c r="D68" s="859">
        <v>1022.4</v>
      </c>
      <c r="E68" s="859">
        <v>536.4</v>
      </c>
      <c r="F68" s="859">
        <f>F86*1397</f>
        <v>274.37079999999997</v>
      </c>
      <c r="G68" s="943">
        <f>G86*26398</f>
        <v>2007.0399400000001</v>
      </c>
      <c r="H68" s="943"/>
    </row>
    <row r="69" spans="2:8" ht="12.95">
      <c r="B69" s="165" t="s">
        <v>309</v>
      </c>
      <c r="C69" s="181">
        <f>'Fin. Data'!B40</f>
        <v>1268.3999999999999</v>
      </c>
      <c r="D69" s="859">
        <v>658.7</v>
      </c>
      <c r="E69" s="859">
        <v>253</v>
      </c>
      <c r="F69" s="859">
        <f>F86*356</f>
        <v>69.918399999999991</v>
      </c>
      <c r="G69" s="943">
        <f>G86*5111</f>
        <v>388.58933000000002</v>
      </c>
      <c r="H69" s="943"/>
    </row>
    <row r="70" spans="2:8" ht="12.95">
      <c r="B70" s="165" t="s">
        <v>310</v>
      </c>
      <c r="C70" s="181">
        <f>'Fin. Data'!B41</f>
        <v>769</v>
      </c>
      <c r="D70" s="859">
        <v>776.9</v>
      </c>
      <c r="E70" s="859">
        <v>1592.7</v>
      </c>
      <c r="F70" s="859">
        <f>F86*3905</f>
        <v>766.94200000000001</v>
      </c>
      <c r="G70" s="943">
        <f>G86*9207</f>
        <v>700.00820999999996</v>
      </c>
      <c r="H70" s="943"/>
    </row>
    <row r="71" spans="2:8" ht="12.95">
      <c r="B71" s="165" t="s">
        <v>311</v>
      </c>
      <c r="C71" s="181">
        <f>Inputs!B27</f>
        <v>2447.6999999999998</v>
      </c>
      <c r="D71" s="859">
        <v>2153.3000000000002</v>
      </c>
      <c r="E71" s="859">
        <v>3043</v>
      </c>
      <c r="F71" s="859">
        <f>F86*7225</f>
        <v>1418.99</v>
      </c>
      <c r="G71" s="943">
        <f>G86*16773</f>
        <v>1275.25119</v>
      </c>
      <c r="H71" s="943"/>
    </row>
    <row r="72" spans="2:8" ht="12.95">
      <c r="B72" s="165" t="s">
        <v>312</v>
      </c>
      <c r="C72" s="181">
        <f>'Fin. Data'!B42</f>
        <v>687.5</v>
      </c>
      <c r="D72" s="859">
        <v>6528.9</v>
      </c>
      <c r="E72" s="859">
        <v>5003</v>
      </c>
      <c r="F72" s="859">
        <f>F86*8818</f>
        <v>1731.8552</v>
      </c>
      <c r="G72" s="943">
        <f>G86*486</f>
        <v>36.950580000000002</v>
      </c>
      <c r="H72" s="943"/>
    </row>
    <row r="73" spans="2:8" ht="12.95">
      <c r="B73" s="165" t="s">
        <v>42</v>
      </c>
      <c r="C73" s="181">
        <f>'Fin. Data'!B44</f>
        <v>4724.3</v>
      </c>
      <c r="D73" s="859">
        <v>8682.2000000000007</v>
      </c>
      <c r="E73" s="859">
        <v>8046.2</v>
      </c>
      <c r="F73" s="859">
        <f>F86*16043</f>
        <v>3150.8451999999997</v>
      </c>
      <c r="G73" s="943">
        <f>G86*32549</f>
        <v>2474.7004700000002</v>
      </c>
      <c r="H73" s="943"/>
    </row>
    <row r="74" spans="2:8" ht="12.95">
      <c r="B74" s="165" t="s">
        <v>313</v>
      </c>
      <c r="C74" s="181">
        <f>Inputs!B43</f>
        <v>991.8</v>
      </c>
      <c r="D74" s="859">
        <v>2107.9</v>
      </c>
      <c r="E74" s="859">
        <v>-1446.1</v>
      </c>
      <c r="F74" s="859">
        <f>F86*75</f>
        <v>14.729999999999999</v>
      </c>
      <c r="G74" s="943">
        <f>G86*21027</f>
        <v>1598.68281</v>
      </c>
      <c r="H74" s="943"/>
    </row>
    <row r="75" spans="2:8" ht="12.95">
      <c r="B75" s="165" t="s">
        <v>314</v>
      </c>
      <c r="C75" s="181">
        <f>Inputs!B42</f>
        <v>1245.7</v>
      </c>
      <c r="D75" s="737">
        <v>2516.1999999999998</v>
      </c>
      <c r="E75" s="737">
        <v>1996.5</v>
      </c>
      <c r="F75" s="737">
        <f>F86*7952</f>
        <v>1561.7728</v>
      </c>
      <c r="G75" s="944">
        <f>G86*67927</f>
        <v>5164.48981</v>
      </c>
      <c r="H75" s="944"/>
    </row>
    <row r="76" spans="2:8" ht="12.95">
      <c r="B76" s="165" t="s">
        <v>315</v>
      </c>
      <c r="C76" s="181">
        <f>'Fin. Data'!B58</f>
        <v>1916.7</v>
      </c>
      <c r="D76" s="859">
        <v>11.7</v>
      </c>
      <c r="E76" s="859">
        <v>1131.22</v>
      </c>
      <c r="F76" s="859">
        <f>F86*266</f>
        <v>52.242399999999996</v>
      </c>
      <c r="G76" s="943">
        <f>G86*51951</f>
        <v>3949.8345300000001</v>
      </c>
      <c r="H76" s="943"/>
    </row>
    <row r="77" spans="2:8" ht="12.95">
      <c r="B77" s="833" t="s">
        <v>316</v>
      </c>
      <c r="C77" s="834">
        <f>'Fin. Data'!B64</f>
        <v>1385</v>
      </c>
      <c r="D77" s="872">
        <v>2830.1</v>
      </c>
      <c r="E77" s="872">
        <v>2868.4</v>
      </c>
      <c r="F77" s="872">
        <f>F86*4288</f>
        <v>842.16319999999996</v>
      </c>
      <c r="G77" s="946">
        <f>G86*47601</f>
        <v>3619.10403</v>
      </c>
      <c r="H77" s="946"/>
    </row>
    <row r="78" spans="2:8" ht="12.95">
      <c r="B78" s="1410" t="s">
        <v>317</v>
      </c>
      <c r="C78" s="1411"/>
      <c r="D78" s="873"/>
      <c r="E78" s="873"/>
      <c r="F78" s="875"/>
      <c r="G78" s="947"/>
      <c r="H78" s="947"/>
    </row>
    <row r="79" spans="2:8" ht="12.95">
      <c r="B79" s="835" t="s">
        <v>318</v>
      </c>
      <c r="C79" s="866">
        <f>Segments!D5</f>
        <v>4600.6000000000004</v>
      </c>
      <c r="D79" s="874">
        <v>12069.5</v>
      </c>
      <c r="E79" s="874">
        <v>331.8</v>
      </c>
      <c r="F79" s="874">
        <f>F86*2532</f>
        <v>497.28479999999996</v>
      </c>
      <c r="G79" s="948">
        <f>G86*79049</f>
        <v>6010.0954700000002</v>
      </c>
      <c r="H79" s="948"/>
    </row>
    <row r="80" spans="2:8" ht="12.95" thickBot="1"/>
    <row r="81" spans="2:13" s="97" customFormat="1" ht="12.6" customHeight="1">
      <c r="B81" s="147"/>
      <c r="C81" s="1401" t="s">
        <v>319</v>
      </c>
      <c r="D81" s="1402"/>
      <c r="E81" s="1402"/>
      <c r="F81" s="1402"/>
      <c r="G81" s="1403"/>
      <c r="H81"/>
      <c r="I81"/>
      <c r="J81"/>
      <c r="K81"/>
      <c r="L81"/>
      <c r="M81"/>
    </row>
    <row r="82" spans="2:13" ht="12.95" customHeight="1" thickBot="1">
      <c r="B82" s="128"/>
      <c r="C82" s="1404"/>
      <c r="D82" s="1405"/>
      <c r="E82" s="1405"/>
      <c r="F82" s="1405"/>
      <c r="G82" s="1406"/>
    </row>
    <row r="83" spans="2:13" ht="18" customHeight="1" thickBot="1">
      <c r="B83" s="738" t="s">
        <v>320</v>
      </c>
      <c r="C83" s="434" t="e" vm="1">
        <f>C8</f>
        <v>#VALUE!</v>
      </c>
      <c r="D83" s="955" t="e" vm="3">
        <f>D8</f>
        <v>#VALUE!</v>
      </c>
      <c r="E83" s="954" t="e" vm="5">
        <f>E8</f>
        <v>#VALUE!</v>
      </c>
      <c r="F83" s="953" t="e" vm="4">
        <f>F8</f>
        <v>#VALUE!</v>
      </c>
      <c r="G83" s="956" t="e" vm="6">
        <f>G8</f>
        <v>#VALUE!</v>
      </c>
    </row>
    <row r="84" spans="2:13" ht="12.95">
      <c r="B84" s="936" t="s">
        <v>321</v>
      </c>
      <c r="C84" s="1026" t="s">
        <v>322</v>
      </c>
      <c r="D84" s="1026" t="s">
        <v>322</v>
      </c>
      <c r="E84" s="1026" t="s">
        <v>323</v>
      </c>
      <c r="F84" s="937" t="s">
        <v>324</v>
      </c>
      <c r="G84" s="938" t="s">
        <v>325</v>
      </c>
    </row>
    <row r="85" spans="2:13" ht="12.95">
      <c r="B85" s="939" t="s">
        <v>326</v>
      </c>
      <c r="C85" s="1027" t="s">
        <v>68</v>
      </c>
      <c r="D85" s="1027" t="s">
        <v>68</v>
      </c>
      <c r="E85" s="940" t="s">
        <v>327</v>
      </c>
      <c r="F85" s="940" t="s">
        <v>328</v>
      </c>
      <c r="G85" s="941" t="s">
        <v>329</v>
      </c>
    </row>
    <row r="86" spans="2:13" ht="12.95">
      <c r="B86" s="939" t="s">
        <v>330</v>
      </c>
      <c r="C86" s="1028" t="s">
        <v>68</v>
      </c>
      <c r="D86" s="1028" t="s">
        <v>68</v>
      </c>
      <c r="E86" s="1028">
        <v>0.1109</v>
      </c>
      <c r="F86" s="1028">
        <v>0.19639999999999999</v>
      </c>
      <c r="G86" s="1029">
        <v>7.603E-2</v>
      </c>
    </row>
    <row r="87" spans="2:13" ht="12.95">
      <c r="B87" s="939" t="s">
        <v>331</v>
      </c>
      <c r="C87" s="1028" t="s">
        <v>68</v>
      </c>
      <c r="D87" s="1028" t="s">
        <v>68</v>
      </c>
      <c r="E87" s="1028">
        <v>0.1169</v>
      </c>
      <c r="F87" s="1030">
        <v>0.1865</v>
      </c>
      <c r="G87" s="1029">
        <v>7.8990000000000005E-2</v>
      </c>
    </row>
    <row r="88" spans="2:13" ht="13.5" thickBot="1">
      <c r="B88" s="942" t="s">
        <v>332</v>
      </c>
      <c r="C88" s="1031" t="s">
        <v>68</v>
      </c>
      <c r="D88" s="1031" t="s">
        <v>68</v>
      </c>
      <c r="E88" s="1031">
        <v>0.11119999999999999</v>
      </c>
      <c r="F88" s="1032">
        <v>0.19589999999999999</v>
      </c>
      <c r="G88" s="1033">
        <v>8.8260000000000005E-2</v>
      </c>
    </row>
    <row r="92" spans="2:13">
      <c r="G92" s="867"/>
    </row>
    <row r="93" spans="2:13">
      <c r="E93" s="867"/>
    </row>
    <row r="103" spans="5:5">
      <c r="E103" s="254"/>
    </row>
  </sheetData>
  <mergeCells count="15">
    <mergeCell ref="D1:H1"/>
    <mergeCell ref="L9:N9"/>
    <mergeCell ref="M14:N15"/>
    <mergeCell ref="L14:L15"/>
    <mergeCell ref="M12:N13"/>
    <mergeCell ref="L12:L13"/>
    <mergeCell ref="M10:N11"/>
    <mergeCell ref="L10:L11"/>
    <mergeCell ref="C81:G82"/>
    <mergeCell ref="D2:G2"/>
    <mergeCell ref="D3:G3"/>
    <mergeCell ref="D4:G4"/>
    <mergeCell ref="D5:G5"/>
    <mergeCell ref="B78:C78"/>
    <mergeCell ref="D6:H6"/>
  </mergeCell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ColWidth="11.42578125" defaultRowHeight="12.6"/>
  <cols>
    <col min="1" max="1" width="27.140625" bestFit="1" customWidth="1"/>
  </cols>
  <sheetData>
    <row r="1" spans="1:1">
      <c r="A1" t="s">
        <v>333</v>
      </c>
    </row>
    <row r="2" spans="1:1">
      <c r="A2" t="s">
        <v>334</v>
      </c>
    </row>
    <row r="3" spans="1:1">
      <c r="A3" t="s">
        <v>335</v>
      </c>
    </row>
    <row r="4" spans="1:1">
      <c r="A4" t="s">
        <v>336</v>
      </c>
    </row>
    <row r="5" spans="1:1">
      <c r="A5" t="s">
        <v>337</v>
      </c>
    </row>
    <row r="6" spans="1:1">
      <c r="A6" s="10" t="s">
        <v>338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2E0-A099-472F-B885-77443363F881}">
  <sheetPr>
    <tabColor rgb="FF00B050"/>
  </sheetPr>
  <dimension ref="A1:AC100"/>
  <sheetViews>
    <sheetView showGridLines="0" zoomScale="85" zoomScaleNormal="85" workbookViewId="0">
      <selection activeCell="B2" sqref="B2"/>
    </sheetView>
  </sheetViews>
  <sheetFormatPr defaultColWidth="11.42578125" defaultRowHeight="12.6"/>
  <cols>
    <col min="1" max="1" width="1.140625" style="70" customWidth="1"/>
    <col min="2" max="2" width="59.42578125" style="70" customWidth="1"/>
    <col min="3" max="4" width="13" style="70" customWidth="1"/>
    <col min="5" max="5" width="11.42578125" style="70" bestFit="1" customWidth="1"/>
    <col min="6" max="6" width="11" style="70" customWidth="1"/>
    <col min="7" max="7" width="10.5703125" style="70" customWidth="1"/>
    <col min="8" max="8" width="20.42578125" style="423" customWidth="1"/>
    <col min="9" max="9" width="22.42578125" style="423" customWidth="1"/>
    <col min="10" max="10" width="64" style="70" customWidth="1"/>
    <col min="11" max="11" width="34.5703125" style="70" bestFit="1" customWidth="1"/>
    <col min="12" max="12" width="21.42578125" style="70" customWidth="1"/>
    <col min="13" max="13" width="20" style="70" customWidth="1"/>
    <col min="14" max="14" width="20.85546875" style="70" bestFit="1" customWidth="1"/>
    <col min="15" max="15" width="20" style="70" bestFit="1" customWidth="1"/>
    <col min="16" max="16" width="20" style="70" customWidth="1"/>
    <col min="17" max="17" width="22.42578125" style="70" bestFit="1" customWidth="1"/>
    <col min="18" max="18" width="15.85546875" style="70" customWidth="1"/>
    <col min="19" max="19" width="10.85546875" style="70" customWidth="1"/>
    <col min="20" max="20" width="12.42578125" style="70" bestFit="1" customWidth="1"/>
    <col min="21" max="21" width="15.5703125" style="70" customWidth="1"/>
    <col min="22" max="22" width="18.140625" style="70" bestFit="1" customWidth="1"/>
    <col min="23" max="23" width="14.5703125" style="70" customWidth="1"/>
    <col min="24" max="24" width="17.42578125" style="70" bestFit="1" customWidth="1"/>
    <col min="25" max="30" width="11.42578125" style="70"/>
    <col min="31" max="31" width="13" style="70" bestFit="1" customWidth="1"/>
    <col min="32" max="16384" width="11.42578125" style="70"/>
  </cols>
  <sheetData>
    <row r="1" spans="1:29" ht="12.95">
      <c r="B1" s="197" t="s">
        <v>339</v>
      </c>
      <c r="C1" s="74"/>
      <c r="D1" s="74"/>
      <c r="E1" s="74"/>
      <c r="F1" s="74"/>
      <c r="G1" s="74"/>
      <c r="H1" s="417"/>
      <c r="I1" s="417"/>
      <c r="J1" s="74"/>
      <c r="T1" s="84" t="s">
        <v>340</v>
      </c>
    </row>
    <row r="2" spans="1:29" ht="13.5" thickBot="1">
      <c r="B2" s="80" t="s">
        <v>341</v>
      </c>
      <c r="C2" s="198" t="s">
        <v>342</v>
      </c>
      <c r="D2" s="74"/>
      <c r="E2" s="74"/>
      <c r="F2" s="74"/>
      <c r="G2" s="74"/>
      <c r="H2" s="417"/>
      <c r="I2" s="417"/>
      <c r="J2" s="74"/>
      <c r="T2" s="84" t="s">
        <v>343</v>
      </c>
    </row>
    <row r="3" spans="1:29" ht="20.45" thickBot="1">
      <c r="B3" s="1426" t="s">
        <v>344</v>
      </c>
      <c r="C3" s="1426"/>
      <c r="D3" s="1426"/>
      <c r="E3" s="1426"/>
      <c r="F3" s="1426"/>
      <c r="G3" s="1426"/>
      <c r="H3" s="1426"/>
      <c r="I3" s="1426"/>
      <c r="J3" s="1426"/>
      <c r="K3" s="1427" t="s">
        <v>345</v>
      </c>
      <c r="L3" s="1427"/>
      <c r="M3" s="1427"/>
      <c r="N3" s="1427"/>
      <c r="O3" s="1427"/>
      <c r="P3" s="1427"/>
      <c r="Q3" s="1427"/>
      <c r="T3" s="84">
        <v>2019</v>
      </c>
      <c r="U3" s="84">
        <v>2020</v>
      </c>
      <c r="V3" s="84">
        <v>2021</v>
      </c>
      <c r="W3" s="84">
        <v>2022</v>
      </c>
      <c r="X3" s="84">
        <v>2023</v>
      </c>
      <c r="Y3" s="84">
        <v>2019</v>
      </c>
      <c r="Z3" s="84">
        <v>2020</v>
      </c>
      <c r="AA3" s="84">
        <v>2021</v>
      </c>
      <c r="AB3" s="84">
        <v>2022</v>
      </c>
      <c r="AC3" s="84">
        <v>2023</v>
      </c>
    </row>
    <row r="4" spans="1:29" ht="31.5" thickBot="1">
      <c r="B4" s="188" t="s">
        <v>346</v>
      </c>
      <c r="C4" s="219" t="s">
        <v>347</v>
      </c>
      <c r="D4" s="219" t="s">
        <v>348</v>
      </c>
      <c r="E4" s="219" t="s">
        <v>349</v>
      </c>
      <c r="F4" s="219" t="s">
        <v>350</v>
      </c>
      <c r="G4" s="219" t="s">
        <v>351</v>
      </c>
      <c r="H4" s="189" t="s">
        <v>352</v>
      </c>
      <c r="I4" s="189" t="s">
        <v>353</v>
      </c>
      <c r="J4" s="190" t="s">
        <v>354</v>
      </c>
      <c r="K4" s="188" t="s">
        <v>346</v>
      </c>
      <c r="L4" s="220" t="e" vm="1">
        <f>Peers!C8</f>
        <v>#VALUE!</v>
      </c>
      <c r="M4" s="220" t="e" vm="3">
        <f>Peers!D8</f>
        <v>#VALUE!</v>
      </c>
      <c r="N4" s="220" t="e" vm="5">
        <f>Peers!E8</f>
        <v>#VALUE!</v>
      </c>
      <c r="O4" s="220" t="e" vm="4">
        <f>Peers!F8</f>
        <v>#VALUE!</v>
      </c>
      <c r="P4" s="220" t="e" vm="6">
        <f>Peers!G8</f>
        <v>#VALUE!</v>
      </c>
      <c r="Q4" s="220">
        <f>Peers!H8</f>
        <v>0</v>
      </c>
      <c r="R4" s="544" t="s">
        <v>249</v>
      </c>
      <c r="T4" s="84">
        <v>46.911000000000001</v>
      </c>
      <c r="U4" s="84">
        <v>45.738999999999997</v>
      </c>
      <c r="V4" s="84">
        <v>36.914000000000001</v>
      </c>
      <c r="W4" s="84">
        <v>42.616</v>
      </c>
      <c r="X4" s="748">
        <v>43.164999999999999</v>
      </c>
      <c r="Y4" s="84">
        <v>340.08800000000002</v>
      </c>
      <c r="Z4" s="84">
        <v>356.38299999999998</v>
      </c>
      <c r="AA4" s="84">
        <v>290.96300000000002</v>
      </c>
      <c r="AB4" s="84">
        <v>430.423</v>
      </c>
      <c r="AC4" s="84">
        <v>295.83699999999999</v>
      </c>
    </row>
    <row r="5" spans="1:29" ht="14.45" thickBot="1">
      <c r="B5" s="199" t="s">
        <v>355</v>
      </c>
      <c r="C5" s="200"/>
      <c r="D5" s="201"/>
      <c r="E5" s="201"/>
      <c r="F5" s="201"/>
      <c r="G5" s="201"/>
      <c r="H5" s="418"/>
      <c r="I5" s="418"/>
      <c r="J5" s="202"/>
      <c r="K5" s="199" t="s">
        <v>356</v>
      </c>
      <c r="L5" s="201"/>
      <c r="M5" s="201"/>
      <c r="N5" s="201"/>
      <c r="O5" s="201"/>
      <c r="P5" s="202"/>
      <c r="Q5" s="202"/>
      <c r="R5" s="202"/>
    </row>
    <row r="6" spans="1:29" ht="18" thickBot="1">
      <c r="A6" s="70">
        <v>1</v>
      </c>
      <c r="B6" s="193" t="s">
        <v>357</v>
      </c>
      <c r="C6" s="191" t="str">
        <f>VLOOKUP($B$2,'Sector Impact'!$K$4:$AA$16,A6+1,FALSE)</f>
        <v>Low</v>
      </c>
      <c r="D6" s="191"/>
      <c r="E6" s="191"/>
      <c r="F6" s="203"/>
      <c r="G6" s="275"/>
      <c r="H6" s="192"/>
      <c r="I6" s="192"/>
      <c r="J6" s="192"/>
      <c r="K6" s="193" t="s">
        <v>358</v>
      </c>
      <c r="L6" s="402">
        <f>L12/L$11</f>
        <v>7.442241379310345</v>
      </c>
      <c r="M6" s="402">
        <f t="shared" ref="M6:O6" si="0">M12/M$11</f>
        <v>15.285326086956522</v>
      </c>
      <c r="N6" s="402">
        <f t="shared" si="0"/>
        <v>0.6063492063492063</v>
      </c>
      <c r="O6" s="402">
        <f t="shared" si="0"/>
        <v>3.7265096127809372</v>
      </c>
      <c r="P6" s="402">
        <f t="shared" ref="P6:Q9" si="1">P12/P$11</f>
        <v>0.72749110320284693</v>
      </c>
      <c r="Q6" s="402">
        <f t="shared" si="1"/>
        <v>0.69087204186541928</v>
      </c>
      <c r="R6" s="467">
        <f t="shared" ref="R6:R9" si="2">IFERROR(AVERAGE(L6:Q6),"")</f>
        <v>4.7464649050775458</v>
      </c>
    </row>
    <row r="7" spans="1:29" s="74" customFormat="1" ht="18" thickBot="1">
      <c r="A7" s="74">
        <v>2</v>
      </c>
      <c r="B7" s="193" t="s">
        <v>359</v>
      </c>
      <c r="C7" s="191" t="str">
        <f>VLOOKUP($B$2,'Sector Impact'!$K$4:$AA$16,A7+1,FALSE)</f>
        <v>Low</v>
      </c>
      <c r="D7" s="191"/>
      <c r="E7" s="191"/>
      <c r="F7" s="203"/>
      <c r="G7" s="275"/>
      <c r="H7" s="192"/>
      <c r="I7" s="192"/>
      <c r="J7" s="192"/>
      <c r="K7" s="193" t="s">
        <v>360</v>
      </c>
      <c r="L7" s="402">
        <f t="shared" ref="L7:O9" si="3">L13/L$11</f>
        <v>51.005172413793105</v>
      </c>
      <c r="M7" s="402" t="e">
        <f t="shared" si="3"/>
        <v>#VALUE!</v>
      </c>
      <c r="N7" s="402" t="e">
        <f t="shared" si="3"/>
        <v>#VALUE!</v>
      </c>
      <c r="O7" s="402" t="e">
        <f t="shared" si="3"/>
        <v>#VALUE!</v>
      </c>
      <c r="P7" s="402" t="e">
        <f t="shared" si="1"/>
        <v>#VALUE!</v>
      </c>
      <c r="Q7" s="402">
        <f t="shared" si="1"/>
        <v>44.577270411707495</v>
      </c>
      <c r="R7" s="468" t="str">
        <f t="shared" si="2"/>
        <v/>
      </c>
    </row>
    <row r="8" spans="1:29" ht="25.5" thickBot="1">
      <c r="A8" s="70">
        <v>3</v>
      </c>
      <c r="B8" s="193" t="s">
        <v>361</v>
      </c>
      <c r="C8" s="191" t="str">
        <f>VLOOKUP($B$2,'Sector Impact'!$K$4:$AA$16,A8+1,FALSE)</f>
        <v>Medium</v>
      </c>
      <c r="D8" s="191" t="s">
        <v>340</v>
      </c>
      <c r="E8" s="191" t="s">
        <v>362</v>
      </c>
      <c r="F8" s="203" t="s">
        <v>340</v>
      </c>
      <c r="G8" s="277"/>
      <c r="H8" s="192"/>
      <c r="I8" s="192"/>
      <c r="J8" s="192" t="s">
        <v>363</v>
      </c>
      <c r="K8" s="193" t="s">
        <v>364</v>
      </c>
      <c r="L8" s="402">
        <f t="shared" si="3"/>
        <v>248.32344827586209</v>
      </c>
      <c r="M8" s="402">
        <f t="shared" si="3"/>
        <v>359.87839673913044</v>
      </c>
      <c r="N8" s="402">
        <f t="shared" si="3"/>
        <v>89.39539682539683</v>
      </c>
      <c r="O8" s="402">
        <f t="shared" si="3"/>
        <v>111.02761982128351</v>
      </c>
      <c r="P8" s="402">
        <f t="shared" si="1"/>
        <v>193.06205516014234</v>
      </c>
      <c r="Q8" s="402">
        <f t="shared" si="1"/>
        <v>58.540638169777239</v>
      </c>
      <c r="R8" s="468">
        <f>IFERROR(AVERAGE(L8:Q8),"")</f>
        <v>176.70459249859871</v>
      </c>
    </row>
    <row r="9" spans="1:29" ht="18" thickBot="1">
      <c r="A9" s="70">
        <v>4</v>
      </c>
      <c r="B9" s="193" t="s">
        <v>365</v>
      </c>
      <c r="C9" s="191" t="str">
        <f>VLOOKUP($B$2,'Sector Impact'!$K$4:$AA$16,A9+1,FALSE)</f>
        <v>Medium</v>
      </c>
      <c r="D9" s="191" t="s">
        <v>340</v>
      </c>
      <c r="E9" s="191" t="s">
        <v>366</v>
      </c>
      <c r="F9" s="203" t="s">
        <v>340</v>
      </c>
      <c r="G9" s="272"/>
      <c r="H9" s="192"/>
      <c r="I9" s="192"/>
      <c r="J9" s="194" t="s">
        <v>367</v>
      </c>
      <c r="K9" s="193" t="s">
        <v>368</v>
      </c>
      <c r="L9" s="402">
        <f t="shared" si="3"/>
        <v>5.8643103448275857</v>
      </c>
      <c r="M9" s="402">
        <f t="shared" si="3"/>
        <v>4.6875</v>
      </c>
      <c r="N9" s="402">
        <f t="shared" si="3"/>
        <v>0.41880952380952385</v>
      </c>
      <c r="O9" s="402" t="e">
        <f t="shared" si="3"/>
        <v>#VALUE!</v>
      </c>
      <c r="P9" s="402" t="e">
        <f t="shared" si="1"/>
        <v>#VALUE!</v>
      </c>
      <c r="Q9" s="402">
        <f t="shared" si="1"/>
        <v>0.87736766544713563</v>
      </c>
      <c r="R9" s="468" t="str">
        <f t="shared" si="2"/>
        <v/>
      </c>
    </row>
    <row r="10" spans="1:29" ht="14.45" thickBot="1">
      <c r="A10" s="70">
        <v>5</v>
      </c>
      <c r="B10" s="193" t="s">
        <v>369</v>
      </c>
      <c r="C10" s="191" t="str">
        <f>VLOOKUP($B$2,'Sector Impact'!$K$4:$AA$16,A10+1,FALSE)</f>
        <v>Low</v>
      </c>
      <c r="D10" s="191"/>
      <c r="E10" s="191"/>
      <c r="F10" s="203"/>
      <c r="G10" s="272"/>
      <c r="H10" s="192"/>
      <c r="I10" s="192"/>
      <c r="J10" s="194"/>
      <c r="K10" s="199" t="s">
        <v>370</v>
      </c>
      <c r="L10" s="201"/>
      <c r="M10" s="201"/>
      <c r="N10" s="201"/>
      <c r="O10" s="201"/>
      <c r="P10" s="201"/>
      <c r="Q10" s="202"/>
      <c r="S10"/>
      <c r="V10" s="74"/>
      <c r="W10" s="74"/>
      <c r="X10" s="74"/>
    </row>
    <row r="11" spans="1:29" ht="14.45" thickBot="1">
      <c r="B11" s="199" t="s">
        <v>371</v>
      </c>
      <c r="C11" s="196"/>
      <c r="D11" s="196"/>
      <c r="E11" s="205"/>
      <c r="F11" s="205"/>
      <c r="G11" s="206"/>
      <c r="H11" s="419"/>
      <c r="I11" s="419"/>
      <c r="J11" s="207"/>
      <c r="K11" s="193" t="s">
        <v>372</v>
      </c>
      <c r="L11" s="659">
        <v>5.8</v>
      </c>
      <c r="M11" s="659">
        <v>14.72</v>
      </c>
      <c r="N11" s="659">
        <v>12.6</v>
      </c>
      <c r="O11" s="659">
        <v>3.6930000000000001</v>
      </c>
      <c r="P11" s="659">
        <v>22.48</v>
      </c>
      <c r="Q11" s="659">
        <v>21.593</v>
      </c>
      <c r="S11"/>
    </row>
    <row r="12" spans="1:29" ht="25.5" thickBot="1">
      <c r="A12" s="70">
        <v>6</v>
      </c>
      <c r="B12" s="193" t="s">
        <v>373</v>
      </c>
      <c r="C12" s="191" t="str">
        <f>VLOOKUP($B$2,'Sector Impact'!$K$4:$AA$16,A12+1,FALSE)</f>
        <v>Medium</v>
      </c>
      <c r="D12" s="191" t="s">
        <v>343</v>
      </c>
      <c r="E12" s="191" t="s">
        <v>362</v>
      </c>
      <c r="F12" s="203" t="s">
        <v>340</v>
      </c>
      <c r="G12" s="736"/>
      <c r="H12" s="192"/>
      <c r="I12" s="192"/>
      <c r="J12" s="208" t="s">
        <v>374</v>
      </c>
      <c r="K12" s="193" t="s">
        <v>375</v>
      </c>
      <c r="L12" s="660">
        <v>43.164999999999999</v>
      </c>
      <c r="M12" s="660">
        <v>225</v>
      </c>
      <c r="N12" s="660">
        <v>7.64</v>
      </c>
      <c r="O12" s="660">
        <v>13.762</v>
      </c>
      <c r="P12" s="660">
        <v>16.353999999999999</v>
      </c>
      <c r="Q12" s="660">
        <v>14.917999999999999</v>
      </c>
      <c r="S12"/>
    </row>
    <row r="13" spans="1:29">
      <c r="A13" s="70">
        <v>7</v>
      </c>
      <c r="B13" s="193" t="s">
        <v>376</v>
      </c>
      <c r="C13" s="191" t="str">
        <f>VLOOKUP($B$2,'Sector Impact'!$K$4:$AA$16,A13+1,FALSE)</f>
        <v>Medium</v>
      </c>
      <c r="D13" s="191" t="s">
        <v>343</v>
      </c>
      <c r="E13" s="191" t="s">
        <v>362</v>
      </c>
      <c r="F13" s="209" t="s">
        <v>343</v>
      </c>
      <c r="G13" s="437"/>
      <c r="H13" s="192"/>
      <c r="I13" s="192"/>
      <c r="J13" s="210" t="s">
        <v>377</v>
      </c>
      <c r="K13" s="193" t="s">
        <v>378</v>
      </c>
      <c r="L13" s="660">
        <v>295.83</v>
      </c>
      <c r="M13" s="660" t="s">
        <v>68</v>
      </c>
      <c r="N13" s="660" t="str">
        <f>"-"</f>
        <v>-</v>
      </c>
      <c r="O13" s="660" t="str">
        <f>"-"</f>
        <v>-</v>
      </c>
      <c r="P13" s="660" t="str">
        <f>"-"</f>
        <v>-</v>
      </c>
      <c r="Q13" s="660">
        <v>962.55700000000002</v>
      </c>
      <c r="S13"/>
    </row>
    <row r="14" spans="1:29">
      <c r="A14" s="70">
        <v>8</v>
      </c>
      <c r="B14" s="211" t="s">
        <v>379</v>
      </c>
      <c r="C14" s="191" t="str">
        <f>VLOOKUP($B$2,'Sector Impact'!$K$4:$AA$16,A14+1,FALSE)</f>
        <v>Low</v>
      </c>
      <c r="D14" s="191"/>
      <c r="E14" s="191"/>
      <c r="F14" s="203"/>
      <c r="G14" s="436"/>
      <c r="H14" s="192"/>
      <c r="I14" s="192"/>
      <c r="J14" s="210"/>
      <c r="K14" s="193" t="s">
        <v>380</v>
      </c>
      <c r="L14" s="660">
        <v>1440.2760000000001</v>
      </c>
      <c r="M14" s="660">
        <v>5297.41</v>
      </c>
      <c r="N14" s="660">
        <v>1126.3820000000001</v>
      </c>
      <c r="O14" s="660">
        <v>410.02499999999998</v>
      </c>
      <c r="P14" s="660">
        <v>4340.0349999999999</v>
      </c>
      <c r="Q14" s="660">
        <v>1264.068</v>
      </c>
      <c r="S14"/>
    </row>
    <row r="15" spans="1:29" ht="12.95" thickBot="1">
      <c r="A15" s="70">
        <v>9</v>
      </c>
      <c r="B15" s="211" t="s">
        <v>381</v>
      </c>
      <c r="C15" s="191" t="str">
        <f>VLOOKUP($B$2,'Sector Impact'!$K$4:$AA$16,A15+1,FALSE)</f>
        <v>Low</v>
      </c>
      <c r="D15" s="191"/>
      <c r="E15" s="191"/>
      <c r="F15" s="203" t="s">
        <v>340</v>
      </c>
      <c r="G15" s="204"/>
      <c r="H15" s="420"/>
      <c r="I15" s="420"/>
      <c r="J15" s="210"/>
      <c r="K15" s="193" t="s">
        <v>382</v>
      </c>
      <c r="L15" s="660">
        <v>34.012999999999998</v>
      </c>
      <c r="M15" s="660">
        <v>69</v>
      </c>
      <c r="N15" s="660">
        <v>5.2770000000000001</v>
      </c>
      <c r="O15" s="660" t="str">
        <f>"-"</f>
        <v>-</v>
      </c>
      <c r="P15" s="660" t="str">
        <f>"-"</f>
        <v>-</v>
      </c>
      <c r="Q15" s="660">
        <v>18.945</v>
      </c>
      <c r="S15"/>
    </row>
    <row r="16" spans="1:29" ht="42" customHeight="1" thickBot="1">
      <c r="A16" s="70">
        <v>10</v>
      </c>
      <c r="B16" s="193" t="s">
        <v>383</v>
      </c>
      <c r="C16" s="191" t="str">
        <f>VLOOKUP($B$2,'Sector Impact'!$K$4:$AA$16,A16+1,FALSE)</f>
        <v>Medium</v>
      </c>
      <c r="D16" s="191" t="s">
        <v>340</v>
      </c>
      <c r="E16" s="191" t="s">
        <v>366</v>
      </c>
      <c r="F16" s="203" t="s">
        <v>343</v>
      </c>
      <c r="G16" s="276"/>
      <c r="H16" s="192"/>
      <c r="I16" s="421"/>
      <c r="J16" s="210" t="s">
        <v>384</v>
      </c>
      <c r="K16" s="199" t="s">
        <v>385</v>
      </c>
      <c r="L16" s="661"/>
      <c r="M16" s="661"/>
      <c r="N16" s="661"/>
      <c r="O16" s="661"/>
      <c r="P16" s="662"/>
      <c r="Q16" s="662"/>
    </row>
    <row r="17" spans="1:29" ht="12.95" thickBot="1">
      <c r="A17" s="70">
        <v>11</v>
      </c>
      <c r="B17" s="193" t="s">
        <v>386</v>
      </c>
      <c r="C17" s="191" t="str">
        <f>VLOOKUP($B$2,'Sector Impact'!$K$4:$AA$16,A17+1,FALSE)</f>
        <v>Medium</v>
      </c>
      <c r="D17" s="212" t="s">
        <v>343</v>
      </c>
      <c r="E17" s="212" t="s">
        <v>387</v>
      </c>
      <c r="F17" s="212" t="s">
        <v>343</v>
      </c>
      <c r="G17" s="276"/>
      <c r="H17" s="192"/>
      <c r="I17" s="421"/>
      <c r="J17" s="210"/>
      <c r="K17" s="193" t="s">
        <v>388</v>
      </c>
      <c r="L17" s="660" t="s">
        <v>389</v>
      </c>
      <c r="M17" s="660" t="s">
        <v>390</v>
      </c>
      <c r="N17" s="660" t="s">
        <v>391</v>
      </c>
      <c r="O17" s="660" t="s">
        <v>392</v>
      </c>
      <c r="P17" s="660" t="s">
        <v>393</v>
      </c>
      <c r="Q17" s="660" t="s">
        <v>394</v>
      </c>
      <c r="S17" s="749">
        <v>2019</v>
      </c>
      <c r="T17" s="749">
        <v>2020</v>
      </c>
      <c r="U17" s="749">
        <v>2021</v>
      </c>
      <c r="V17" s="749">
        <v>2022</v>
      </c>
      <c r="W17" s="749">
        <v>2023</v>
      </c>
    </row>
    <row r="18" spans="1:29" ht="12.95" thickBot="1">
      <c r="A18" s="70">
        <v>12</v>
      </c>
      <c r="B18" s="193" t="s">
        <v>395</v>
      </c>
      <c r="C18" s="191" t="str">
        <f>VLOOKUP($B$2,'Sector Impact'!$K$4:$AA$16,A18+1,FALSE)</f>
        <v>Medium</v>
      </c>
      <c r="D18" s="191" t="s">
        <v>340</v>
      </c>
      <c r="E18" s="191" t="s">
        <v>366</v>
      </c>
      <c r="F18" s="203" t="s">
        <v>343</v>
      </c>
      <c r="G18" s="272"/>
      <c r="H18" s="420"/>
      <c r="I18" s="420"/>
      <c r="J18" t="s">
        <v>396</v>
      </c>
      <c r="K18" s="193" t="s">
        <v>397</v>
      </c>
      <c r="L18" s="660" t="s">
        <v>398</v>
      </c>
      <c r="M18" s="660" t="str">
        <f>"-"</f>
        <v>-</v>
      </c>
      <c r="N18" s="660" t="s">
        <v>399</v>
      </c>
      <c r="O18" s="660" t="s">
        <v>400</v>
      </c>
      <c r="P18" s="660" t="s">
        <v>401</v>
      </c>
      <c r="Q18" s="660" t="s">
        <v>402</v>
      </c>
      <c r="S18" s="750">
        <v>1039.954</v>
      </c>
      <c r="T18" s="750">
        <v>977.08500000000004</v>
      </c>
      <c r="U18" s="750">
        <v>823.31899999999996</v>
      </c>
      <c r="V18" s="750">
        <v>1434.492</v>
      </c>
      <c r="W18" s="750">
        <v>1440.2760000000001</v>
      </c>
    </row>
    <row r="19" spans="1:29" ht="12.95" thickBot="1">
      <c r="A19" s="70">
        <v>13</v>
      </c>
      <c r="B19" s="193" t="s">
        <v>403</v>
      </c>
      <c r="C19" s="191" t="str">
        <f>VLOOKUP($B$2,'Sector Impact'!$K$4:$AA$16,A19+1,FALSE)</f>
        <v>High</v>
      </c>
      <c r="D19" s="191" t="s">
        <v>340</v>
      </c>
      <c r="E19" s="191" t="s">
        <v>366</v>
      </c>
      <c r="F19" s="203" t="s">
        <v>340</v>
      </c>
      <c r="G19" s="276"/>
      <c r="H19" s="192"/>
      <c r="I19" s="421"/>
      <c r="J19" t="s">
        <v>404</v>
      </c>
      <c r="K19" s="193" t="s">
        <v>405</v>
      </c>
      <c r="L19" s="660" t="s">
        <v>406</v>
      </c>
      <c r="M19" s="663" t="s">
        <v>406</v>
      </c>
      <c r="N19" s="660" t="s">
        <v>407</v>
      </c>
      <c r="O19" s="660" t="s">
        <v>408</v>
      </c>
      <c r="P19" s="660" t="s">
        <v>409</v>
      </c>
      <c r="Q19" s="660" t="s">
        <v>410</v>
      </c>
      <c r="Y19" s="751">
        <v>2019</v>
      </c>
      <c r="Z19" s="751">
        <v>2020</v>
      </c>
      <c r="AA19" s="751">
        <v>2021</v>
      </c>
      <c r="AB19" s="751">
        <v>2022</v>
      </c>
      <c r="AC19" s="751">
        <v>2023</v>
      </c>
    </row>
    <row r="20" spans="1:29" ht="12.95" thickBot="1">
      <c r="A20" s="70">
        <v>14</v>
      </c>
      <c r="B20" s="193" t="s">
        <v>411</v>
      </c>
      <c r="C20" s="191" t="str">
        <f>VLOOKUP($B$2,'Sector Impact'!$K$4:$AA$16,A20+1,FALSE)</f>
        <v>Low</v>
      </c>
      <c r="D20" s="191"/>
      <c r="E20" s="191"/>
      <c r="F20" s="203"/>
      <c r="G20" s="204"/>
      <c r="H20" s="420"/>
      <c r="I20" s="420"/>
      <c r="J20" s="210"/>
      <c r="K20" s="193" t="s">
        <v>412</v>
      </c>
      <c r="L20" s="660" t="s">
        <v>413</v>
      </c>
      <c r="M20" s="660" t="s">
        <v>414</v>
      </c>
      <c r="N20" s="660" t="s">
        <v>415</v>
      </c>
      <c r="O20" s="660" t="s">
        <v>416</v>
      </c>
      <c r="P20" s="660" t="s">
        <v>417</v>
      </c>
      <c r="Q20" s="660" t="s">
        <v>418</v>
      </c>
      <c r="Y20" s="752">
        <v>29.030999999999999</v>
      </c>
      <c r="Z20" s="752">
        <v>30.227</v>
      </c>
      <c r="AA20" s="752">
        <v>21.753</v>
      </c>
      <c r="AB20" s="752">
        <v>31.634</v>
      </c>
      <c r="AC20" s="752">
        <v>34.012999999999998</v>
      </c>
    </row>
    <row r="21" spans="1:29" ht="12.95" thickBot="1">
      <c r="A21" s="70">
        <v>15</v>
      </c>
      <c r="B21" s="193" t="s">
        <v>419</v>
      </c>
      <c r="C21" s="191" t="str">
        <f>VLOOKUP($B$2,'Sector Impact'!$K$4:$AA$16,A21+1,FALSE)</f>
        <v>High</v>
      </c>
      <c r="D21" s="191" t="s">
        <v>340</v>
      </c>
      <c r="E21" s="191" t="s">
        <v>387</v>
      </c>
      <c r="F21" s="203" t="s">
        <v>343</v>
      </c>
      <c r="G21" s="276"/>
      <c r="H21" s="192"/>
      <c r="I21" s="421"/>
      <c r="J21" s="735"/>
    </row>
    <row r="22" spans="1:29" ht="12.95" thickBot="1">
      <c r="A22" s="70">
        <v>16</v>
      </c>
      <c r="B22" s="193" t="s">
        <v>420</v>
      </c>
      <c r="C22" s="195" t="str">
        <f>VLOOKUP($B$2,'Sector Impact'!$K$4:$AA$16,A22+1,FALSE)</f>
        <v>Low</v>
      </c>
      <c r="D22" s="191" t="s">
        <v>340</v>
      </c>
      <c r="E22" s="191"/>
      <c r="F22" s="203"/>
      <c r="G22" s="204"/>
      <c r="H22" s="420"/>
      <c r="I22" s="420"/>
      <c r="J22" s="194"/>
    </row>
    <row r="23" spans="1:29" ht="14.45" thickBot="1">
      <c r="B23" s="199" t="s">
        <v>421</v>
      </c>
      <c r="C23" s="213"/>
      <c r="D23" s="196"/>
      <c r="E23" s="205"/>
      <c r="F23" s="205"/>
      <c r="G23" s="206"/>
      <c r="H23" s="419"/>
      <c r="I23" s="419"/>
      <c r="J23" s="207"/>
      <c r="K23" s="1429" t="s">
        <v>422</v>
      </c>
      <c r="L23" s="1430"/>
      <c r="M23" s="1431"/>
    </row>
    <row r="24" spans="1:29" ht="50.45" thickBot="1">
      <c r="A24" s="70">
        <v>17</v>
      </c>
      <c r="B24" s="193" t="s">
        <v>423</v>
      </c>
      <c r="C24" s="214"/>
      <c r="D24" s="215"/>
      <c r="E24" s="209" t="s">
        <v>362</v>
      </c>
      <c r="F24" s="209" t="s">
        <v>340</v>
      </c>
      <c r="G24" s="736"/>
      <c r="H24" s="192"/>
      <c r="I24" s="421"/>
      <c r="J24" s="216" t="s">
        <v>424</v>
      </c>
      <c r="K24" s="240" t="s">
        <v>425</v>
      </c>
      <c r="L24" s="71" t="s">
        <v>426</v>
      </c>
      <c r="M24" s="72" t="s">
        <v>427</v>
      </c>
      <c r="O24" s="519" t="s">
        <v>252</v>
      </c>
    </row>
    <row r="25" spans="1:29" ht="15.75" customHeight="1" thickBot="1">
      <c r="A25" s="70">
        <v>18</v>
      </c>
      <c r="B25" s="193" t="s">
        <v>428</v>
      </c>
      <c r="C25" s="214"/>
      <c r="D25" s="215"/>
      <c r="E25" s="209" t="s">
        <v>366</v>
      </c>
      <c r="F25" s="209" t="s">
        <v>343</v>
      </c>
      <c r="G25" s="276"/>
      <c r="H25" s="192"/>
      <c r="I25" s="421"/>
      <c r="J25" s="210" t="s">
        <v>429</v>
      </c>
      <c r="K25" s="182" t="s">
        <v>430</v>
      </c>
      <c r="L25" s="183" t="s">
        <v>387</v>
      </c>
      <c r="M25" s="1432" t="s">
        <v>431</v>
      </c>
      <c r="O25" s="520"/>
    </row>
    <row r="26" spans="1:29" ht="15.75" customHeight="1" thickBot="1">
      <c r="A26" s="70">
        <v>19</v>
      </c>
      <c r="B26" s="193" t="s">
        <v>432</v>
      </c>
      <c r="C26" s="214"/>
      <c r="D26" s="215"/>
      <c r="E26" s="209" t="s">
        <v>362</v>
      </c>
      <c r="F26" s="209" t="s">
        <v>343</v>
      </c>
      <c r="G26" s="272"/>
      <c r="H26" s="192"/>
      <c r="I26" s="421"/>
      <c r="J26" s="216" t="s">
        <v>433</v>
      </c>
      <c r="K26" s="182" t="s">
        <v>362</v>
      </c>
      <c r="L26" s="183" t="s">
        <v>366</v>
      </c>
      <c r="M26" s="1433"/>
      <c r="O26" s="521"/>
    </row>
    <row r="27" spans="1:29" ht="12.95" thickBot="1">
      <c r="A27" s="70">
        <v>20</v>
      </c>
      <c r="B27" s="193" t="s">
        <v>434</v>
      </c>
      <c r="C27" s="214"/>
      <c r="D27" s="215"/>
      <c r="E27" s="209" t="s">
        <v>387</v>
      </c>
      <c r="F27" s="209" t="s">
        <v>343</v>
      </c>
      <c r="G27" s="276"/>
      <c r="H27" s="192"/>
      <c r="I27" s="421"/>
      <c r="J27" s="862" t="s">
        <v>435</v>
      </c>
      <c r="K27" s="184" t="s">
        <v>436</v>
      </c>
      <c r="L27" s="185" t="s">
        <v>362</v>
      </c>
      <c r="M27" s="1433"/>
      <c r="O27" s="522"/>
    </row>
    <row r="28" spans="1:29" ht="12.95" thickBot="1">
      <c r="A28" s="70">
        <v>21</v>
      </c>
      <c r="B28" s="193" t="s">
        <v>437</v>
      </c>
      <c r="C28" s="214"/>
      <c r="D28" s="215"/>
      <c r="E28" s="209" t="s">
        <v>387</v>
      </c>
      <c r="F28" s="209" t="s">
        <v>343</v>
      </c>
      <c r="G28" s="276"/>
      <c r="H28" s="192"/>
      <c r="I28" s="421"/>
      <c r="J28" s="210"/>
      <c r="K28" s="186" t="s">
        <v>438</v>
      </c>
      <c r="L28" s="187" t="s">
        <v>439</v>
      </c>
      <c r="M28" s="1434"/>
    </row>
    <row r="29" spans="1:29" ht="12.95" thickBot="1">
      <c r="A29" s="70">
        <v>22</v>
      </c>
      <c r="B29" s="193" t="s">
        <v>440</v>
      </c>
      <c r="C29" s="214"/>
      <c r="D29" s="215"/>
      <c r="E29" s="209" t="s">
        <v>387</v>
      </c>
      <c r="F29" s="209" t="s">
        <v>343</v>
      </c>
      <c r="G29" s="276"/>
      <c r="H29" s="192"/>
      <c r="I29" s="421"/>
      <c r="J29" s="210"/>
    </row>
    <row r="30" spans="1:29" ht="26.1" customHeight="1" thickBot="1">
      <c r="A30" s="70">
        <v>23</v>
      </c>
      <c r="B30" s="193" t="s">
        <v>441</v>
      </c>
      <c r="C30" s="214"/>
      <c r="D30" s="215"/>
      <c r="E30" s="209" t="s">
        <v>387</v>
      </c>
      <c r="F30" s="209" t="s">
        <v>343</v>
      </c>
      <c r="G30" s="276"/>
      <c r="H30" s="192"/>
      <c r="I30" s="421"/>
      <c r="J30" s="216" t="s">
        <v>442</v>
      </c>
    </row>
    <row r="31" spans="1:29" ht="20.25" customHeight="1" thickBot="1">
      <c r="A31" s="70">
        <v>24</v>
      </c>
      <c r="B31" s="217" t="s">
        <v>443</v>
      </c>
      <c r="C31" s="214"/>
      <c r="D31" s="215"/>
      <c r="E31" s="209" t="s">
        <v>362</v>
      </c>
      <c r="F31" s="209" t="s">
        <v>343</v>
      </c>
      <c r="G31" s="736"/>
      <c r="H31" s="192"/>
      <c r="I31" s="421"/>
      <c r="J31" s="734" t="s">
        <v>444</v>
      </c>
      <c r="L31" s="492"/>
    </row>
    <row r="32" spans="1:29" ht="13.5" customHeight="1" thickBot="1">
      <c r="A32" s="70">
        <v>25</v>
      </c>
      <c r="B32" s="193" t="s">
        <v>445</v>
      </c>
      <c r="C32" s="214"/>
      <c r="D32" s="209" t="s">
        <v>340</v>
      </c>
      <c r="E32" s="209" t="s">
        <v>366</v>
      </c>
      <c r="F32" s="209" t="s">
        <v>343</v>
      </c>
      <c r="G32" s="276"/>
      <c r="H32" s="192"/>
      <c r="I32" s="421"/>
      <c r="J32" s="735" t="s">
        <v>446</v>
      </c>
      <c r="L32" s="493"/>
    </row>
    <row r="33" spans="1:27" ht="13.5" customHeight="1" thickBot="1">
      <c r="A33" s="70">
        <v>26</v>
      </c>
      <c r="B33" s="193" t="s">
        <v>447</v>
      </c>
      <c r="C33" s="214"/>
      <c r="D33" s="209" t="s">
        <v>343</v>
      </c>
      <c r="E33" s="209" t="s">
        <v>439</v>
      </c>
      <c r="F33" s="209" t="s">
        <v>343</v>
      </c>
      <c r="G33" s="275"/>
      <c r="H33" s="192"/>
      <c r="I33" s="421"/>
      <c r="J33" s="210" t="s">
        <v>448</v>
      </c>
      <c r="L33" s="273"/>
      <c r="N33" s="273"/>
    </row>
    <row r="34" spans="1:27" ht="13.5" customHeight="1" thickBot="1">
      <c r="A34" s="70">
        <v>27</v>
      </c>
      <c r="B34" s="193" t="s">
        <v>449</v>
      </c>
      <c r="C34" s="214"/>
      <c r="D34" s="218" t="s">
        <v>340</v>
      </c>
      <c r="E34" s="209" t="s">
        <v>387</v>
      </c>
      <c r="F34" s="209" t="s">
        <v>343</v>
      </c>
      <c r="G34" s="276"/>
      <c r="H34" s="192"/>
      <c r="I34" s="421"/>
      <c r="J34" s="210" t="s">
        <v>450</v>
      </c>
      <c r="L34" s="274"/>
      <c r="N34" s="274"/>
    </row>
    <row r="35" spans="1:27" ht="12.95">
      <c r="B35" s="77"/>
      <c r="C35" s="77"/>
      <c r="D35" s="77"/>
      <c r="E35" s="77"/>
      <c r="F35" s="77"/>
      <c r="G35" s="77"/>
      <c r="H35" s="422"/>
      <c r="I35" s="422"/>
      <c r="J35" s="77"/>
      <c r="T35" s="78"/>
    </row>
    <row r="36" spans="1:27" ht="18">
      <c r="B36" s="79"/>
      <c r="T36" s="78"/>
    </row>
    <row r="37" spans="1:27">
      <c r="K37"/>
      <c r="T37" s="78"/>
    </row>
    <row r="38" spans="1:27">
      <c r="C38"/>
      <c r="D38"/>
      <c r="E38"/>
      <c r="F38"/>
      <c r="G38"/>
      <c r="H38" s="424"/>
      <c r="I38" s="424"/>
      <c r="J38"/>
      <c r="K38"/>
      <c r="L38"/>
      <c r="M38"/>
      <c r="N38"/>
      <c r="O38"/>
      <c r="P38"/>
      <c r="Q38"/>
      <c r="R38"/>
      <c r="S38"/>
      <c r="T38"/>
      <c r="U38"/>
      <c r="V38"/>
      <c r="W38"/>
      <c r="X38"/>
      <c r="Y38"/>
      <c r="Z38"/>
      <c r="AA38"/>
    </row>
    <row r="39" spans="1:27">
      <c r="C39"/>
      <c r="D39"/>
      <c r="E39"/>
      <c r="F39"/>
      <c r="G39"/>
      <c r="H39" s="424"/>
      <c r="I39" s="424"/>
      <c r="J39"/>
      <c r="M39"/>
      <c r="N39"/>
      <c r="O39"/>
      <c r="P39"/>
      <c r="Q39"/>
      <c r="R39"/>
      <c r="S39"/>
      <c r="T39"/>
      <c r="U39"/>
      <c r="V39"/>
      <c r="W39"/>
      <c r="X39"/>
      <c r="Y39"/>
      <c r="Z39"/>
      <c r="AA39"/>
    </row>
    <row r="54" spans="14:19">
      <c r="N54" s="1428"/>
      <c r="O54" s="1428"/>
      <c r="P54" s="1428"/>
      <c r="Q54" s="1428"/>
      <c r="R54" s="1428"/>
      <c r="S54" s="1428"/>
    </row>
    <row r="55" spans="14:19">
      <c r="O55" s="425"/>
      <c r="P55" s="425"/>
      <c r="Q55" s="425"/>
      <c r="R55" s="425"/>
      <c r="S55" s="425"/>
    </row>
    <row r="56" spans="14:19">
      <c r="N56" s="426"/>
      <c r="O56" s="426"/>
      <c r="P56" s="426"/>
      <c r="Q56" s="426"/>
      <c r="R56" s="426"/>
      <c r="S56" s="426"/>
    </row>
    <row r="57" spans="14:19">
      <c r="N57" s="426"/>
      <c r="O57" s="426"/>
      <c r="P57" s="426"/>
      <c r="Q57" s="426"/>
      <c r="R57" s="426"/>
      <c r="S57" s="426"/>
    </row>
    <row r="58" spans="14:19">
      <c r="N58" s="426"/>
      <c r="O58" s="426"/>
      <c r="P58" s="426"/>
      <c r="Q58" s="426"/>
      <c r="R58" s="426"/>
      <c r="S58" s="426"/>
    </row>
    <row r="59" spans="14:19">
      <c r="N59" s="426"/>
      <c r="O59" s="426"/>
      <c r="P59" s="426"/>
      <c r="Q59" s="426"/>
      <c r="R59" s="426"/>
      <c r="S59" s="426"/>
    </row>
    <row r="60" spans="14:19">
      <c r="N60" s="426"/>
      <c r="O60" s="426"/>
      <c r="P60" s="426"/>
      <c r="Q60" s="426"/>
      <c r="R60" s="426"/>
      <c r="S60" s="426"/>
    </row>
    <row r="61" spans="14:19">
      <c r="N61" s="426"/>
      <c r="O61" s="426"/>
      <c r="P61" s="426"/>
      <c r="Q61" s="426"/>
      <c r="R61" s="426"/>
      <c r="S61" s="426"/>
    </row>
    <row r="62" spans="14:19">
      <c r="N62" s="426"/>
      <c r="O62" s="426"/>
      <c r="P62" s="426"/>
      <c r="Q62" s="426"/>
      <c r="R62" s="426"/>
      <c r="S62" s="426"/>
    </row>
    <row r="63" spans="14:19">
      <c r="N63" s="426"/>
      <c r="O63" s="426"/>
      <c r="P63" s="426"/>
      <c r="Q63" s="426"/>
      <c r="R63" s="426"/>
      <c r="S63" s="426"/>
    </row>
    <row r="64" spans="14:19">
      <c r="N64" s="426"/>
      <c r="O64" s="426"/>
      <c r="P64" s="426"/>
      <c r="Q64" s="426"/>
      <c r="R64" s="426"/>
      <c r="S64" s="426"/>
    </row>
    <row r="65" spans="14:19">
      <c r="N65" s="426"/>
      <c r="O65" s="426"/>
      <c r="P65" s="426"/>
      <c r="Q65" s="426"/>
      <c r="R65" s="426"/>
      <c r="S65" s="426"/>
    </row>
    <row r="66" spans="14:19">
      <c r="N66" s="1425"/>
      <c r="O66" s="1425"/>
      <c r="P66" s="1425"/>
      <c r="Q66" s="1425"/>
      <c r="R66" s="1425"/>
      <c r="S66" s="1425"/>
    </row>
    <row r="67" spans="14:19">
      <c r="N67" s="426"/>
      <c r="O67" s="426"/>
      <c r="P67" s="426"/>
      <c r="Q67" s="426"/>
      <c r="R67" s="426"/>
      <c r="S67" s="426"/>
    </row>
    <row r="68" spans="14:19">
      <c r="N68" s="426"/>
      <c r="O68" s="426"/>
      <c r="P68" s="426"/>
      <c r="Q68" s="426"/>
      <c r="R68" s="426"/>
      <c r="S68" s="426"/>
    </row>
    <row r="69" spans="14:19">
      <c r="N69" s="426"/>
      <c r="O69" s="426"/>
      <c r="P69" s="426"/>
      <c r="Q69" s="426"/>
      <c r="R69" s="426"/>
      <c r="S69" s="426"/>
    </row>
    <row r="70" spans="14:19">
      <c r="N70" s="426"/>
      <c r="O70" s="426"/>
      <c r="P70" s="426"/>
      <c r="Q70" s="426"/>
      <c r="R70" s="426"/>
      <c r="S70" s="426"/>
    </row>
    <row r="71" spans="14:19">
      <c r="N71" s="426"/>
      <c r="O71" s="426"/>
      <c r="P71" s="426"/>
      <c r="Q71" s="426"/>
      <c r="R71" s="426"/>
      <c r="S71" s="426"/>
    </row>
    <row r="72" spans="14:19">
      <c r="N72" s="426"/>
      <c r="O72" s="426"/>
      <c r="P72" s="426"/>
      <c r="Q72" s="426"/>
      <c r="R72" s="426"/>
      <c r="S72" s="426"/>
    </row>
    <row r="73" spans="14:19">
      <c r="N73" s="426"/>
      <c r="O73" s="426"/>
      <c r="P73" s="426"/>
      <c r="Q73" s="426"/>
      <c r="R73" s="426"/>
      <c r="S73" s="426"/>
    </row>
    <row r="74" spans="14:19">
      <c r="N74" s="427"/>
      <c r="O74" s="426"/>
      <c r="P74" s="426"/>
      <c r="Q74" s="426"/>
      <c r="R74" s="426"/>
      <c r="S74" s="426"/>
    </row>
    <row r="75" spans="14:19">
      <c r="N75" s="427"/>
      <c r="O75" s="426"/>
      <c r="P75" s="426"/>
      <c r="Q75" s="426"/>
      <c r="R75" s="426"/>
      <c r="S75" s="426"/>
    </row>
    <row r="76" spans="14:19">
      <c r="N76" s="427"/>
      <c r="O76" s="426"/>
      <c r="P76" s="426"/>
      <c r="Q76" s="426"/>
      <c r="R76" s="426"/>
      <c r="S76" s="426"/>
    </row>
    <row r="77" spans="14:19">
      <c r="N77" s="426"/>
      <c r="O77" s="426"/>
      <c r="P77" s="426"/>
      <c r="Q77" s="426"/>
      <c r="R77" s="426"/>
      <c r="S77" s="426"/>
    </row>
    <row r="78" spans="14:19">
      <c r="N78" s="1425"/>
      <c r="O78" s="1425"/>
      <c r="P78" s="1425"/>
      <c r="Q78" s="1425"/>
      <c r="R78" s="1425"/>
      <c r="S78" s="1425"/>
    </row>
    <row r="79" spans="14:19">
      <c r="N79" s="426"/>
      <c r="O79" s="426"/>
      <c r="P79" s="426"/>
      <c r="Q79" s="426"/>
      <c r="R79" s="426"/>
      <c r="S79" s="426"/>
    </row>
    <row r="80" spans="14:19">
      <c r="N80" s="426"/>
      <c r="O80" s="426"/>
      <c r="P80" s="426"/>
      <c r="Q80" s="426"/>
      <c r="R80" s="426"/>
      <c r="S80" s="426"/>
    </row>
    <row r="81" spans="14:19">
      <c r="N81" s="426"/>
      <c r="O81" s="426"/>
      <c r="P81" s="426"/>
      <c r="Q81" s="426"/>
      <c r="R81" s="426"/>
      <c r="S81" s="426"/>
    </row>
    <row r="82" spans="14:19">
      <c r="N82" s="426"/>
      <c r="O82" s="426"/>
      <c r="P82" s="426"/>
      <c r="Q82" s="426"/>
      <c r="R82" s="426"/>
      <c r="S82" s="426"/>
    </row>
    <row r="83" spans="14:19">
      <c r="N83" s="426"/>
      <c r="O83" s="426"/>
      <c r="P83" s="426"/>
      <c r="Q83" s="426"/>
      <c r="R83" s="426"/>
      <c r="S83" s="426"/>
    </row>
    <row r="84" spans="14:19">
      <c r="N84" s="426"/>
      <c r="O84" s="426"/>
      <c r="P84" s="426"/>
      <c r="Q84" s="426"/>
      <c r="R84" s="426"/>
      <c r="S84" s="426"/>
    </row>
    <row r="85" spans="14:19">
      <c r="N85" s="426"/>
      <c r="O85" s="426"/>
      <c r="P85" s="426"/>
      <c r="Q85" s="426"/>
      <c r="R85" s="426"/>
      <c r="S85" s="426"/>
    </row>
    <row r="86" spans="14:19">
      <c r="N86" s="427"/>
      <c r="O86" s="426"/>
      <c r="P86" s="426"/>
      <c r="Q86" s="426"/>
      <c r="R86" s="426"/>
      <c r="S86" s="426"/>
    </row>
    <row r="87" spans="14:19">
      <c r="N87" s="427"/>
      <c r="O87" s="426"/>
      <c r="P87" s="426"/>
      <c r="Q87" s="426"/>
      <c r="R87" s="426"/>
      <c r="S87" s="426"/>
    </row>
    <row r="88" spans="14:19">
      <c r="N88" s="427"/>
      <c r="O88" s="426"/>
      <c r="P88" s="426"/>
      <c r="Q88" s="426"/>
      <c r="R88" s="426"/>
      <c r="S88" s="426"/>
    </row>
    <row r="89" spans="14:19">
      <c r="N89" s="426"/>
      <c r="O89" s="426"/>
      <c r="P89" s="426"/>
      <c r="Q89" s="426"/>
      <c r="R89" s="426"/>
      <c r="S89" s="426"/>
    </row>
    <row r="90" spans="14:19">
      <c r="N90" s="1425"/>
      <c r="O90" s="1425"/>
      <c r="P90" s="1425"/>
      <c r="Q90" s="1425"/>
      <c r="R90" s="1425"/>
      <c r="S90" s="1425"/>
    </row>
    <row r="91" spans="14:19">
      <c r="N91" s="426"/>
      <c r="O91" s="426"/>
      <c r="P91" s="426"/>
      <c r="Q91" s="426"/>
      <c r="R91" s="426"/>
      <c r="S91" s="426"/>
    </row>
    <row r="92" spans="14:19">
      <c r="N92" s="427"/>
      <c r="O92" s="426"/>
      <c r="P92" s="426"/>
      <c r="Q92" s="426"/>
      <c r="R92" s="426"/>
      <c r="S92" s="426"/>
    </row>
    <row r="93" spans="14:19">
      <c r="N93" s="427"/>
      <c r="O93" s="426"/>
      <c r="P93" s="426"/>
      <c r="Q93" s="426"/>
      <c r="R93" s="426"/>
      <c r="S93" s="426"/>
    </row>
    <row r="94" spans="14:19">
      <c r="N94" s="427"/>
      <c r="O94" s="426"/>
      <c r="P94" s="426"/>
      <c r="Q94" s="426"/>
      <c r="R94" s="426"/>
      <c r="S94" s="426"/>
    </row>
    <row r="95" spans="14:19">
      <c r="N95" s="427"/>
      <c r="O95" s="426"/>
      <c r="P95" s="426"/>
      <c r="Q95" s="426"/>
      <c r="R95" s="426"/>
      <c r="S95" s="426"/>
    </row>
    <row r="96" spans="14:19">
      <c r="N96" s="427"/>
      <c r="O96" s="426"/>
      <c r="P96" s="426"/>
      <c r="Q96" s="426"/>
      <c r="R96" s="426"/>
      <c r="S96" s="426"/>
    </row>
    <row r="97" spans="14:19">
      <c r="N97" s="427"/>
      <c r="O97" s="426"/>
      <c r="P97" s="426"/>
      <c r="Q97" s="426"/>
      <c r="R97" s="426"/>
      <c r="S97" s="426"/>
    </row>
    <row r="98" spans="14:19">
      <c r="N98" s="427"/>
      <c r="O98" s="426"/>
      <c r="P98" s="426"/>
      <c r="Q98" s="426"/>
      <c r="R98" s="426"/>
      <c r="S98" s="426"/>
    </row>
    <row r="99" spans="14:19">
      <c r="N99" s="427"/>
      <c r="O99" s="426"/>
      <c r="P99" s="426"/>
      <c r="Q99" s="426"/>
      <c r="R99" s="426"/>
      <c r="S99" s="426"/>
    </row>
    <row r="100" spans="14:19">
      <c r="N100" s="427"/>
      <c r="O100" s="426"/>
      <c r="P100" s="426"/>
      <c r="Q100" s="426"/>
      <c r="R100" s="426"/>
      <c r="S100" s="426"/>
    </row>
  </sheetData>
  <mergeCells count="8">
    <mergeCell ref="N90:S90"/>
    <mergeCell ref="B3:J3"/>
    <mergeCell ref="K3:Q3"/>
    <mergeCell ref="N54:S54"/>
    <mergeCell ref="N66:S66"/>
    <mergeCell ref="N78:S78"/>
    <mergeCell ref="K23:M23"/>
    <mergeCell ref="M25:M28"/>
  </mergeCells>
  <conditionalFormatting sqref="C10:G10">
    <cfRule type="expression" dxfId="35" priority="26">
      <formula>$C$10="Low"</formula>
    </cfRule>
  </conditionalFormatting>
  <conditionalFormatting sqref="D6:F6 H6:J6">
    <cfRule type="expression" dxfId="34" priority="43">
      <formula>$C$6="Low"</formula>
    </cfRule>
  </conditionalFormatting>
  <conditionalFormatting sqref="D8:F8 J8">
    <cfRule type="expression" dxfId="33" priority="41">
      <formula>$C$8="Low"</formula>
    </cfRule>
  </conditionalFormatting>
  <conditionalFormatting sqref="D12:F12 J12">
    <cfRule type="expression" dxfId="32" priority="38">
      <formula>$C$12="Low"</formula>
    </cfRule>
  </conditionalFormatting>
  <conditionalFormatting sqref="D13:F13 J13">
    <cfRule type="expression" dxfId="31" priority="37">
      <formula>$C$13="Low"</formula>
    </cfRule>
  </conditionalFormatting>
  <conditionalFormatting sqref="D16:F16 I16:J16">
    <cfRule type="expression" dxfId="30" priority="34">
      <formula>$C$16="Low"</formula>
    </cfRule>
  </conditionalFormatting>
  <conditionalFormatting sqref="D17:F17 J17">
    <cfRule type="expression" dxfId="29" priority="33">
      <formula>$C$17="Low"</formula>
    </cfRule>
  </conditionalFormatting>
  <conditionalFormatting sqref="D18:F18 H18:I18">
    <cfRule type="expression" dxfId="28" priority="32">
      <formula>$C$18="Low"</formula>
    </cfRule>
  </conditionalFormatting>
  <conditionalFormatting sqref="D21:F21 J21">
    <cfRule type="expression" dxfId="27" priority="29">
      <formula>$C$21="Low"</formula>
    </cfRule>
  </conditionalFormatting>
  <conditionalFormatting sqref="D7:G7 J7">
    <cfRule type="expression" dxfId="26" priority="42">
      <formula>$C$7="Low"</formula>
    </cfRule>
  </conditionalFormatting>
  <conditionalFormatting sqref="D9:G9 J9:J10">
    <cfRule type="expression" dxfId="25" priority="40">
      <formula>$C$9="Low"</formula>
    </cfRule>
  </conditionalFormatting>
  <conditionalFormatting sqref="D14:G14 J14">
    <cfRule type="expression" dxfId="24" priority="36">
      <formula>$C$14="Low"</formula>
    </cfRule>
  </conditionalFormatting>
  <conditionalFormatting sqref="D19:G19 J20">
    <cfRule type="expression" dxfId="23" priority="31">
      <formula>$C$19="Low"</formula>
    </cfRule>
  </conditionalFormatting>
  <conditionalFormatting sqref="D15:J15">
    <cfRule type="expression" dxfId="22" priority="35">
      <formula>$C$15="Low"</formula>
    </cfRule>
  </conditionalFormatting>
  <conditionalFormatting sqref="D20:J20">
    <cfRule type="expression" dxfId="21" priority="30">
      <formula>$C$20="Low"</formula>
    </cfRule>
  </conditionalFormatting>
  <conditionalFormatting sqref="D22:J22">
    <cfRule type="expression" dxfId="20" priority="28">
      <formula>$C$22="Low"</formula>
    </cfRule>
  </conditionalFormatting>
  <conditionalFormatting sqref="G6">
    <cfRule type="expression" dxfId="19" priority="24">
      <formula>$C$7="Low"</formula>
    </cfRule>
  </conditionalFormatting>
  <conditionalFormatting sqref="G8">
    <cfRule type="expression" dxfId="18" priority="5">
      <formula>$C$12="Low"</formula>
    </cfRule>
  </conditionalFormatting>
  <conditionalFormatting sqref="G12:G13">
    <cfRule type="expression" dxfId="17" priority="2">
      <formula>$C$16="Low"</formula>
    </cfRule>
  </conditionalFormatting>
  <conditionalFormatting sqref="G16:G17">
    <cfRule type="expression" dxfId="16" priority="1">
      <formula>$C$19="Low"</formula>
    </cfRule>
  </conditionalFormatting>
  <conditionalFormatting sqref="G18">
    <cfRule type="expression" dxfId="15" priority="3">
      <formula>$C$21="Low"</formula>
    </cfRule>
  </conditionalFormatting>
  <conditionalFormatting sqref="G24">
    <cfRule type="expression" dxfId="14" priority="8">
      <formula>$C$16="Low"</formula>
    </cfRule>
  </conditionalFormatting>
  <conditionalFormatting sqref="G31">
    <cfRule type="expression" dxfId="13" priority="7">
      <formula>$C$16="Low"</formula>
    </cfRule>
  </conditionalFormatting>
  <conditionalFormatting sqref="G33">
    <cfRule type="expression" dxfId="12" priority="6">
      <formula>$C$8="Low"</formula>
    </cfRule>
  </conditionalFormatting>
  <conditionalFormatting sqref="H16:H17">
    <cfRule type="expression" dxfId="11" priority="13">
      <formula>$C$6="Low"</formula>
    </cfRule>
  </conditionalFormatting>
  <conditionalFormatting sqref="H19">
    <cfRule type="expression" dxfId="10" priority="12">
      <formula>$C$6="Low"</formula>
    </cfRule>
  </conditionalFormatting>
  <conditionalFormatting sqref="H21">
    <cfRule type="expression" dxfId="9" priority="11">
      <formula>$C$6="Low"</formula>
    </cfRule>
  </conditionalFormatting>
  <conditionalFormatting sqref="H24:H34">
    <cfRule type="expression" dxfId="8" priority="10">
      <formula>$C$6="Low"</formula>
    </cfRule>
  </conditionalFormatting>
  <conditionalFormatting sqref="H7:I10">
    <cfRule type="expression" dxfId="7" priority="21">
      <formula>$C$6="Low"</formula>
    </cfRule>
  </conditionalFormatting>
  <conditionalFormatting sqref="H12:I14">
    <cfRule type="expression" dxfId="6" priority="14">
      <formula>$C$6="Low"</formula>
    </cfRule>
  </conditionalFormatting>
  <conditionalFormatting sqref="I17">
    <cfRule type="expression" dxfId="5" priority="18">
      <formula>$C$16="Low"</formula>
    </cfRule>
  </conditionalFormatting>
  <conditionalFormatting sqref="I19">
    <cfRule type="expression" dxfId="4" priority="17">
      <formula>$C$16="Low"</formula>
    </cfRule>
  </conditionalFormatting>
  <conditionalFormatting sqref="I21">
    <cfRule type="expression" dxfId="3" priority="16">
      <formula>$C$16="Low"</formula>
    </cfRule>
  </conditionalFormatting>
  <conditionalFormatting sqref="I24:I34">
    <cfRule type="expression" dxfId="2" priority="15">
      <formula>$C$16="Low"</formula>
    </cfRule>
  </conditionalFormatting>
  <dataValidations count="3">
    <dataValidation type="list" allowBlank="1" showInputMessage="1" showErrorMessage="1" sqref="D6:D22 D32:D34 F24:F34 F6:F10 F12:F22 C11" xr:uid="{3F3EAFB5-AA53-4ACB-815F-B2974A5D886C}">
      <formula1>$T$1:$T$2</formula1>
    </dataValidation>
    <dataValidation type="list" showInputMessage="1" showErrorMessage="1" sqref="B2" xr:uid="{A02853CE-D21D-44BD-9939-055BC887EFBD}">
      <formula1>Sectors</formula1>
    </dataValidation>
    <dataValidation type="list" allowBlank="1" showInputMessage="1" showErrorMessage="1" sqref="E6:E10 E24:E34 E12:E22" xr:uid="{21B53BAA-5CFE-4F77-8669-06D93A31F2C2}">
      <formula1>$L$25:$L$28</formula1>
    </dataValidation>
  </dataValidations>
  <pageMargins left="0.7" right="0.7" top="0.75" bottom="0.75" header="0.3" footer="0.3"/>
  <pageSetup paperSize="9" orientation="portrait" horizont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70C0"/>
  </sheetPr>
  <dimension ref="A1:AN87"/>
  <sheetViews>
    <sheetView showGridLines="0" zoomScale="63" zoomScaleNormal="70" workbookViewId="0">
      <selection activeCell="J14" sqref="J14"/>
    </sheetView>
  </sheetViews>
  <sheetFormatPr defaultColWidth="11.42578125" defaultRowHeight="12.6" outlineLevelCol="1"/>
  <cols>
    <col min="1" max="1" width="24.42578125" bestFit="1" customWidth="1"/>
    <col min="2" max="2" width="11.42578125" customWidth="1" outlineLevel="1"/>
    <col min="3" max="3" width="32.140625" customWidth="1" outlineLevel="1"/>
    <col min="4" max="4" width="20" customWidth="1" outlineLevel="1"/>
    <col min="5" max="5" width="24" customWidth="1"/>
    <col min="6" max="6" width="27.42578125" customWidth="1"/>
    <col min="7" max="7" width="14" style="2" customWidth="1"/>
    <col min="8" max="8" width="12.42578125" style="2" customWidth="1"/>
    <col min="9" max="32" width="11" style="2" customWidth="1"/>
    <col min="33" max="33" width="14.42578125" customWidth="1"/>
  </cols>
  <sheetData>
    <row r="1" spans="1:40" ht="21" customHeight="1">
      <c r="A1" s="1441" t="s">
        <v>451</v>
      </c>
      <c r="B1" s="1441"/>
      <c r="C1" s="1441"/>
      <c r="D1" s="1441"/>
      <c r="E1" s="1441"/>
      <c r="F1" s="1441"/>
      <c r="G1" s="1441"/>
      <c r="H1" s="1441"/>
      <c r="I1" s="1441"/>
      <c r="J1" s="1441"/>
      <c r="K1" s="1441"/>
      <c r="L1" s="1441"/>
      <c r="M1" s="1441"/>
      <c r="N1" s="1441"/>
      <c r="O1" s="1441"/>
      <c r="P1" s="1441"/>
      <c r="Q1" s="1441"/>
      <c r="R1" s="1441"/>
      <c r="S1" s="1441"/>
      <c r="T1" s="1441"/>
      <c r="U1" s="1441"/>
      <c r="V1" s="1441"/>
      <c r="W1" s="1441"/>
      <c r="X1" s="1441"/>
      <c r="Y1" s="1441"/>
      <c r="Z1" s="1441"/>
      <c r="AA1" s="1441"/>
      <c r="AB1" s="1441"/>
      <c r="AC1" s="1441"/>
      <c r="AD1" s="1441"/>
      <c r="AE1" s="1441"/>
      <c r="AF1" s="1441"/>
      <c r="AG1" s="10"/>
      <c r="AH1" s="10"/>
      <c r="AI1" s="10"/>
      <c r="AJ1" s="10"/>
      <c r="AK1" s="10"/>
      <c r="AL1" s="10"/>
      <c r="AM1" s="10"/>
      <c r="AN1" s="10"/>
    </row>
    <row r="2" spans="1:40" ht="3.75" customHeight="1" thickBot="1">
      <c r="A2" s="1442"/>
      <c r="B2" s="1442"/>
      <c r="C2" s="1442"/>
      <c r="D2" s="1442"/>
      <c r="E2" s="1442"/>
      <c r="F2" s="1442"/>
      <c r="G2" s="1442"/>
      <c r="H2" s="1442"/>
      <c r="I2" s="1442"/>
      <c r="J2" s="1442"/>
      <c r="K2" s="1442"/>
      <c r="L2" s="1442"/>
      <c r="M2" s="1442"/>
      <c r="N2" s="1442"/>
      <c r="O2" s="1442"/>
      <c r="P2" s="1442"/>
      <c r="Q2" s="1442"/>
      <c r="R2" s="1442"/>
      <c r="S2" s="1442"/>
      <c r="T2" s="1442"/>
      <c r="U2" s="1442"/>
      <c r="V2" s="1442"/>
      <c r="W2" s="1442"/>
      <c r="X2" s="1442"/>
      <c r="Y2" s="1442"/>
      <c r="Z2" s="1442"/>
      <c r="AA2" s="1442"/>
      <c r="AB2" s="1442"/>
      <c r="AC2" s="1442"/>
      <c r="AD2" s="1442"/>
      <c r="AE2" s="1442"/>
      <c r="AF2" s="1442"/>
      <c r="AG2" s="428"/>
      <c r="AH2" s="10"/>
      <c r="AI2" s="10"/>
      <c r="AJ2" s="10"/>
      <c r="AK2" s="10"/>
      <c r="AL2" s="10"/>
      <c r="AM2" s="10"/>
      <c r="AN2" s="10"/>
    </row>
    <row r="3" spans="1:40" ht="18" customHeight="1">
      <c r="A3" s="221"/>
      <c r="B3" s="221"/>
      <c r="C3" s="221"/>
      <c r="D3" s="221"/>
      <c r="E3" s="221"/>
      <c r="F3" s="221"/>
      <c r="G3" s="1449" t="s">
        <v>452</v>
      </c>
      <c r="H3" s="1450"/>
      <c r="I3" s="1450"/>
      <c r="J3" s="1450"/>
      <c r="K3" s="1451" t="s">
        <v>453</v>
      </c>
      <c r="L3" s="1452"/>
      <c r="M3" s="1452"/>
      <c r="N3" s="1452"/>
      <c r="O3" s="1452"/>
      <c r="P3" s="1452"/>
      <c r="Q3" s="1452"/>
      <c r="R3" s="1452"/>
      <c r="S3" s="1452"/>
      <c r="T3" s="1452"/>
      <c r="U3" s="1452"/>
      <c r="V3" s="1452"/>
      <c r="W3" s="1452"/>
      <c r="X3" s="1452"/>
      <c r="Y3" s="1452"/>
      <c r="Z3" s="1452"/>
      <c r="AA3" s="1452"/>
      <c r="AB3" s="1452"/>
      <c r="AC3" s="1452"/>
      <c r="AD3" s="1452"/>
      <c r="AE3" s="1452"/>
      <c r="AF3" s="1453"/>
      <c r="AG3" s="428"/>
      <c r="AH3" s="10"/>
      <c r="AI3" s="10"/>
      <c r="AJ3" s="10"/>
      <c r="AK3" s="10"/>
      <c r="AL3" s="10"/>
      <c r="AM3" s="10"/>
      <c r="AN3" s="10"/>
    </row>
    <row r="4" spans="1:40" ht="14.45">
      <c r="A4" s="244" t="s">
        <v>454</v>
      </c>
      <c r="B4" s="595" t="s">
        <v>455</v>
      </c>
      <c r="C4" s="596" t="s">
        <v>456</v>
      </c>
      <c r="D4" s="250" t="s">
        <v>457</v>
      </c>
      <c r="E4" s="250" t="s">
        <v>458</v>
      </c>
      <c r="F4" s="251" t="s">
        <v>459</v>
      </c>
      <c r="G4" s="250">
        <v>2024</v>
      </c>
      <c r="H4" s="250">
        <f>G4+1</f>
        <v>2025</v>
      </c>
      <c r="I4" s="250">
        <f t="shared" ref="I4:AF4" si="0">H4+1</f>
        <v>2026</v>
      </c>
      <c r="J4" s="251">
        <f t="shared" si="0"/>
        <v>2027</v>
      </c>
      <c r="K4" s="252">
        <f t="shared" si="0"/>
        <v>2028</v>
      </c>
      <c r="L4" s="252">
        <f t="shared" si="0"/>
        <v>2029</v>
      </c>
      <c r="M4" s="252">
        <f t="shared" si="0"/>
        <v>2030</v>
      </c>
      <c r="N4" s="252">
        <f t="shared" si="0"/>
        <v>2031</v>
      </c>
      <c r="O4" s="252">
        <f t="shared" si="0"/>
        <v>2032</v>
      </c>
      <c r="P4" s="252">
        <f t="shared" si="0"/>
        <v>2033</v>
      </c>
      <c r="Q4" s="252">
        <f t="shared" si="0"/>
        <v>2034</v>
      </c>
      <c r="R4" s="252">
        <f t="shared" si="0"/>
        <v>2035</v>
      </c>
      <c r="S4" s="252">
        <f t="shared" si="0"/>
        <v>2036</v>
      </c>
      <c r="T4" s="252">
        <f t="shared" si="0"/>
        <v>2037</v>
      </c>
      <c r="U4" s="252">
        <f t="shared" si="0"/>
        <v>2038</v>
      </c>
      <c r="V4" s="252">
        <f t="shared" si="0"/>
        <v>2039</v>
      </c>
      <c r="W4" s="252">
        <f t="shared" si="0"/>
        <v>2040</v>
      </c>
      <c r="X4" s="252">
        <f t="shared" si="0"/>
        <v>2041</v>
      </c>
      <c r="Y4" s="252">
        <f t="shared" si="0"/>
        <v>2042</v>
      </c>
      <c r="Z4" s="252">
        <f t="shared" si="0"/>
        <v>2043</v>
      </c>
      <c r="AA4" s="252">
        <f t="shared" si="0"/>
        <v>2044</v>
      </c>
      <c r="AB4" s="252">
        <f t="shared" si="0"/>
        <v>2045</v>
      </c>
      <c r="AC4" s="252">
        <f t="shared" si="0"/>
        <v>2046</v>
      </c>
      <c r="AD4" s="252">
        <f t="shared" si="0"/>
        <v>2047</v>
      </c>
      <c r="AE4" s="252">
        <f t="shared" si="0"/>
        <v>2048</v>
      </c>
      <c r="AF4" s="253">
        <f t="shared" si="0"/>
        <v>2049</v>
      </c>
      <c r="AG4" s="428"/>
      <c r="AH4" s="10"/>
      <c r="AI4" s="10"/>
      <c r="AJ4" s="10"/>
      <c r="AK4" s="10"/>
      <c r="AL4" s="10"/>
      <c r="AM4" s="10"/>
      <c r="AN4" s="10"/>
    </row>
    <row r="5" spans="1:40" ht="12.95">
      <c r="A5" s="1446" t="s">
        <v>460</v>
      </c>
      <c r="B5" s="581">
        <v>1</v>
      </c>
      <c r="C5" s="597" t="s">
        <v>461</v>
      </c>
      <c r="D5" s="587">
        <f>'Fin. Data'!D6</f>
        <v>0.3088218650973289</v>
      </c>
      <c r="E5" s="257">
        <f t="shared" ref="E5:F5" si="1">+E6/D6-1</f>
        <v>8.8220670572213056E-2</v>
      </c>
      <c r="F5" s="291">
        <f t="shared" si="1"/>
        <v>9.0782677791021005E-2</v>
      </c>
      <c r="G5" s="306">
        <f>Assumptions!D67</f>
        <v>6.5336914951739322E-2</v>
      </c>
      <c r="H5" s="889">
        <f>Assumptions!E67</f>
        <v>8.4694021896606131E-2</v>
      </c>
      <c r="I5" s="889">
        <f>Assumptions!F67</f>
        <v>5.3161280471606398E-2</v>
      </c>
      <c r="J5" s="890">
        <f>Assumptions!G67</f>
        <v>3.7566939679383626E-2</v>
      </c>
      <c r="K5" s="306">
        <f>Assumptions!H67</f>
        <v>2.807937837157648E-2</v>
      </c>
      <c r="L5" s="889">
        <f>Assumptions!I67</f>
        <v>2.2427318462783896E-2</v>
      </c>
      <c r="M5" s="889">
        <f>Assumptions!J67</f>
        <v>2.2482329431660508E-2</v>
      </c>
      <c r="N5" s="889">
        <f>Assumptions!K67</f>
        <v>2.2537342301938601E-2</v>
      </c>
      <c r="O5" s="889">
        <f>Assumptions!L67</f>
        <v>2.2592351154159029E-2</v>
      </c>
      <c r="P5" s="889">
        <f>Assumptions!M67</f>
        <v>2.2647350070590155E-2</v>
      </c>
      <c r="Q5" s="889">
        <f>Assumptions!N67</f>
        <v>2.2702333137776698E-2</v>
      </c>
      <c r="R5" s="889">
        <f>Assumptions!O67</f>
        <v>2.2757294449078813E-2</v>
      </c>
      <c r="S5" s="889">
        <f>Assumptions!P67</f>
        <v>1.5208152071474634E-2</v>
      </c>
      <c r="T5" s="889">
        <f>Assumptions!Q67</f>
        <v>1.5232734885023191E-2</v>
      </c>
      <c r="U5" s="889">
        <f>Assumptions!R67</f>
        <v>1.5257306427700845E-2</v>
      </c>
      <c r="V5" s="889">
        <f>Assumptions!S67</f>
        <v>1.52818655155742E-2</v>
      </c>
      <c r="W5" s="889">
        <f>Assumptions!T67</f>
        <v>1.5306410967115713E-2</v>
      </c>
      <c r="X5" s="889">
        <f>Assumptions!U67</f>
        <v>1.5330941603434178E-2</v>
      </c>
      <c r="Y5" s="889">
        <f>Assumptions!V67</f>
        <v>1.5355456248497434E-2</v>
      </c>
      <c r="Z5" s="889">
        <f>Assumptions!W67</f>
        <v>1.5379953729357299E-2</v>
      </c>
      <c r="AA5" s="889">
        <f>Assumptions!X67</f>
        <v>1.5404432876372276E-2</v>
      </c>
      <c r="AB5" s="889">
        <f>Assumptions!Y67</f>
        <v>1.5428892523429605E-2</v>
      </c>
      <c r="AC5" s="889">
        <f>Assumptions!Z67</f>
        <v>1.5453331508164192E-2</v>
      </c>
      <c r="AD5" s="889">
        <f>Assumptions!AA67</f>
        <v>1.5477748672177993E-2</v>
      </c>
      <c r="AE5" s="889">
        <f>Assumptions!AB67</f>
        <v>1.5502142861256507E-2</v>
      </c>
      <c r="AF5" s="890">
        <f>Assumptions!AC67</f>
        <v>1.5526512925584601E-2</v>
      </c>
      <c r="AG5" s="353"/>
      <c r="AH5" s="10"/>
      <c r="AI5" s="10"/>
      <c r="AJ5" s="10"/>
      <c r="AK5" s="10"/>
      <c r="AL5" s="10"/>
      <c r="AM5" s="10"/>
      <c r="AN5" s="10"/>
    </row>
    <row r="6" spans="1:40" ht="14.45">
      <c r="A6" s="1446"/>
      <c r="B6" s="581">
        <v>2</v>
      </c>
      <c r="C6" s="582" t="s">
        <v>462</v>
      </c>
      <c r="D6" s="1098">
        <f>Inputs!D6</f>
        <v>4625.8999999999996</v>
      </c>
      <c r="E6" s="1099">
        <f>Inputs!C6</f>
        <v>5034</v>
      </c>
      <c r="F6" s="292">
        <f>Inputs!B6</f>
        <v>5491</v>
      </c>
      <c r="G6" s="300">
        <f>Assumptions!D68</f>
        <v>5849.7650000000003</v>
      </c>
      <c r="H6" s="298">
        <f>Assumptions!E68</f>
        <v>6345.2051250000004</v>
      </c>
      <c r="I6" s="298">
        <f>Assumptions!F68</f>
        <v>6682.5243542999997</v>
      </c>
      <c r="J6" s="301">
        <f>Assumptions!G68</f>
        <v>6933.5663436240002</v>
      </c>
      <c r="K6" s="300">
        <f>Assumptions!H68</f>
        <v>7128.2565764510473</v>
      </c>
      <c r="L6" s="298">
        <f>Assumptions!I68</f>
        <v>7288.1242567755489</v>
      </c>
      <c r="M6" s="298">
        <f>Assumptions!J68</f>
        <v>7451.9782672552519</v>
      </c>
      <c r="N6" s="298">
        <f>Assumptions!K68</f>
        <v>7619.9260522909908</v>
      </c>
      <c r="O6" s="298">
        <f>Assumptions!L68</f>
        <v>7792.0780974330728</v>
      </c>
      <c r="P6" s="298">
        <f>Assumptions!M68</f>
        <v>7968.5480178830185</v>
      </c>
      <c r="Q6" s="298">
        <f>Assumptions!N68</f>
        <v>8149.4526496093695</v>
      </c>
      <c r="R6" s="298">
        <f>Assumptions!O68</f>
        <v>8334.9121431553558</v>
      </c>
      <c r="S6" s="298">
        <f>Assumptions!P68</f>
        <v>8461.6707545308436</v>
      </c>
      <c r="T6" s="298">
        <f>Assumptions!Q68</f>
        <v>8590.5651418189664</v>
      </c>
      <c r="U6" s="298">
        <f>Assumptions!R68</f>
        <v>8721.634026574824</v>
      </c>
      <c r="V6" s="298">
        <f>Assumptions!S68</f>
        <v>8854.9168648449959</v>
      </c>
      <c r="W6" s="298">
        <f>Assumptions!T68</f>
        <v>8990.4538614579578</v>
      </c>
      <c r="X6" s="298">
        <f>Assumptions!U68</f>
        <v>9128.2859845963394</v>
      </c>
      <c r="Y6" s="298">
        <f>Assumptions!V68</f>
        <v>9268.454980656581</v>
      </c>
      <c r="Z6" s="298">
        <f>Assumptions!W68</f>
        <v>9411.0033894017106</v>
      </c>
      <c r="AA6" s="298">
        <f>Assumptions!X68</f>
        <v>9555.9745594130618</v>
      </c>
      <c r="AB6" s="298">
        <f>Assumptions!Y68</f>
        <v>9703.4126638468733</v>
      </c>
      <c r="AC6" s="298">
        <f>Assumptions!Z68</f>
        <v>9853.362716501817</v>
      </c>
      <c r="AD6" s="298">
        <f>Assumptions!AA68</f>
        <v>10005.870588203641</v>
      </c>
      <c r="AE6" s="298">
        <f>Assumptions!AB68</f>
        <v>10160.983023513219</v>
      </c>
      <c r="AF6" s="301">
        <f>Assumptions!AC68</f>
        <v>10318.747657764443</v>
      </c>
      <c r="AG6" s="429"/>
      <c r="AH6" s="10"/>
      <c r="AI6" s="10"/>
      <c r="AJ6" s="10"/>
      <c r="AK6" s="10"/>
      <c r="AL6" s="10"/>
      <c r="AM6" s="10"/>
      <c r="AN6" s="10"/>
    </row>
    <row r="7" spans="1:40" ht="12.95">
      <c r="A7" s="1446"/>
      <c r="B7" s="581">
        <v>3</v>
      </c>
      <c r="C7" s="583" t="s">
        <v>463</v>
      </c>
      <c r="D7" s="588">
        <f>D8/D6</f>
        <v>0.19518363994033594</v>
      </c>
      <c r="E7" s="288">
        <f t="shared" ref="E7:F7" si="2">E8/E6</f>
        <v>0.19026618990862137</v>
      </c>
      <c r="F7" s="293">
        <f t="shared" si="2"/>
        <v>0.17767255509014751</v>
      </c>
      <c r="G7" s="307">
        <f>Assumptions!D50</f>
        <v>0.18</v>
      </c>
      <c r="H7" s="891">
        <f>Assumptions!E50</f>
        <v>0.18</v>
      </c>
      <c r="I7" s="891">
        <f>Assumptions!F50</f>
        <v>0.18</v>
      </c>
      <c r="J7" s="892">
        <f>Assumptions!G50</f>
        <v>0.18</v>
      </c>
      <c r="K7" s="307">
        <f>Assumptions!H50</f>
        <v>0.18</v>
      </c>
      <c r="L7" s="891">
        <f>Assumptions!I50</f>
        <v>0.18</v>
      </c>
      <c r="M7" s="891">
        <f>Assumptions!J50</f>
        <v>0.18</v>
      </c>
      <c r="N7" s="891">
        <f>Assumptions!K50</f>
        <v>0.18</v>
      </c>
      <c r="O7" s="891">
        <f>Assumptions!L50</f>
        <v>0.18</v>
      </c>
      <c r="P7" s="891">
        <f>Assumptions!M50</f>
        <v>0.18</v>
      </c>
      <c r="Q7" s="891">
        <f>Assumptions!N50</f>
        <v>0.18</v>
      </c>
      <c r="R7" s="891">
        <f>Assumptions!O50</f>
        <v>0.18</v>
      </c>
      <c r="S7" s="891">
        <f>Assumptions!P50</f>
        <v>0.18</v>
      </c>
      <c r="T7" s="891">
        <f>Assumptions!Q50</f>
        <v>0.18</v>
      </c>
      <c r="U7" s="891">
        <f>Assumptions!R50</f>
        <v>0.18</v>
      </c>
      <c r="V7" s="891">
        <f>Assumptions!S50</f>
        <v>0.18</v>
      </c>
      <c r="W7" s="891">
        <f>Assumptions!T50</f>
        <v>0.18</v>
      </c>
      <c r="X7" s="891">
        <f>Assumptions!U50</f>
        <v>0.18</v>
      </c>
      <c r="Y7" s="891">
        <f>Assumptions!V50</f>
        <v>0.18</v>
      </c>
      <c r="Z7" s="891">
        <f>Assumptions!W50</f>
        <v>0.18</v>
      </c>
      <c r="AA7" s="891">
        <f>Assumptions!X50</f>
        <v>0.18</v>
      </c>
      <c r="AB7" s="891">
        <f>Assumptions!Y50</f>
        <v>0.18</v>
      </c>
      <c r="AC7" s="891">
        <f>Assumptions!Z50</f>
        <v>0.18</v>
      </c>
      <c r="AD7" s="891">
        <f>Assumptions!AA50</f>
        <v>0.18</v>
      </c>
      <c r="AE7" s="891">
        <f>Assumptions!AB50</f>
        <v>0.18</v>
      </c>
      <c r="AF7" s="892">
        <f>Assumptions!AC50</f>
        <v>0.18</v>
      </c>
      <c r="AG7" s="353"/>
      <c r="AH7" s="10"/>
      <c r="AI7" s="10"/>
      <c r="AJ7" s="10"/>
      <c r="AK7" s="10"/>
      <c r="AL7" s="10"/>
      <c r="AM7" s="10"/>
      <c r="AN7" s="10"/>
    </row>
    <row r="8" spans="1:40" ht="14.45">
      <c r="A8" s="1446"/>
      <c r="B8" s="581">
        <v>4</v>
      </c>
      <c r="C8" s="584" t="s">
        <v>61</v>
      </c>
      <c r="D8" s="589">
        <f>'Fin. Data'!D11</f>
        <v>902.9</v>
      </c>
      <c r="E8" s="289">
        <f>'Fin. Data'!C11</f>
        <v>957.8</v>
      </c>
      <c r="F8" s="294">
        <f>'Fin. Data'!B11</f>
        <v>975.6</v>
      </c>
      <c r="G8" s="300">
        <f t="shared" ref="G8:AF8" si="3">G7*G6</f>
        <v>1052.9576999999999</v>
      </c>
      <c r="H8" s="298">
        <f t="shared" si="3"/>
        <v>1142.1369225000001</v>
      </c>
      <c r="I8" s="298">
        <f t="shared" si="3"/>
        <v>1202.8543837739999</v>
      </c>
      <c r="J8" s="301">
        <f t="shared" si="3"/>
        <v>1248.04194185232</v>
      </c>
      <c r="K8" s="300">
        <f t="shared" si="3"/>
        <v>1283.0861837611885</v>
      </c>
      <c r="L8" s="298">
        <f t="shared" si="3"/>
        <v>1311.8623662195987</v>
      </c>
      <c r="M8" s="298">
        <f t="shared" si="3"/>
        <v>1341.3560881059452</v>
      </c>
      <c r="N8" s="298">
        <f t="shared" si="3"/>
        <v>1371.5866894123783</v>
      </c>
      <c r="O8" s="298">
        <f t="shared" si="3"/>
        <v>1402.574057537953</v>
      </c>
      <c r="P8" s="298">
        <f t="shared" si="3"/>
        <v>1434.3386432189432</v>
      </c>
      <c r="Q8" s="298">
        <f t="shared" si="3"/>
        <v>1466.9014769296864</v>
      </c>
      <c r="R8" s="298">
        <f t="shared" si="3"/>
        <v>1500.2841857679639</v>
      </c>
      <c r="S8" s="298">
        <f t="shared" si="3"/>
        <v>1523.1007358155518</v>
      </c>
      <c r="T8" s="298">
        <f t="shared" si="3"/>
        <v>1546.301725527414</v>
      </c>
      <c r="U8" s="298">
        <f t="shared" si="3"/>
        <v>1569.8941247834682</v>
      </c>
      <c r="V8" s="298">
        <f t="shared" si="3"/>
        <v>1593.8850356720991</v>
      </c>
      <c r="W8" s="298">
        <f t="shared" si="3"/>
        <v>1618.2816950624324</v>
      </c>
      <c r="X8" s="298">
        <f t="shared" si="3"/>
        <v>1643.0914772273411</v>
      </c>
      <c r="Y8" s="298">
        <f t="shared" si="3"/>
        <v>1668.3218965181845</v>
      </c>
      <c r="Z8" s="298">
        <f t="shared" si="3"/>
        <v>1693.9806100923079</v>
      </c>
      <c r="AA8" s="298">
        <f t="shared" si="3"/>
        <v>1720.0754206943511</v>
      </c>
      <c r="AB8" s="298">
        <f t="shared" si="3"/>
        <v>1746.6142794924372</v>
      </c>
      <c r="AC8" s="298">
        <f t="shared" si="3"/>
        <v>1773.6052889703269</v>
      </c>
      <c r="AD8" s="298">
        <f t="shared" si="3"/>
        <v>1801.0567058766553</v>
      </c>
      <c r="AE8" s="298">
        <f t="shared" si="3"/>
        <v>1828.9769442323795</v>
      </c>
      <c r="AF8" s="301">
        <f t="shared" si="3"/>
        <v>1857.3745783975996</v>
      </c>
      <c r="AG8" s="414"/>
      <c r="AH8" s="7"/>
      <c r="AI8" s="7"/>
      <c r="AJ8" s="7"/>
      <c r="AK8" s="10"/>
      <c r="AL8" s="10"/>
      <c r="AM8" s="10"/>
      <c r="AN8" s="10"/>
    </row>
    <row r="9" spans="1:40" ht="14.45">
      <c r="A9" s="1446"/>
      <c r="B9" s="581" t="s">
        <v>464</v>
      </c>
      <c r="C9" s="582" t="s">
        <v>465</v>
      </c>
      <c r="D9" s="590">
        <v>-217.5</v>
      </c>
      <c r="E9" s="406">
        <v>-208.1</v>
      </c>
      <c r="F9" s="407">
        <v>-212.6</v>
      </c>
      <c r="G9" s="408">
        <f>$D$53*DCF!F40</f>
        <v>-206.20449999999997</v>
      </c>
      <c r="H9" s="412">
        <f>$D$53*DCF!G40</f>
        <v>-240.13313699999998</v>
      </c>
      <c r="I9" s="412">
        <f>$D$53*DCF!H40</f>
        <v>-276.93532672499998</v>
      </c>
      <c r="J9" s="413">
        <f>$D$53*DCF!I40</f>
        <v>-315.69396797994</v>
      </c>
      <c r="K9" s="409">
        <f>$E$53*DCF!J40</f>
        <v>-343.63594060837443</v>
      </c>
      <c r="L9" s="410">
        <f>$E$53*DCF!K40</f>
        <v>-381.55826559509404</v>
      </c>
      <c r="M9" s="410">
        <f>$E$53*DCF!L40</f>
        <v>-420.33108664113996</v>
      </c>
      <c r="N9" s="410">
        <f>$E$53*DCF!M40</f>
        <v>-459.97561102293793</v>
      </c>
      <c r="O9" s="410">
        <f>$E$53*DCF!N40</f>
        <v>-500.513617621126</v>
      </c>
      <c r="P9" s="410">
        <f>$E$53*DCF!O40</f>
        <v>-541.96747309947</v>
      </c>
      <c r="Q9" s="410">
        <f>$E$53*DCF!P40</f>
        <v>-584.36014855460769</v>
      </c>
      <c r="R9" s="410">
        <f>$E$53*DCF!Q40</f>
        <v>-627.71523665052939</v>
      </c>
      <c r="S9" s="410">
        <f>$E$53*DCF!R40</f>
        <v>-672.05696925211589</v>
      </c>
      <c r="T9" s="410">
        <f>$E$53*DCF!S40</f>
        <v>-717.07305766622005</v>
      </c>
      <c r="U9" s="410">
        <f>$E$53*DCF!T40</f>
        <v>-762.77486422069694</v>
      </c>
      <c r="V9" s="410">
        <f>$E$53*DCF!U40</f>
        <v>-809.17395724207495</v>
      </c>
      <c r="W9" s="410">
        <f>$E$53*DCF!V40</f>
        <v>-856.28211496305039</v>
      </c>
      <c r="X9" s="410">
        <f>$E$53*DCF!W40</f>
        <v>-904.11132950600665</v>
      </c>
      <c r="Y9" s="410">
        <f>$E$53*DCF!X40</f>
        <v>-952.67381094405914</v>
      </c>
      <c r="Z9" s="410">
        <f>$E$53*DCF!Y40</f>
        <v>-1001.9819914411522</v>
      </c>
      <c r="AA9" s="410">
        <f>$E$53*DCF!Z40</f>
        <v>-1052.0485294727694</v>
      </c>
      <c r="AB9" s="410">
        <f>$E$53*DCF!AA40</f>
        <v>-1102.8863141288468</v>
      </c>
      <c r="AC9" s="410">
        <f>$E$53*DCF!AB40</f>
        <v>-1154.5084695005123</v>
      </c>
      <c r="AD9" s="410">
        <f>$E$53*DCF!AC40</f>
        <v>-1206.9283591523019</v>
      </c>
      <c r="AE9" s="410">
        <f>$E$53*DCF!AD40</f>
        <v>-1260.1595906815453</v>
      </c>
      <c r="AF9" s="411">
        <f>$E$53*DCF!AE40</f>
        <v>-1314.2160203666356</v>
      </c>
      <c r="AG9" s="415">
        <f>SUM(D9:AF9)</f>
        <v>-19304.099690036208</v>
      </c>
      <c r="AH9" s="7"/>
      <c r="AI9" s="7"/>
      <c r="AJ9" s="7"/>
      <c r="AK9" s="10"/>
      <c r="AL9" s="10"/>
      <c r="AM9" s="10"/>
      <c r="AN9" s="10"/>
    </row>
    <row r="10" spans="1:40" ht="14.45">
      <c r="A10" s="1446"/>
      <c r="B10" s="581" t="s">
        <v>466</v>
      </c>
      <c r="C10" s="582" t="s">
        <v>467</v>
      </c>
      <c r="D10" s="590">
        <v>-3.2</v>
      </c>
      <c r="E10" s="406">
        <v>-11.9</v>
      </c>
      <c r="F10" s="407">
        <v>-36.200000000000003</v>
      </c>
      <c r="G10" s="408">
        <f>F38*$D$54</f>
        <v>-40.78</v>
      </c>
      <c r="H10" s="412">
        <f>G38*$D$54</f>
        <v>-42.819000000000003</v>
      </c>
      <c r="I10" s="412">
        <f>H38*$D$54</f>
        <v>-44.959949999999999</v>
      </c>
      <c r="J10" s="413">
        <f>I38*$D$54</f>
        <v>-47.207947500000003</v>
      </c>
      <c r="K10" s="409">
        <f t="shared" ref="K10:AF10" si="4">J38*$E$54</f>
        <v>-39.654675900000001</v>
      </c>
      <c r="L10" s="410">
        <f t="shared" si="4"/>
        <v>-41.240862936000006</v>
      </c>
      <c r="M10" s="410">
        <f t="shared" si="4"/>
        <v>-42.890497453440005</v>
      </c>
      <c r="N10" s="410">
        <f t="shared" si="4"/>
        <v>-44.606117351577602</v>
      </c>
      <c r="O10" s="410">
        <f t="shared" si="4"/>
        <v>-46.390362045640707</v>
      </c>
      <c r="P10" s="410">
        <f t="shared" si="4"/>
        <v>-48.24597652746634</v>
      </c>
      <c r="Q10" s="410">
        <f t="shared" si="4"/>
        <v>-50.175815588564994</v>
      </c>
      <c r="R10" s="410">
        <f t="shared" si="4"/>
        <v>-52.182848212107594</v>
      </c>
      <c r="S10" s="410">
        <f t="shared" si="4"/>
        <v>-54.270162140591893</v>
      </c>
      <c r="T10" s="410">
        <f t="shared" si="4"/>
        <v>-56.440968626215572</v>
      </c>
      <c r="U10" s="410">
        <f t="shared" si="4"/>
        <v>-58.698607371264195</v>
      </c>
      <c r="V10" s="410">
        <f t="shared" si="4"/>
        <v>-61.046551666114766</v>
      </c>
      <c r="W10" s="410">
        <f t="shared" si="4"/>
        <v>-63.488413732759355</v>
      </c>
      <c r="X10" s="410">
        <f t="shared" si="4"/>
        <v>-66.027950282069739</v>
      </c>
      <c r="Y10" s="410">
        <f t="shared" si="4"/>
        <v>-68.669068293352524</v>
      </c>
      <c r="Z10" s="410">
        <f t="shared" si="4"/>
        <v>-71.415831025086618</v>
      </c>
      <c r="AA10" s="410">
        <f t="shared" si="4"/>
        <v>-74.272464266090083</v>
      </c>
      <c r="AB10" s="410">
        <f t="shared" si="4"/>
        <v>-77.243362836733681</v>
      </c>
      <c r="AC10" s="410">
        <f t="shared" si="4"/>
        <v>-80.333097350203033</v>
      </c>
      <c r="AD10" s="410">
        <f t="shared" si="4"/>
        <v>-83.54642124421116</v>
      </c>
      <c r="AE10" s="410">
        <f t="shared" si="4"/>
        <v>-86.888278093979608</v>
      </c>
      <c r="AF10" s="411">
        <f t="shared" si="4"/>
        <v>-90.363809217738805</v>
      </c>
      <c r="AG10" s="414"/>
      <c r="AH10" s="7"/>
      <c r="AI10" s="7"/>
      <c r="AJ10" s="7"/>
      <c r="AK10" s="10"/>
      <c r="AL10" s="10"/>
      <c r="AM10" s="10"/>
      <c r="AN10" s="10"/>
    </row>
    <row r="11" spans="1:40" ht="14.45">
      <c r="A11" s="1446"/>
      <c r="B11" s="581" t="s">
        <v>468</v>
      </c>
      <c r="C11" s="582" t="s">
        <v>469</v>
      </c>
      <c r="D11" s="590">
        <f>D20</f>
        <v>0</v>
      </c>
      <c r="E11" s="406">
        <f>E20</f>
        <v>0</v>
      </c>
      <c r="F11" s="407">
        <f>F20</f>
        <v>0</v>
      </c>
      <c r="G11" s="408">
        <f t="shared" ref="G11:AF11" si="5">G6*$D$55</f>
        <v>0</v>
      </c>
      <c r="H11" s="412">
        <f t="shared" si="5"/>
        <v>0</v>
      </c>
      <c r="I11" s="412">
        <f t="shared" si="5"/>
        <v>0</v>
      </c>
      <c r="J11" s="413">
        <f t="shared" si="5"/>
        <v>0</v>
      </c>
      <c r="K11" s="408">
        <f t="shared" si="5"/>
        <v>0</v>
      </c>
      <c r="L11" s="412">
        <f t="shared" si="5"/>
        <v>0</v>
      </c>
      <c r="M11" s="412">
        <f t="shared" si="5"/>
        <v>0</v>
      </c>
      <c r="N11" s="412">
        <f t="shared" si="5"/>
        <v>0</v>
      </c>
      <c r="O11" s="412">
        <f t="shared" si="5"/>
        <v>0</v>
      </c>
      <c r="P11" s="412">
        <f t="shared" si="5"/>
        <v>0</v>
      </c>
      <c r="Q11" s="412">
        <f t="shared" si="5"/>
        <v>0</v>
      </c>
      <c r="R11" s="412">
        <f t="shared" si="5"/>
        <v>0</v>
      </c>
      <c r="S11" s="412">
        <f t="shared" si="5"/>
        <v>0</v>
      </c>
      <c r="T11" s="412">
        <f t="shared" si="5"/>
        <v>0</v>
      </c>
      <c r="U11" s="412">
        <f t="shared" si="5"/>
        <v>0</v>
      </c>
      <c r="V11" s="412">
        <f t="shared" si="5"/>
        <v>0</v>
      </c>
      <c r="W11" s="412">
        <f t="shared" si="5"/>
        <v>0</v>
      </c>
      <c r="X11" s="412">
        <f t="shared" si="5"/>
        <v>0</v>
      </c>
      <c r="Y11" s="412">
        <f t="shared" si="5"/>
        <v>0</v>
      </c>
      <c r="Z11" s="412">
        <f t="shared" si="5"/>
        <v>0</v>
      </c>
      <c r="AA11" s="412">
        <f t="shared" si="5"/>
        <v>0</v>
      </c>
      <c r="AB11" s="412">
        <f t="shared" si="5"/>
        <v>0</v>
      </c>
      <c r="AC11" s="412">
        <f t="shared" si="5"/>
        <v>0</v>
      </c>
      <c r="AD11" s="412">
        <f t="shared" si="5"/>
        <v>0</v>
      </c>
      <c r="AE11" s="412">
        <f t="shared" si="5"/>
        <v>0</v>
      </c>
      <c r="AF11" s="413">
        <f t="shared" si="5"/>
        <v>0</v>
      </c>
      <c r="AG11" s="414"/>
      <c r="AH11" s="7"/>
      <c r="AI11" s="7"/>
      <c r="AJ11" s="7"/>
      <c r="AK11" s="10"/>
      <c r="AL11" s="10"/>
      <c r="AM11" s="10"/>
      <c r="AN11" s="10"/>
    </row>
    <row r="12" spans="1:40" ht="14.45">
      <c r="A12" s="1446"/>
      <c r="B12" s="581">
        <v>6</v>
      </c>
      <c r="C12" s="584" t="s">
        <v>53</v>
      </c>
      <c r="D12" s="589">
        <f>D8-D9-D10</f>
        <v>1123.6000000000001</v>
      </c>
      <c r="E12" s="264">
        <f t="shared" ref="E12:F12" si="6">E8-E9-E10</f>
        <v>1177.8</v>
      </c>
      <c r="F12" s="295">
        <f t="shared" si="6"/>
        <v>1224.4000000000001</v>
      </c>
      <c r="G12" s="308">
        <f t="shared" ref="G12:AF12" si="7">G8-G9-G10</f>
        <v>1299.9422</v>
      </c>
      <c r="H12" s="309">
        <f t="shared" si="7"/>
        <v>1425.0890595000001</v>
      </c>
      <c r="I12" s="309">
        <f t="shared" si="7"/>
        <v>1524.7496604989997</v>
      </c>
      <c r="J12" s="310">
        <f t="shared" si="7"/>
        <v>1610.94385733226</v>
      </c>
      <c r="K12" s="308">
        <f t="shared" si="7"/>
        <v>1666.3768002695631</v>
      </c>
      <c r="L12" s="309">
        <f t="shared" si="7"/>
        <v>1734.6614947506928</v>
      </c>
      <c r="M12" s="309">
        <f t="shared" si="7"/>
        <v>1804.5776722005253</v>
      </c>
      <c r="N12" s="309">
        <f t="shared" si="7"/>
        <v>1876.1684177868938</v>
      </c>
      <c r="O12" s="309">
        <f t="shared" si="7"/>
        <v>1949.4780372047198</v>
      </c>
      <c r="P12" s="309">
        <f t="shared" si="7"/>
        <v>2024.5520928458795</v>
      </c>
      <c r="Q12" s="309">
        <f t="shared" si="7"/>
        <v>2101.4374410728592</v>
      </c>
      <c r="R12" s="309">
        <f t="shared" si="7"/>
        <v>2180.1822706306011</v>
      </c>
      <c r="S12" s="309">
        <f t="shared" si="7"/>
        <v>2249.4278672082596</v>
      </c>
      <c r="T12" s="309">
        <f t="shared" si="7"/>
        <v>2319.8157518198495</v>
      </c>
      <c r="U12" s="309">
        <f t="shared" si="7"/>
        <v>2391.3675963754295</v>
      </c>
      <c r="V12" s="309">
        <f t="shared" si="7"/>
        <v>2464.105544580289</v>
      </c>
      <c r="W12" s="309">
        <f t="shared" si="7"/>
        <v>2538.0522237582422</v>
      </c>
      <c r="X12" s="309">
        <f t="shared" si="7"/>
        <v>2613.2307570154176</v>
      </c>
      <c r="Y12" s="309">
        <f t="shared" si="7"/>
        <v>2689.6647757555961</v>
      </c>
      <c r="Z12" s="309">
        <f t="shared" si="7"/>
        <v>2767.3784325585466</v>
      </c>
      <c r="AA12" s="309">
        <f t="shared" si="7"/>
        <v>2846.3964144332108</v>
      </c>
      <c r="AB12" s="309">
        <f t="shared" si="7"/>
        <v>2926.7439564580172</v>
      </c>
      <c r="AC12" s="309">
        <f t="shared" si="7"/>
        <v>3008.4468558210424</v>
      </c>
      <c r="AD12" s="309">
        <f t="shared" si="7"/>
        <v>3091.5314862731684</v>
      </c>
      <c r="AE12" s="309">
        <f t="shared" si="7"/>
        <v>3176.0248130079049</v>
      </c>
      <c r="AF12" s="310">
        <f t="shared" si="7"/>
        <v>3261.9544079819743</v>
      </c>
      <c r="AG12" s="282"/>
      <c r="AH12" s="7"/>
      <c r="AI12" s="7"/>
      <c r="AJ12" s="7"/>
      <c r="AK12" s="10"/>
      <c r="AL12" s="10"/>
      <c r="AM12" s="10"/>
      <c r="AN12" s="10"/>
    </row>
    <row r="13" spans="1:40" ht="14.45">
      <c r="A13" s="1446"/>
      <c r="B13" s="581">
        <v>7</v>
      </c>
      <c r="C13" s="582" t="s">
        <v>470</v>
      </c>
      <c r="D13" s="590">
        <f>'Fin. Data'!D14</f>
        <v>-82.3</v>
      </c>
      <c r="E13" s="406">
        <f>'Fin. Data'!C14</f>
        <v>-72.2</v>
      </c>
      <c r="F13" s="407">
        <f>'Fin. Data'!B14</f>
        <v>-80.7</v>
      </c>
      <c r="G13" s="409">
        <f>F43*$D$58-F44*$D$57</f>
        <v>-73.820800000000006</v>
      </c>
      <c r="H13" s="410">
        <f>G43*$D$58-G44*$D$57</f>
        <v>-71.577377356539799</v>
      </c>
      <c r="I13" s="410">
        <f>H43*$D$58-H44*$D$57</f>
        <v>-71.779397989863739</v>
      </c>
      <c r="J13" s="411">
        <f>I43*$D$58-I44*$D$57</f>
        <v>-73.55181130885957</v>
      </c>
      <c r="K13" s="409">
        <f t="shared" ref="K13:AF13" si="8">J43*$E$58-J44*$E$57</f>
        <v>-73.749169079074377</v>
      </c>
      <c r="L13" s="410">
        <f t="shared" si="8"/>
        <v>-83.442493222600561</v>
      </c>
      <c r="M13" s="410">
        <f t="shared" si="8"/>
        <v>-84.196456279620463</v>
      </c>
      <c r="N13" s="410">
        <f t="shared" si="8"/>
        <v>-86.324666821700134</v>
      </c>
      <c r="O13" s="410">
        <f t="shared" si="8"/>
        <v>-92.996444790993635</v>
      </c>
      <c r="P13" s="410">
        <f t="shared" si="8"/>
        <v>-93.042524415641068</v>
      </c>
      <c r="Q13" s="410">
        <f t="shared" si="8"/>
        <v>-84.823073629231004</v>
      </c>
      <c r="R13" s="410">
        <f t="shared" si="8"/>
        <v>-84.279416778118161</v>
      </c>
      <c r="S13" s="410">
        <f t="shared" si="8"/>
        <v>-81.851002658186118</v>
      </c>
      <c r="T13" s="410">
        <f t="shared" si="8"/>
        <v>-74.3884836799011</v>
      </c>
      <c r="U13" s="410">
        <f t="shared" si="8"/>
        <v>-72.964972384303422</v>
      </c>
      <c r="V13" s="410">
        <f t="shared" si="8"/>
        <v>-56.808898366471958</v>
      </c>
      <c r="W13" s="410">
        <f t="shared" si="8"/>
        <v>-45.031206152090384</v>
      </c>
      <c r="X13" s="410">
        <f t="shared" si="8"/>
        <v>-34.451763136526083</v>
      </c>
      <c r="Y13" s="410">
        <f t="shared" si="8"/>
        <v>-21.871530433785264</v>
      </c>
      <c r="Z13" s="410">
        <f t="shared" si="8"/>
        <v>-18.47342906799879</v>
      </c>
      <c r="AA13" s="410">
        <f t="shared" si="8"/>
        <v>-5.1032304328948044</v>
      </c>
      <c r="AB13" s="410">
        <f t="shared" si="8"/>
        <v>8.7008989514073765</v>
      </c>
      <c r="AC13" s="410">
        <f t="shared" si="8"/>
        <v>13.347464157622385</v>
      </c>
      <c r="AD13" s="410">
        <f t="shared" si="8"/>
        <v>18.391329738991516</v>
      </c>
      <c r="AE13" s="410">
        <f t="shared" si="8"/>
        <v>23.841040285391994</v>
      </c>
      <c r="AF13" s="411">
        <f t="shared" si="8"/>
        <v>29.705304160454194</v>
      </c>
      <c r="AG13" s="414"/>
      <c r="AH13" s="7"/>
      <c r="AI13" s="7"/>
      <c r="AJ13" s="7"/>
      <c r="AK13" s="10"/>
      <c r="AL13" s="10"/>
      <c r="AM13" s="10"/>
      <c r="AN13" s="10"/>
    </row>
    <row r="14" spans="1:40" ht="14.45">
      <c r="A14" s="1446"/>
      <c r="B14" s="581">
        <v>8</v>
      </c>
      <c r="C14" s="582" t="s">
        <v>471</v>
      </c>
      <c r="D14" s="591">
        <f>'Fin. Data'!D15</f>
        <v>2.5</v>
      </c>
      <c r="E14" s="290">
        <f>'Fin. Data'!C15</f>
        <v>-16.3</v>
      </c>
      <c r="F14" s="296">
        <f>'Fin. Data'!B15</f>
        <v>120.89999999999999</v>
      </c>
      <c r="G14" s="300">
        <f t="shared" ref="G14:AF14" si="9">AVERAGE(D14:F14)*(1+G5)</f>
        <v>38.032527863777091</v>
      </c>
      <c r="H14" s="298">
        <f t="shared" si="9"/>
        <v>51.570883433946705</v>
      </c>
      <c r="I14" s="298">
        <f t="shared" si="9"/>
        <v>73.898014061983986</v>
      </c>
      <c r="J14" s="301">
        <f t="shared" si="9"/>
        <v>56.547891181229723</v>
      </c>
      <c r="K14" s="300">
        <f t="shared" si="9"/>
        <v>62.375902318801892</v>
      </c>
      <c r="L14" s="298">
        <f t="shared" si="9"/>
        <v>65.715427882259505</v>
      </c>
      <c r="M14" s="298">
        <f t="shared" si="9"/>
        <v>62.930113727804361</v>
      </c>
      <c r="N14" s="298">
        <f t="shared" si="9"/>
        <v>65.108853199233721</v>
      </c>
      <c r="O14" s="298">
        <f t="shared" si="9"/>
        <v>66.043920711496938</v>
      </c>
      <c r="P14" s="298">
        <f t="shared" si="9"/>
        <v>66.159450245865315</v>
      </c>
      <c r="Q14" s="298">
        <f t="shared" si="9"/>
        <v>67.263890667184896</v>
      </c>
      <c r="R14" s="298">
        <f t="shared" si="9"/>
        <v>68.002198943429477</v>
      </c>
      <c r="S14" s="298">
        <f t="shared" si="9"/>
        <v>68.162950032565305</v>
      </c>
      <c r="T14" s="298">
        <f t="shared" si="9"/>
        <v>68.842606757326365</v>
      </c>
      <c r="U14" s="298">
        <f t="shared" si="9"/>
        <v>69.378540627533226</v>
      </c>
      <c r="V14" s="298">
        <f t="shared" si="9"/>
        <v>69.846010479570381</v>
      </c>
      <c r="W14" s="298">
        <f t="shared" si="9"/>
        <v>70.417306430487571</v>
      </c>
      <c r="X14" s="298">
        <f t="shared" si="9"/>
        <v>70.951954871045146</v>
      </c>
      <c r="Y14" s="298">
        <f t="shared" si="9"/>
        <v>71.486192881984095</v>
      </c>
      <c r="Z14" s="298">
        <f t="shared" si="9"/>
        <v>72.043053739966879</v>
      </c>
      <c r="AA14" s="298">
        <f t="shared" si="9"/>
        <v>72.595054254879543</v>
      </c>
      <c r="AB14" s="298">
        <f t="shared" si="9"/>
        <v>73.152953162253496</v>
      </c>
      <c r="AC14" s="298">
        <f t="shared" si="9"/>
        <v>73.718886208225157</v>
      </c>
      <c r="AD14" s="298">
        <f t="shared" si="9"/>
        <v>74.287915682251707</v>
      </c>
      <c r="AE14" s="298">
        <f t="shared" si="9"/>
        <v>74.862735056906089</v>
      </c>
      <c r="AF14" s="301">
        <f t="shared" si="9"/>
        <v>75.443307897838523</v>
      </c>
      <c r="AG14" s="414"/>
      <c r="AH14" s="7"/>
      <c r="AI14" s="7"/>
      <c r="AJ14" s="7"/>
      <c r="AK14" s="10"/>
      <c r="AL14" s="10"/>
      <c r="AM14" s="10"/>
      <c r="AN14" s="10"/>
    </row>
    <row r="15" spans="1:40" ht="14.45">
      <c r="A15" s="1446"/>
      <c r="B15" s="581">
        <v>9</v>
      </c>
      <c r="C15" s="584" t="s">
        <v>472</v>
      </c>
      <c r="D15" s="592">
        <f t="shared" ref="D15:F15" si="10">D8+D13+D14</f>
        <v>823.1</v>
      </c>
      <c r="E15" s="264">
        <f t="shared" si="10"/>
        <v>869.3</v>
      </c>
      <c r="F15" s="295">
        <f t="shared" si="10"/>
        <v>1015.8</v>
      </c>
      <c r="G15" s="308">
        <f t="shared" ref="G15:AF15" si="11">G8+G13+G14</f>
        <v>1017.1694278637771</v>
      </c>
      <c r="H15" s="309">
        <f t="shared" si="11"/>
        <v>1122.130428577407</v>
      </c>
      <c r="I15" s="309">
        <f t="shared" si="11"/>
        <v>1204.97299984612</v>
      </c>
      <c r="J15" s="310">
        <f t="shared" si="11"/>
        <v>1231.03802172469</v>
      </c>
      <c r="K15" s="308">
        <f t="shared" si="11"/>
        <v>1271.7129170009161</v>
      </c>
      <c r="L15" s="309">
        <f t="shared" si="11"/>
        <v>1294.1353008792576</v>
      </c>
      <c r="M15" s="309">
        <f t="shared" si="11"/>
        <v>1320.0897455541292</v>
      </c>
      <c r="N15" s="309">
        <f t="shared" si="11"/>
        <v>1350.3708757899117</v>
      </c>
      <c r="O15" s="309">
        <f t="shared" si="11"/>
        <v>1375.6215334584563</v>
      </c>
      <c r="P15" s="309">
        <f t="shared" si="11"/>
        <v>1407.4555690491675</v>
      </c>
      <c r="Q15" s="309">
        <f t="shared" si="11"/>
        <v>1449.3422939676402</v>
      </c>
      <c r="R15" s="309">
        <f t="shared" si="11"/>
        <v>1484.0069679332751</v>
      </c>
      <c r="S15" s="309">
        <f t="shared" si="11"/>
        <v>1509.4126831899309</v>
      </c>
      <c r="T15" s="309">
        <f t="shared" si="11"/>
        <v>1540.7558486048392</v>
      </c>
      <c r="U15" s="309">
        <f t="shared" si="11"/>
        <v>1566.3076930266982</v>
      </c>
      <c r="V15" s="309">
        <f t="shared" si="11"/>
        <v>1606.9221477851975</v>
      </c>
      <c r="W15" s="309">
        <f t="shared" si="11"/>
        <v>1643.6677953408296</v>
      </c>
      <c r="X15" s="309">
        <f t="shared" si="11"/>
        <v>1679.5916689618603</v>
      </c>
      <c r="Y15" s="309">
        <f t="shared" si="11"/>
        <v>1717.9365589663835</v>
      </c>
      <c r="Z15" s="309">
        <f t="shared" si="11"/>
        <v>1747.550234764276</v>
      </c>
      <c r="AA15" s="309">
        <f t="shared" si="11"/>
        <v>1787.5672445163359</v>
      </c>
      <c r="AB15" s="309">
        <f t="shared" si="11"/>
        <v>1828.468131606098</v>
      </c>
      <c r="AC15" s="309">
        <f t="shared" si="11"/>
        <v>1860.6716393361744</v>
      </c>
      <c r="AD15" s="309">
        <f t="shared" si="11"/>
        <v>1893.7359512978985</v>
      </c>
      <c r="AE15" s="309">
        <f t="shared" si="11"/>
        <v>1927.6807195746776</v>
      </c>
      <c r="AF15" s="310">
        <f t="shared" si="11"/>
        <v>1962.5231904558925</v>
      </c>
      <c r="AG15" s="414"/>
      <c r="AH15" s="7"/>
      <c r="AI15" s="7"/>
      <c r="AJ15" s="7"/>
      <c r="AK15" s="10"/>
      <c r="AL15" s="10"/>
      <c r="AM15" s="10"/>
      <c r="AN15" s="10"/>
    </row>
    <row r="16" spans="1:40" ht="14.45">
      <c r="A16" s="1446"/>
      <c r="B16" s="581">
        <v>10</v>
      </c>
      <c r="C16" s="582" t="s">
        <v>473</v>
      </c>
      <c r="D16" s="593">
        <f>'Fin. Data'!D21</f>
        <v>-145.6</v>
      </c>
      <c r="E16" s="404">
        <f>'Fin. Data'!C21</f>
        <v>-158.6</v>
      </c>
      <c r="F16" s="405">
        <f>'Fin. Data'!B21</f>
        <v>-215.3</v>
      </c>
      <c r="G16" s="398">
        <f>-$D$56*G15</f>
        <v>-305.15082835913313</v>
      </c>
      <c r="H16" s="876">
        <f>-$D$56*H15</f>
        <v>-336.63912857322208</v>
      </c>
      <c r="I16" s="876">
        <f>-$D$56*I15</f>
        <v>-361.49189995383603</v>
      </c>
      <c r="J16" s="876">
        <f>-$D$56*J15</f>
        <v>-369.31140651740697</v>
      </c>
      <c r="K16" s="398">
        <f t="shared" ref="K16:AF16" si="12">-$E$56*K15</f>
        <v>-381.51387510027484</v>
      </c>
      <c r="L16" s="876">
        <f t="shared" si="12"/>
        <v>-388.24059026377728</v>
      </c>
      <c r="M16" s="876">
        <f t="shared" si="12"/>
        <v>-396.02692366623876</v>
      </c>
      <c r="N16" s="876">
        <f t="shared" si="12"/>
        <v>-405.11126273697352</v>
      </c>
      <c r="O16" s="876">
        <f t="shared" si="12"/>
        <v>-412.68646003753685</v>
      </c>
      <c r="P16" s="876">
        <f t="shared" si="12"/>
        <v>-422.23667071475023</v>
      </c>
      <c r="Q16" s="876">
        <f t="shared" si="12"/>
        <v>-434.80268819029203</v>
      </c>
      <c r="R16" s="876">
        <f t="shared" si="12"/>
        <v>-445.20209037998251</v>
      </c>
      <c r="S16" s="876">
        <f t="shared" si="12"/>
        <v>-452.82380495697925</v>
      </c>
      <c r="T16" s="876">
        <f t="shared" si="12"/>
        <v>-462.22675458145176</v>
      </c>
      <c r="U16" s="876">
        <f t="shared" si="12"/>
        <v>-469.89230790800946</v>
      </c>
      <c r="V16" s="876">
        <f t="shared" si="12"/>
        <v>-482.07664433555919</v>
      </c>
      <c r="W16" s="876">
        <f t="shared" si="12"/>
        <v>-493.10033860224883</v>
      </c>
      <c r="X16" s="876">
        <f t="shared" si="12"/>
        <v>-503.87750068855803</v>
      </c>
      <c r="Y16" s="876">
        <f t="shared" si="12"/>
        <v>-515.380967689915</v>
      </c>
      <c r="Z16" s="876">
        <f t="shared" si="12"/>
        <v>-524.26507042928279</v>
      </c>
      <c r="AA16" s="876">
        <f t="shared" si="12"/>
        <v>-536.27017335490075</v>
      </c>
      <c r="AB16" s="876">
        <f t="shared" si="12"/>
        <v>-548.54043948182937</v>
      </c>
      <c r="AC16" s="876">
        <f t="shared" si="12"/>
        <v>-558.2014918008523</v>
      </c>
      <c r="AD16" s="876">
        <f t="shared" si="12"/>
        <v>-568.12078538936953</v>
      </c>
      <c r="AE16" s="876">
        <f t="shared" si="12"/>
        <v>-578.30421587240323</v>
      </c>
      <c r="AF16" s="877">
        <f t="shared" si="12"/>
        <v>-588.75695713676771</v>
      </c>
      <c r="AG16" s="414"/>
      <c r="AH16" s="7"/>
      <c r="AI16" s="7"/>
      <c r="AJ16" s="7"/>
      <c r="AK16" s="10"/>
      <c r="AL16" s="10"/>
      <c r="AM16" s="10"/>
      <c r="AN16" s="10"/>
    </row>
    <row r="17" spans="1:40" ht="14.45">
      <c r="A17" s="1446"/>
      <c r="B17" s="585">
        <v>11</v>
      </c>
      <c r="C17" s="586" t="s">
        <v>474</v>
      </c>
      <c r="D17" s="594">
        <f>'Fin. Data'!D23</f>
        <v>677.5</v>
      </c>
      <c r="E17" s="547">
        <f>'Fin. Data'!C23</f>
        <v>710.7</v>
      </c>
      <c r="F17" s="297">
        <f>'Fin. Data'!B23</f>
        <v>800.5</v>
      </c>
      <c r="G17" s="303">
        <f t="shared" ref="G17:AF17" si="13">G16+G15</f>
        <v>712.01859950464393</v>
      </c>
      <c r="H17" s="304">
        <f t="shared" si="13"/>
        <v>785.49130000418495</v>
      </c>
      <c r="I17" s="304">
        <f t="shared" si="13"/>
        <v>843.48109989228396</v>
      </c>
      <c r="J17" s="305">
        <f t="shared" si="13"/>
        <v>861.72661520728298</v>
      </c>
      <c r="K17" s="303">
        <f t="shared" si="13"/>
        <v>890.1990419006413</v>
      </c>
      <c r="L17" s="304">
        <f t="shared" si="13"/>
        <v>905.89471061548034</v>
      </c>
      <c r="M17" s="304">
        <f t="shared" si="13"/>
        <v>924.06282188789044</v>
      </c>
      <c r="N17" s="304">
        <f t="shared" si="13"/>
        <v>945.25961305293822</v>
      </c>
      <c r="O17" s="304">
        <f t="shared" si="13"/>
        <v>962.93507342091948</v>
      </c>
      <c r="P17" s="304">
        <f t="shared" si="13"/>
        <v>985.21889833441719</v>
      </c>
      <c r="Q17" s="304">
        <f t="shared" si="13"/>
        <v>1014.5396057773482</v>
      </c>
      <c r="R17" s="304">
        <f t="shared" si="13"/>
        <v>1038.8048775532925</v>
      </c>
      <c r="S17" s="304">
        <f t="shared" si="13"/>
        <v>1056.5888782329516</v>
      </c>
      <c r="T17" s="304">
        <f t="shared" si="13"/>
        <v>1078.5290940233874</v>
      </c>
      <c r="U17" s="304">
        <f t="shared" si="13"/>
        <v>1096.4153851186888</v>
      </c>
      <c r="V17" s="304">
        <f t="shared" si="13"/>
        <v>1124.8455034496383</v>
      </c>
      <c r="W17" s="304">
        <f t="shared" si="13"/>
        <v>1150.5674567385809</v>
      </c>
      <c r="X17" s="304">
        <f t="shared" si="13"/>
        <v>1175.7141682733022</v>
      </c>
      <c r="Y17" s="304">
        <f t="shared" si="13"/>
        <v>1202.5555912764685</v>
      </c>
      <c r="Z17" s="304">
        <f t="shared" si="13"/>
        <v>1223.2851643349932</v>
      </c>
      <c r="AA17" s="304">
        <f t="shared" si="13"/>
        <v>1251.2970711614353</v>
      </c>
      <c r="AB17" s="304">
        <f t="shared" si="13"/>
        <v>1279.9276921242686</v>
      </c>
      <c r="AC17" s="304">
        <f t="shared" si="13"/>
        <v>1302.4701475353222</v>
      </c>
      <c r="AD17" s="304">
        <f t="shared" si="13"/>
        <v>1325.615165908529</v>
      </c>
      <c r="AE17" s="304">
        <f t="shared" si="13"/>
        <v>1349.3765037022745</v>
      </c>
      <c r="AF17" s="305">
        <f t="shared" si="13"/>
        <v>1373.7662333191247</v>
      </c>
      <c r="AG17" s="414"/>
      <c r="AH17" s="7"/>
      <c r="AI17" s="7"/>
      <c r="AJ17" s="7"/>
      <c r="AK17" s="10"/>
      <c r="AL17" s="10"/>
      <c r="AM17" s="10"/>
      <c r="AN17" s="10"/>
    </row>
    <row r="18" spans="1:40" ht="14.45">
      <c r="A18" s="233"/>
      <c r="B18" s="245"/>
      <c r="C18" s="246" t="s">
        <v>475</v>
      </c>
      <c r="D18" s="249" t="s">
        <v>475</v>
      </c>
      <c r="E18" s="249" t="s">
        <v>475</v>
      </c>
      <c r="F18" s="249" t="s">
        <v>475</v>
      </c>
      <c r="G18" s="887" t="s">
        <v>475</v>
      </c>
      <c r="H18" s="887" t="s">
        <v>475</v>
      </c>
      <c r="I18" s="887" t="s">
        <v>475</v>
      </c>
      <c r="J18" s="887" t="s">
        <v>475</v>
      </c>
      <c r="K18" s="887" t="s">
        <v>475</v>
      </c>
      <c r="L18" s="887" t="s">
        <v>475</v>
      </c>
      <c r="M18" s="887" t="s">
        <v>475</v>
      </c>
      <c r="N18" s="887" t="s">
        <v>475</v>
      </c>
      <c r="O18" s="887" t="s">
        <v>475</v>
      </c>
      <c r="P18" s="887" t="s">
        <v>475</v>
      </c>
      <c r="Q18" s="887" t="s">
        <v>475</v>
      </c>
      <c r="R18" s="887" t="s">
        <v>475</v>
      </c>
      <c r="S18" s="887" t="s">
        <v>475</v>
      </c>
      <c r="T18" s="887" t="s">
        <v>475</v>
      </c>
      <c r="U18" s="887" t="s">
        <v>475</v>
      </c>
      <c r="V18" s="887" t="s">
        <v>475</v>
      </c>
      <c r="W18" s="887" t="s">
        <v>475</v>
      </c>
      <c r="X18" s="887" t="s">
        <v>475</v>
      </c>
      <c r="Y18" s="887" t="s">
        <v>475</v>
      </c>
      <c r="Z18" s="887" t="s">
        <v>475</v>
      </c>
      <c r="AA18" s="887" t="s">
        <v>475</v>
      </c>
      <c r="AB18" s="887" t="s">
        <v>475</v>
      </c>
      <c r="AC18" s="887" t="s">
        <v>475</v>
      </c>
      <c r="AD18" s="887" t="s">
        <v>475</v>
      </c>
      <c r="AE18" s="887" t="s">
        <v>475</v>
      </c>
      <c r="AF18" s="886" t="s">
        <v>475</v>
      </c>
      <c r="AG18" s="414"/>
      <c r="AH18" s="7"/>
      <c r="AI18" s="7"/>
      <c r="AJ18" s="7"/>
      <c r="AK18" s="10"/>
      <c r="AL18" s="10"/>
      <c r="AM18" s="10"/>
      <c r="AN18" s="10"/>
    </row>
    <row r="19" spans="1:40" ht="14.45">
      <c r="A19" s="1447" t="s">
        <v>476</v>
      </c>
      <c r="B19" s="223">
        <v>12</v>
      </c>
      <c r="C19" s="376" t="s">
        <v>477</v>
      </c>
      <c r="D19" s="893">
        <f>Inputs!D59-D20-D21</f>
        <v>671.59999999999991</v>
      </c>
      <c r="E19" s="929">
        <f>Inputs!C59-E20-E21</f>
        <v>608.29999999999995</v>
      </c>
      <c r="F19" s="930">
        <f>Inputs!B59-DCF!F20-DCF!F21</f>
        <v>1069.2</v>
      </c>
      <c r="G19" s="747">
        <f t="shared" ref="G19:AF19" si="14">G17-G10-G9-G11</f>
        <v>959.00309950464384</v>
      </c>
      <c r="H19" s="885">
        <f t="shared" si="14"/>
        <v>1068.4434370041849</v>
      </c>
      <c r="I19" s="885">
        <f t="shared" si="14"/>
        <v>1165.376376617284</v>
      </c>
      <c r="J19" s="884">
        <f t="shared" si="14"/>
        <v>1224.628530687223</v>
      </c>
      <c r="K19" s="883">
        <f t="shared" si="14"/>
        <v>1273.4896584090156</v>
      </c>
      <c r="L19" s="885">
        <f t="shared" si="14"/>
        <v>1328.6938391465744</v>
      </c>
      <c r="M19" s="885">
        <f t="shared" si="14"/>
        <v>1387.2844059824704</v>
      </c>
      <c r="N19" s="885">
        <f t="shared" si="14"/>
        <v>1449.8413414274537</v>
      </c>
      <c r="O19" s="885">
        <f t="shared" si="14"/>
        <v>1509.8390530876861</v>
      </c>
      <c r="P19" s="885">
        <f t="shared" si="14"/>
        <v>1575.4323479613536</v>
      </c>
      <c r="Q19" s="885">
        <f t="shared" si="14"/>
        <v>1649.075569920521</v>
      </c>
      <c r="R19" s="885">
        <f t="shared" si="14"/>
        <v>1718.7029624159295</v>
      </c>
      <c r="S19" s="885">
        <f t="shared" si="14"/>
        <v>1782.9160096256596</v>
      </c>
      <c r="T19" s="885">
        <f t="shared" si="14"/>
        <v>1852.0431203158232</v>
      </c>
      <c r="U19" s="885">
        <f t="shared" si="14"/>
        <v>1917.8888567106501</v>
      </c>
      <c r="V19" s="885">
        <f t="shared" si="14"/>
        <v>1995.066012357828</v>
      </c>
      <c r="W19" s="885">
        <f t="shared" si="14"/>
        <v>2070.3379854343907</v>
      </c>
      <c r="X19" s="885">
        <f t="shared" si="14"/>
        <v>2145.8534480613785</v>
      </c>
      <c r="Y19" s="885">
        <f t="shared" si="14"/>
        <v>2223.8984705138801</v>
      </c>
      <c r="Z19" s="885">
        <f t="shared" si="14"/>
        <v>2296.6829868012319</v>
      </c>
      <c r="AA19" s="885">
        <f t="shared" si="14"/>
        <v>2377.6180649002945</v>
      </c>
      <c r="AB19" s="885">
        <f t="shared" si="14"/>
        <v>2460.0573690898491</v>
      </c>
      <c r="AC19" s="885">
        <f t="shared" si="14"/>
        <v>2537.3117143860372</v>
      </c>
      <c r="AD19" s="885">
        <f t="shared" si="14"/>
        <v>2616.0899463050418</v>
      </c>
      <c r="AE19" s="885">
        <f t="shared" si="14"/>
        <v>2696.4243724777994</v>
      </c>
      <c r="AF19" s="882">
        <f t="shared" si="14"/>
        <v>2778.3460629034989</v>
      </c>
      <c r="AG19" s="414"/>
      <c r="AH19" s="7"/>
      <c r="AI19" s="7"/>
      <c r="AJ19" s="7"/>
      <c r="AK19" s="10"/>
      <c r="AL19" s="10"/>
      <c r="AM19" s="10"/>
      <c r="AN19" s="10"/>
    </row>
    <row r="20" spans="1:40" ht="14.45">
      <c r="A20" s="1448"/>
      <c r="B20" s="223">
        <v>13</v>
      </c>
      <c r="C20" s="243" t="s">
        <v>478</v>
      </c>
      <c r="D20" s="258">
        <v>0</v>
      </c>
      <c r="E20" s="259">
        <v>0</v>
      </c>
      <c r="F20" s="575">
        <v>0</v>
      </c>
      <c r="G20" s="881">
        <f t="shared" ref="G20:AF20" si="15">G11</f>
        <v>0</v>
      </c>
      <c r="H20" s="489">
        <f t="shared" si="15"/>
        <v>0</v>
      </c>
      <c r="I20" s="489">
        <f t="shared" si="15"/>
        <v>0</v>
      </c>
      <c r="J20" s="880">
        <f t="shared" si="15"/>
        <v>0</v>
      </c>
      <c r="K20" s="488">
        <f t="shared" si="15"/>
        <v>0</v>
      </c>
      <c r="L20" s="489">
        <f t="shared" si="15"/>
        <v>0</v>
      </c>
      <c r="M20" s="489">
        <f t="shared" si="15"/>
        <v>0</v>
      </c>
      <c r="N20" s="489">
        <f t="shared" si="15"/>
        <v>0</v>
      </c>
      <c r="O20" s="489">
        <f t="shared" si="15"/>
        <v>0</v>
      </c>
      <c r="P20" s="489">
        <f t="shared" si="15"/>
        <v>0</v>
      </c>
      <c r="Q20" s="489">
        <f t="shared" si="15"/>
        <v>0</v>
      </c>
      <c r="R20" s="489">
        <f t="shared" si="15"/>
        <v>0</v>
      </c>
      <c r="S20" s="489">
        <f t="shared" si="15"/>
        <v>0</v>
      </c>
      <c r="T20" s="489">
        <f t="shared" si="15"/>
        <v>0</v>
      </c>
      <c r="U20" s="489">
        <f t="shared" si="15"/>
        <v>0</v>
      </c>
      <c r="V20" s="489">
        <f t="shared" si="15"/>
        <v>0</v>
      </c>
      <c r="W20" s="489">
        <f t="shared" si="15"/>
        <v>0</v>
      </c>
      <c r="X20" s="489">
        <f t="shared" si="15"/>
        <v>0</v>
      </c>
      <c r="Y20" s="489">
        <f t="shared" si="15"/>
        <v>0</v>
      </c>
      <c r="Z20" s="489">
        <f t="shared" si="15"/>
        <v>0</v>
      </c>
      <c r="AA20" s="489">
        <f t="shared" si="15"/>
        <v>0</v>
      </c>
      <c r="AB20" s="489">
        <f t="shared" si="15"/>
        <v>0</v>
      </c>
      <c r="AC20" s="489">
        <f t="shared" si="15"/>
        <v>0</v>
      </c>
      <c r="AD20" s="489">
        <f t="shared" si="15"/>
        <v>0</v>
      </c>
      <c r="AE20" s="489">
        <f t="shared" si="15"/>
        <v>0</v>
      </c>
      <c r="AF20" s="879">
        <f t="shared" si="15"/>
        <v>0</v>
      </c>
      <c r="AG20" s="414"/>
      <c r="AH20" s="7"/>
      <c r="AI20" s="7"/>
      <c r="AJ20" s="7"/>
      <c r="AK20" s="10"/>
      <c r="AL20" s="10"/>
      <c r="AM20" s="10"/>
      <c r="AN20" s="10"/>
    </row>
    <row r="21" spans="1:40" ht="14.45">
      <c r="A21" s="1448"/>
      <c r="B21" s="223">
        <v>14</v>
      </c>
      <c r="C21" s="243" t="s">
        <v>479</v>
      </c>
      <c r="D21" s="263">
        <f>Inputs!D62</f>
        <v>299.8</v>
      </c>
      <c r="E21" s="262">
        <f>Inputs!C62</f>
        <v>190.5</v>
      </c>
      <c r="F21" s="576">
        <f>Inputs!B62</f>
        <v>51.1</v>
      </c>
      <c r="G21" s="878">
        <f>$D$60*(G6-F6)</f>
        <v>71.753000000000071</v>
      </c>
      <c r="H21" s="391">
        <f>$D$60*(H6-G6)</f>
        <v>99.088025000000016</v>
      </c>
      <c r="I21" s="391">
        <f>$D$60*(I6-H6)</f>
        <v>67.463845859999864</v>
      </c>
      <c r="J21" s="392">
        <f>$D$60*(J6-I6)</f>
        <v>50.208397864800105</v>
      </c>
      <c r="K21" s="302">
        <f t="shared" ref="K21:AF21" si="16">$E$60*(K6-J6)</f>
        <v>38.938046565409422</v>
      </c>
      <c r="L21" s="299">
        <f t="shared" si="16"/>
        <v>31.97353606490033</v>
      </c>
      <c r="M21" s="299">
        <f t="shared" si="16"/>
        <v>32.770802095940603</v>
      </c>
      <c r="N21" s="299">
        <f t="shared" si="16"/>
        <v>33.589557007147782</v>
      </c>
      <c r="O21" s="299">
        <f t="shared" si="16"/>
        <v>34.430409028416399</v>
      </c>
      <c r="P21" s="299">
        <f t="shared" si="16"/>
        <v>35.293984089989138</v>
      </c>
      <c r="Q21" s="299">
        <f t="shared" si="16"/>
        <v>36.180926345270201</v>
      </c>
      <c r="R21" s="299">
        <f t="shared" si="16"/>
        <v>37.091898709197267</v>
      </c>
      <c r="S21" s="299">
        <f t="shared" si="16"/>
        <v>25.351722275097565</v>
      </c>
      <c r="T21" s="299">
        <f t="shared" si="16"/>
        <v>25.778877457624549</v>
      </c>
      <c r="U21" s="299">
        <f t="shared" si="16"/>
        <v>26.213776951171532</v>
      </c>
      <c r="V21" s="299">
        <f t="shared" si="16"/>
        <v>26.656567654034372</v>
      </c>
      <c r="W21" s="299">
        <f t="shared" si="16"/>
        <v>27.107399322592393</v>
      </c>
      <c r="X21" s="299">
        <f t="shared" si="16"/>
        <v>27.566424627676316</v>
      </c>
      <c r="Y21" s="299">
        <f t="shared" si="16"/>
        <v>28.033799212048326</v>
      </c>
      <c r="Z21" s="299">
        <f t="shared" si="16"/>
        <v>28.509681749025916</v>
      </c>
      <c r="AA21" s="299">
        <f t="shared" si="16"/>
        <v>28.994234002270243</v>
      </c>
      <c r="AB21" s="299">
        <f t="shared" si="16"/>
        <v>29.487620886762308</v>
      </c>
      <c r="AC21" s="299">
        <f t="shared" si="16"/>
        <v>29.99001053098873</v>
      </c>
      <c r="AD21" s="299">
        <f t="shared" si="16"/>
        <v>30.501574340364826</v>
      </c>
      <c r="AE21" s="299">
        <f t="shared" si="16"/>
        <v>31.022487061915673</v>
      </c>
      <c r="AF21" s="563">
        <f t="shared" si="16"/>
        <v>31.552926850244695</v>
      </c>
      <c r="AG21" s="414"/>
      <c r="AH21" s="7"/>
      <c r="AI21" s="7"/>
      <c r="AJ21" s="7"/>
      <c r="AK21" s="10"/>
      <c r="AL21" s="10"/>
      <c r="AM21" s="10"/>
      <c r="AN21" s="10"/>
    </row>
    <row r="22" spans="1:40" ht="14.45">
      <c r="A22" s="1448"/>
      <c r="B22" s="223">
        <v>15</v>
      </c>
      <c r="C22" s="247" t="s">
        <v>480</v>
      </c>
      <c r="D22" s="260">
        <f t="shared" ref="D22:F22" si="17">D19+D20+D21</f>
        <v>971.39999999999986</v>
      </c>
      <c r="E22" s="261">
        <f t="shared" si="17"/>
        <v>798.8</v>
      </c>
      <c r="F22" s="577">
        <f t="shared" si="17"/>
        <v>1120.3</v>
      </c>
      <c r="G22" s="564">
        <f t="shared" ref="G22:AF22" si="18">G19+G20+G21</f>
        <v>1030.756099504644</v>
      </c>
      <c r="H22" s="389">
        <f t="shared" si="18"/>
        <v>1167.531462004185</v>
      </c>
      <c r="I22" s="389">
        <f t="shared" si="18"/>
        <v>1232.8402224772838</v>
      </c>
      <c r="J22" s="390">
        <f t="shared" si="18"/>
        <v>1274.8369285520232</v>
      </c>
      <c r="K22" s="388">
        <f t="shared" si="18"/>
        <v>1312.4277049744251</v>
      </c>
      <c r="L22" s="389">
        <f t="shared" si="18"/>
        <v>1360.6673752114748</v>
      </c>
      <c r="M22" s="389">
        <f t="shared" si="18"/>
        <v>1420.0552080784109</v>
      </c>
      <c r="N22" s="389">
        <f t="shared" si="18"/>
        <v>1483.4308984346014</v>
      </c>
      <c r="O22" s="389">
        <f t="shared" si="18"/>
        <v>1544.2694621161024</v>
      </c>
      <c r="P22" s="389">
        <f t="shared" si="18"/>
        <v>1610.7263320513428</v>
      </c>
      <c r="Q22" s="389">
        <f t="shared" si="18"/>
        <v>1685.2564962657912</v>
      </c>
      <c r="R22" s="389">
        <f t="shared" si="18"/>
        <v>1755.7948611251268</v>
      </c>
      <c r="S22" s="389">
        <f t="shared" si="18"/>
        <v>1808.2677319007571</v>
      </c>
      <c r="T22" s="389">
        <f t="shared" si="18"/>
        <v>1877.8219977734477</v>
      </c>
      <c r="U22" s="389">
        <f t="shared" si="18"/>
        <v>1944.1026336618215</v>
      </c>
      <c r="V22" s="389">
        <f t="shared" si="18"/>
        <v>2021.7225800118624</v>
      </c>
      <c r="W22" s="389">
        <f t="shared" si="18"/>
        <v>2097.445384756983</v>
      </c>
      <c r="X22" s="389">
        <f t="shared" si="18"/>
        <v>2173.419872689055</v>
      </c>
      <c r="Y22" s="389">
        <f t="shared" si="18"/>
        <v>2251.9322697259286</v>
      </c>
      <c r="Z22" s="389">
        <f t="shared" si="18"/>
        <v>2325.1926685502576</v>
      </c>
      <c r="AA22" s="389">
        <f t="shared" si="18"/>
        <v>2406.6122989025648</v>
      </c>
      <c r="AB22" s="389">
        <f t="shared" si="18"/>
        <v>2489.5449899766113</v>
      </c>
      <c r="AC22" s="389">
        <f t="shared" si="18"/>
        <v>2567.3017249170261</v>
      </c>
      <c r="AD22" s="389">
        <f t="shared" si="18"/>
        <v>2646.5915206454065</v>
      </c>
      <c r="AE22" s="389">
        <f t="shared" si="18"/>
        <v>2727.4468595397152</v>
      </c>
      <c r="AF22" s="565">
        <f t="shared" si="18"/>
        <v>2809.8989897537435</v>
      </c>
      <c r="AG22" s="414"/>
      <c r="AH22" s="7"/>
      <c r="AI22" s="7"/>
      <c r="AJ22" s="7"/>
      <c r="AK22" s="10"/>
      <c r="AL22" s="10"/>
      <c r="AM22" s="10"/>
      <c r="AN22" s="10"/>
    </row>
    <row r="23" spans="1:40" ht="14.45">
      <c r="A23" s="1448"/>
      <c r="B23" s="223">
        <v>16</v>
      </c>
      <c r="C23" s="243" t="s">
        <v>481</v>
      </c>
      <c r="D23" s="279">
        <f>'Fin. Data'!D32</f>
        <v>-224.7</v>
      </c>
      <c r="E23" s="278">
        <f>'Fin. Data'!C32</f>
        <v>-163.39999999999998</v>
      </c>
      <c r="F23" s="578">
        <f>'Fin. Data'!B32</f>
        <v>-125.7</v>
      </c>
      <c r="G23" s="566">
        <f>G6*$D$62</f>
        <v>-233.99060000000003</v>
      </c>
      <c r="H23" s="299">
        <f>H6*$D$62</f>
        <v>-253.80820500000002</v>
      </c>
      <c r="I23" s="299">
        <f>I6*$D$62</f>
        <v>-267.300974172</v>
      </c>
      <c r="J23" s="375">
        <f>J6*$D$62</f>
        <v>-277.34265374495999</v>
      </c>
      <c r="K23" s="302">
        <f t="shared" ref="K23:AF23" si="19">K6*$E$62</f>
        <v>-270.87374990513979</v>
      </c>
      <c r="L23" s="299">
        <f t="shared" si="19"/>
        <v>-276.94872175747088</v>
      </c>
      <c r="M23" s="299">
        <f t="shared" si="19"/>
        <v>-283.17517415569955</v>
      </c>
      <c r="N23" s="299">
        <f t="shared" si="19"/>
        <v>-289.55718998705765</v>
      </c>
      <c r="O23" s="299">
        <f t="shared" si="19"/>
        <v>-296.09896770245678</v>
      </c>
      <c r="P23" s="299">
        <f t="shared" si="19"/>
        <v>-302.80482467955471</v>
      </c>
      <c r="Q23" s="299">
        <f t="shared" si="19"/>
        <v>-309.67920068515605</v>
      </c>
      <c r="R23" s="299">
        <f t="shared" si="19"/>
        <v>-316.72666143990352</v>
      </c>
      <c r="S23" s="299">
        <f t="shared" si="19"/>
        <v>-321.54348867217203</v>
      </c>
      <c r="T23" s="299">
        <f t="shared" si="19"/>
        <v>-326.44147538912074</v>
      </c>
      <c r="U23" s="299">
        <f t="shared" si="19"/>
        <v>-331.42209300984331</v>
      </c>
      <c r="V23" s="299">
        <f t="shared" si="19"/>
        <v>-336.48684086410981</v>
      </c>
      <c r="W23" s="299">
        <f t="shared" si="19"/>
        <v>-341.63724673540241</v>
      </c>
      <c r="X23" s="299">
        <f t="shared" si="19"/>
        <v>-346.87486741466091</v>
      </c>
      <c r="Y23" s="299">
        <f t="shared" si="19"/>
        <v>-352.20128926495005</v>
      </c>
      <c r="Z23" s="299">
        <f t="shared" si="19"/>
        <v>-357.618128797265</v>
      </c>
      <c r="AA23" s="299">
        <f t="shared" si="19"/>
        <v>-363.12703325769633</v>
      </c>
      <c r="AB23" s="299">
        <f t="shared" si="19"/>
        <v>-368.72968122618119</v>
      </c>
      <c r="AC23" s="299">
        <f t="shared" si="19"/>
        <v>-374.42778322706903</v>
      </c>
      <c r="AD23" s="299">
        <f t="shared" si="19"/>
        <v>-380.22308235173836</v>
      </c>
      <c r="AE23" s="299">
        <f t="shared" si="19"/>
        <v>-386.11735489350235</v>
      </c>
      <c r="AF23" s="563">
        <f t="shared" si="19"/>
        <v>-392.11241099504883</v>
      </c>
      <c r="AG23" s="415">
        <f>SUM(D23:AF23)</f>
        <v>-8871.0696993281599</v>
      </c>
      <c r="AH23" s="7"/>
      <c r="AI23" s="7"/>
      <c r="AJ23" s="7"/>
      <c r="AK23" s="10"/>
      <c r="AL23" s="10"/>
      <c r="AM23" s="10"/>
      <c r="AN23" s="10"/>
    </row>
    <row r="24" spans="1:40" ht="14.45">
      <c r="A24" s="1448"/>
      <c r="B24" s="223">
        <v>17</v>
      </c>
      <c r="C24" s="243" t="s">
        <v>482</v>
      </c>
      <c r="D24" s="263">
        <f>Inputs!D66</f>
        <v>-34.299999999999997</v>
      </c>
      <c r="E24" s="262">
        <f>'Fin. Data'!C33</f>
        <v>-95.4</v>
      </c>
      <c r="F24" s="576">
        <f>'Fin. Data'!B33</f>
        <v>-153.20000000000002</v>
      </c>
      <c r="G24" s="566">
        <f>G6*$D$63</f>
        <v>-116.99530000000001</v>
      </c>
      <c r="H24" s="299">
        <f>H6*$D$63</f>
        <v>-126.90410250000001</v>
      </c>
      <c r="I24" s="299">
        <f>I6*$D$63</f>
        <v>-133.650487086</v>
      </c>
      <c r="J24" s="375">
        <f>J6*$D$63</f>
        <v>-138.67132687247999</v>
      </c>
      <c r="K24" s="302">
        <f t="shared" ref="K24:AF24" si="20">K6*$E$63</f>
        <v>-71.28256576451048</v>
      </c>
      <c r="L24" s="299">
        <f t="shared" si="20"/>
        <v>-72.881242567755493</v>
      </c>
      <c r="M24" s="299">
        <f t="shared" si="20"/>
        <v>-74.519782672552523</v>
      </c>
      <c r="N24" s="299">
        <f t="shared" si="20"/>
        <v>-76.19926052290991</v>
      </c>
      <c r="O24" s="299">
        <f t="shared" si="20"/>
        <v>-77.920780974330725</v>
      </c>
      <c r="P24" s="299">
        <f t="shared" si="20"/>
        <v>-79.68548017883019</v>
      </c>
      <c r="Q24" s="299">
        <f t="shared" si="20"/>
        <v>-81.494526496093698</v>
      </c>
      <c r="R24" s="299">
        <f t="shared" si="20"/>
        <v>-83.349121431553556</v>
      </c>
      <c r="S24" s="299">
        <f t="shared" si="20"/>
        <v>-84.616707545308444</v>
      </c>
      <c r="T24" s="299">
        <f t="shared" si="20"/>
        <v>-85.905651418189663</v>
      </c>
      <c r="U24" s="299">
        <f t="shared" si="20"/>
        <v>-87.216340265748244</v>
      </c>
      <c r="V24" s="299">
        <f t="shared" si="20"/>
        <v>-88.549168648449964</v>
      </c>
      <c r="W24" s="299">
        <f t="shared" si="20"/>
        <v>-89.904538614579579</v>
      </c>
      <c r="X24" s="299">
        <f t="shared" si="20"/>
        <v>-91.282859845963401</v>
      </c>
      <c r="Y24" s="299">
        <f t="shared" si="20"/>
        <v>-92.684549806565812</v>
      </c>
      <c r="Z24" s="299">
        <f t="shared" si="20"/>
        <v>-94.110033894017107</v>
      </c>
      <c r="AA24" s="299">
        <f t="shared" si="20"/>
        <v>-95.559745594130618</v>
      </c>
      <c r="AB24" s="299">
        <f t="shared" si="20"/>
        <v>-97.034126638468734</v>
      </c>
      <c r="AC24" s="299">
        <f t="shared" si="20"/>
        <v>-98.533627165018174</v>
      </c>
      <c r="AD24" s="299">
        <f t="shared" si="20"/>
        <v>-100.05870588203641</v>
      </c>
      <c r="AE24" s="299">
        <f t="shared" si="20"/>
        <v>-101.60983023513219</v>
      </c>
      <c r="AF24" s="563">
        <f t="shared" si="20"/>
        <v>-103.18747657764443</v>
      </c>
      <c r="AG24" s="414"/>
      <c r="AH24" s="416">
        <f>AG9-AG23</f>
        <v>-10433.029990708048</v>
      </c>
      <c r="AI24" s="7"/>
      <c r="AJ24" s="7"/>
      <c r="AK24" s="10"/>
      <c r="AL24" s="10"/>
      <c r="AM24" s="10"/>
      <c r="AN24" s="10"/>
    </row>
    <row r="25" spans="1:40" ht="14.45">
      <c r="A25" s="1448"/>
      <c r="B25" s="223">
        <v>18</v>
      </c>
      <c r="C25" s="243" t="s">
        <v>483</v>
      </c>
      <c r="D25" s="263">
        <f>Inputs!D67</f>
        <v>-33.500000000000014</v>
      </c>
      <c r="E25" s="262">
        <f>Inputs!C67</f>
        <v>-12.599999999999994</v>
      </c>
      <c r="F25" s="576">
        <f>Inputs!B67</f>
        <v>-55.499999999999972</v>
      </c>
      <c r="G25" s="566">
        <f t="shared" ref="G25:AF25" si="21">(1+G5)*AVERAGE(D25:F25)</f>
        <v>-36.079410186365564</v>
      </c>
      <c r="H25" s="299">
        <f t="shared" si="21"/>
        <v>-37.667594477955028</v>
      </c>
      <c r="I25" s="299">
        <f t="shared" si="21"/>
        <v>-45.372646976465177</v>
      </c>
      <c r="J25" s="375">
        <f t="shared" si="21"/>
        <v>-41.198204136201454</v>
      </c>
      <c r="K25" s="302">
        <f t="shared" si="21"/>
        <v>-42.575661304219082</v>
      </c>
      <c r="L25" s="299">
        <f t="shared" si="21"/>
        <v>-44.01430745973903</v>
      </c>
      <c r="M25" s="299">
        <f t="shared" si="21"/>
        <v>-43.553716233590315</v>
      </c>
      <c r="N25" s="299">
        <f t="shared" si="21"/>
        <v>-44.35892592492462</v>
      </c>
      <c r="O25" s="299">
        <f t="shared" si="21"/>
        <v>-44.969163196908866</v>
      </c>
      <c r="P25" s="299">
        <f t="shared" si="21"/>
        <v>-45.297075373106701</v>
      </c>
      <c r="Q25" s="299">
        <f t="shared" si="21"/>
        <v>-45.893823276010771</v>
      </c>
      <c r="R25" s="299">
        <f t="shared" si="21"/>
        <v>-46.419565488553715</v>
      </c>
      <c r="S25" s="299">
        <f t="shared" si="21"/>
        <v>-46.567755000967693</v>
      </c>
      <c r="T25" s="299">
        <f t="shared" si="21"/>
        <v>-46.99889446968043</v>
      </c>
      <c r="U25" s="299">
        <f t="shared" si="21"/>
        <v>-47.374009178829461</v>
      </c>
      <c r="V25" s="299">
        <f t="shared" si="21"/>
        <v>-47.698164946878443</v>
      </c>
      <c r="W25" s="299">
        <f t="shared" si="21"/>
        <v>-48.081888919282214</v>
      </c>
      <c r="X25" s="299">
        <f t="shared" si="21"/>
        <v>-48.44958320860907</v>
      </c>
      <c r="Y25" s="299">
        <f t="shared" si="21"/>
        <v>-48.814782985536006</v>
      </c>
      <c r="Z25" s="299">
        <f t="shared" si="21"/>
        <v>-49.193891263935718</v>
      </c>
      <c r="AA25" s="299">
        <f t="shared" si="21"/>
        <v>-49.571454618094748</v>
      </c>
      <c r="AB25" s="299">
        <f t="shared" si="21"/>
        <v>-49.952375604819352</v>
      </c>
      <c r="AC25" s="299">
        <f t="shared" si="21"/>
        <v>-50.338635246041648</v>
      </c>
      <c r="AD25" s="299">
        <f t="shared" si="21"/>
        <v>-50.727333014959065</v>
      </c>
      <c r="AE25" s="299">
        <f t="shared" si="21"/>
        <v>-51.119817269032794</v>
      </c>
      <c r="AF25" s="563">
        <f t="shared" si="21"/>
        <v>-51.516233365385276</v>
      </c>
      <c r="AG25" s="282"/>
      <c r="AH25" s="7"/>
      <c r="AI25" s="7"/>
      <c r="AJ25" s="7"/>
      <c r="AK25" s="10"/>
      <c r="AL25" s="10"/>
      <c r="AM25" s="10"/>
      <c r="AN25" s="10"/>
    </row>
    <row r="26" spans="1:40" ht="14.45">
      <c r="A26" s="1448"/>
      <c r="B26" s="223">
        <v>19</v>
      </c>
      <c r="C26" s="247" t="s">
        <v>484</v>
      </c>
      <c r="D26" s="260">
        <f t="shared" ref="D26:F26" si="22">D23+D24+D25</f>
        <v>-292.5</v>
      </c>
      <c r="E26" s="261">
        <f t="shared" si="22"/>
        <v>-271.39999999999998</v>
      </c>
      <c r="F26" s="577">
        <f t="shared" si="22"/>
        <v>-334.4</v>
      </c>
      <c r="G26" s="567">
        <f t="shared" ref="G26:AF26" si="23">G23+G24+G25</f>
        <v>-387.06531018636559</v>
      </c>
      <c r="H26" s="311">
        <f t="shared" si="23"/>
        <v>-418.37990197795506</v>
      </c>
      <c r="I26" s="311">
        <f t="shared" si="23"/>
        <v>-446.32410823446514</v>
      </c>
      <c r="J26" s="374">
        <f t="shared" si="23"/>
        <v>-457.21218475364145</v>
      </c>
      <c r="K26" s="312">
        <f t="shared" si="23"/>
        <v>-384.73197697386934</v>
      </c>
      <c r="L26" s="311">
        <f t="shared" si="23"/>
        <v>-393.84427178496537</v>
      </c>
      <c r="M26" s="311">
        <f t="shared" si="23"/>
        <v>-401.2486730618424</v>
      </c>
      <c r="N26" s="311">
        <f t="shared" si="23"/>
        <v>-410.1153764348922</v>
      </c>
      <c r="O26" s="311">
        <f t="shared" si="23"/>
        <v>-418.9889118736964</v>
      </c>
      <c r="P26" s="311">
        <f t="shared" si="23"/>
        <v>-427.78738023149157</v>
      </c>
      <c r="Q26" s="311">
        <f t="shared" si="23"/>
        <v>-437.06755045726055</v>
      </c>
      <c r="R26" s="311">
        <f t="shared" si="23"/>
        <v>-446.49534836001078</v>
      </c>
      <c r="S26" s="311">
        <f t="shared" si="23"/>
        <v>-452.72795121844814</v>
      </c>
      <c r="T26" s="311">
        <f t="shared" si="23"/>
        <v>-459.34602127699083</v>
      </c>
      <c r="U26" s="311">
        <f t="shared" si="23"/>
        <v>-466.01244245442098</v>
      </c>
      <c r="V26" s="311">
        <f t="shared" si="23"/>
        <v>-472.73417445943818</v>
      </c>
      <c r="W26" s="311">
        <f t="shared" si="23"/>
        <v>-479.6236742692642</v>
      </c>
      <c r="X26" s="311">
        <f t="shared" si="23"/>
        <v>-486.60731046923337</v>
      </c>
      <c r="Y26" s="311">
        <f t="shared" si="23"/>
        <v>-493.70062205705187</v>
      </c>
      <c r="Z26" s="311">
        <f t="shared" si="23"/>
        <v>-500.92205395521785</v>
      </c>
      <c r="AA26" s="311">
        <f t="shared" si="23"/>
        <v>-508.25823346992172</v>
      </c>
      <c r="AB26" s="311">
        <f t="shared" si="23"/>
        <v>-515.71618346946934</v>
      </c>
      <c r="AC26" s="311">
        <f t="shared" si="23"/>
        <v>-523.30004563812884</v>
      </c>
      <c r="AD26" s="311">
        <f t="shared" si="23"/>
        <v>-531.00912124873378</v>
      </c>
      <c r="AE26" s="311">
        <f t="shared" si="23"/>
        <v>-538.84700239766732</v>
      </c>
      <c r="AF26" s="568">
        <f t="shared" si="23"/>
        <v>-546.81612093807848</v>
      </c>
      <c r="AG26" s="414"/>
      <c r="AH26" s="7"/>
      <c r="AI26" s="7"/>
      <c r="AJ26" s="7"/>
      <c r="AK26" s="10"/>
      <c r="AL26" s="10"/>
      <c r="AM26" s="10"/>
      <c r="AN26" s="10"/>
    </row>
    <row r="27" spans="1:40" ht="14.45">
      <c r="A27" s="1448"/>
      <c r="B27" s="223">
        <v>20</v>
      </c>
      <c r="C27" s="243" t="s">
        <v>485</v>
      </c>
      <c r="D27" s="263">
        <f>Inputs!D71+Inputs!D72</f>
        <v>-172.3</v>
      </c>
      <c r="E27" s="262">
        <f>Inputs!C71+Inputs!C72</f>
        <v>-157</v>
      </c>
      <c r="F27" s="578">
        <f>Inputs!B71+Inputs!B72</f>
        <v>-156.1</v>
      </c>
      <c r="G27" s="899">
        <f>G6*$D$66</f>
        <v>-146.24412500000003</v>
      </c>
      <c r="H27" s="317">
        <f>H6*$D$66</f>
        <v>-158.63012812500003</v>
      </c>
      <c r="I27" s="317">
        <f>I6*$D$66</f>
        <v>-167.0631088575</v>
      </c>
      <c r="J27" s="397">
        <f>J6*$D$66</f>
        <v>-173.33915859060002</v>
      </c>
      <c r="K27" s="900">
        <f t="shared" ref="K27:AF27" si="24">$E$66*K6</f>
        <v>-142.56513152902096</v>
      </c>
      <c r="L27" s="317">
        <f t="shared" si="24"/>
        <v>-145.76248513551099</v>
      </c>
      <c r="M27" s="317">
        <f t="shared" si="24"/>
        <v>-149.03956534510505</v>
      </c>
      <c r="N27" s="317">
        <f t="shared" si="24"/>
        <v>-152.39852104581982</v>
      </c>
      <c r="O27" s="317">
        <f t="shared" si="24"/>
        <v>-155.84156194866145</v>
      </c>
      <c r="P27" s="317">
        <f>$E$66*P6</f>
        <v>-159.37096035766038</v>
      </c>
      <c r="Q27" s="317">
        <f t="shared" si="24"/>
        <v>-162.9890529921874</v>
      </c>
      <c r="R27" s="317">
        <f t="shared" si="24"/>
        <v>-166.69824286310711</v>
      </c>
      <c r="S27" s="317">
        <f t="shared" si="24"/>
        <v>-169.23341509061689</v>
      </c>
      <c r="T27" s="317">
        <f t="shared" si="24"/>
        <v>-171.81130283637933</v>
      </c>
      <c r="U27" s="317">
        <f t="shared" si="24"/>
        <v>-174.43268053149649</v>
      </c>
      <c r="V27" s="317">
        <f t="shared" si="24"/>
        <v>-177.09833729689993</v>
      </c>
      <c r="W27" s="317">
        <f t="shared" si="24"/>
        <v>-179.80907722915916</v>
      </c>
      <c r="X27" s="317">
        <f t="shared" si="24"/>
        <v>-182.5657196919268</v>
      </c>
      <c r="Y27" s="317">
        <f t="shared" si="24"/>
        <v>-185.36909961313162</v>
      </c>
      <c r="Z27" s="317">
        <f t="shared" si="24"/>
        <v>-188.22006778803421</v>
      </c>
      <c r="AA27" s="317">
        <f t="shared" si="24"/>
        <v>-191.11949118826124</v>
      </c>
      <c r="AB27" s="317">
        <f t="shared" si="24"/>
        <v>-194.06825327693747</v>
      </c>
      <c r="AC27" s="317">
        <f t="shared" si="24"/>
        <v>-197.06725433003635</v>
      </c>
      <c r="AD27" s="317">
        <f t="shared" si="24"/>
        <v>-200.11741176407281</v>
      </c>
      <c r="AE27" s="317">
        <f t="shared" si="24"/>
        <v>-203.21966047026439</v>
      </c>
      <c r="AF27" s="901">
        <f t="shared" si="24"/>
        <v>-206.37495315528886</v>
      </c>
      <c r="AG27" s="414"/>
      <c r="AH27" s="7"/>
      <c r="AI27" s="7"/>
      <c r="AJ27" s="7"/>
      <c r="AK27" s="10"/>
      <c r="AL27" s="10"/>
      <c r="AM27" s="10"/>
      <c r="AN27" s="10"/>
    </row>
    <row r="28" spans="1:40" ht="14.45">
      <c r="A28" s="1448"/>
      <c r="B28" s="223">
        <v>21</v>
      </c>
      <c r="C28" s="243" t="s">
        <v>486</v>
      </c>
      <c r="D28" s="279">
        <f>+SUM(Inputs!D69:D70)</f>
        <v>-325</v>
      </c>
      <c r="E28" s="262">
        <f>+SUM(Inputs!C69:C70)</f>
        <v>0</v>
      </c>
      <c r="F28" s="576">
        <f>+SUM(Inputs!B69:B70)</f>
        <v>-2.5</v>
      </c>
      <c r="G28" s="566">
        <f>G44-F44</f>
        <v>-91.700000000000045</v>
      </c>
      <c r="H28" s="299">
        <f t="shared" ref="H28:AF28" si="25">H44-G44</f>
        <v>0</v>
      </c>
      <c r="I28" s="299">
        <f>I44-H44</f>
        <v>50</v>
      </c>
      <c r="J28" s="375">
        <f>J44-I44</f>
        <v>0</v>
      </c>
      <c r="K28" s="302">
        <f t="shared" si="25"/>
        <v>275</v>
      </c>
      <c r="L28" s="299">
        <f t="shared" si="25"/>
        <v>0</v>
      </c>
      <c r="M28" s="299">
        <f t="shared" si="25"/>
        <v>50</v>
      </c>
      <c r="N28" s="299">
        <f t="shared" si="25"/>
        <v>200</v>
      </c>
      <c r="O28" s="299">
        <f t="shared" si="25"/>
        <v>0</v>
      </c>
      <c r="P28" s="299">
        <f t="shared" si="25"/>
        <v>-250</v>
      </c>
      <c r="Q28" s="299">
        <f t="shared" si="25"/>
        <v>0</v>
      </c>
      <c r="R28" s="299">
        <f t="shared" si="25"/>
        <v>-50</v>
      </c>
      <c r="S28" s="299">
        <f t="shared" si="25"/>
        <v>-200</v>
      </c>
      <c r="T28" s="299">
        <f t="shared" si="25"/>
        <v>0</v>
      </c>
      <c r="U28" s="299">
        <f t="shared" si="25"/>
        <v>-450</v>
      </c>
      <c r="V28" s="299">
        <f t="shared" si="25"/>
        <v>-300</v>
      </c>
      <c r="W28" s="299">
        <f t="shared" si="25"/>
        <v>-250</v>
      </c>
      <c r="X28" s="299">
        <f t="shared" si="25"/>
        <v>-300</v>
      </c>
      <c r="Y28" s="299">
        <f t="shared" si="25"/>
        <v>0</v>
      </c>
      <c r="Z28" s="299">
        <f t="shared" si="25"/>
        <v>-300</v>
      </c>
      <c r="AA28" s="299">
        <f t="shared" si="25"/>
        <v>-300</v>
      </c>
      <c r="AB28" s="299">
        <f t="shared" si="25"/>
        <v>0</v>
      </c>
      <c r="AC28" s="299">
        <f t="shared" si="25"/>
        <v>0</v>
      </c>
      <c r="AD28" s="299">
        <f t="shared" si="25"/>
        <v>0</v>
      </c>
      <c r="AE28" s="299">
        <f t="shared" si="25"/>
        <v>0</v>
      </c>
      <c r="AF28" s="563">
        <f t="shared" si="25"/>
        <v>0</v>
      </c>
      <c r="AG28" s="414"/>
      <c r="AH28" s="7"/>
      <c r="AI28" s="7"/>
      <c r="AJ28" s="7"/>
      <c r="AK28" s="10"/>
      <c r="AL28" s="10"/>
      <c r="AM28" s="10"/>
      <c r="AN28" s="10"/>
    </row>
    <row r="29" spans="1:40" ht="14.45">
      <c r="A29" s="1448"/>
      <c r="B29" s="223">
        <v>22</v>
      </c>
      <c r="C29" s="243" t="s">
        <v>487</v>
      </c>
      <c r="D29" s="279">
        <f>'Fin. Data'!D28</f>
        <v>-8.6999999999999993</v>
      </c>
      <c r="E29" s="262">
        <f>'Fin. Data'!C28</f>
        <v>-228.5</v>
      </c>
      <c r="F29" s="578">
        <f>'Fin. Data'!B28</f>
        <v>-177.3</v>
      </c>
      <c r="G29" s="566">
        <f>-G6*$D$65</f>
        <v>-233.99060000000003</v>
      </c>
      <c r="H29" s="299">
        <f t="shared" ref="H29:J29" si="26">-H6*$D$65</f>
        <v>-253.80820500000002</v>
      </c>
      <c r="I29" s="299">
        <f t="shared" si="26"/>
        <v>-267.300974172</v>
      </c>
      <c r="J29" s="375">
        <f t="shared" si="26"/>
        <v>-277.34265374495999</v>
      </c>
      <c r="K29" s="302">
        <f>-1*K6*$E$65</f>
        <v>-427.69539458706282</v>
      </c>
      <c r="L29" s="299">
        <f t="shared" ref="L29:AF29" si="27">-1*L6*$E$65</f>
        <v>-437.2874554065329</v>
      </c>
      <c r="M29" s="299">
        <f t="shared" si="27"/>
        <v>-447.11869603531511</v>
      </c>
      <c r="N29" s="299">
        <f t="shared" si="27"/>
        <v>-457.19556313745943</v>
      </c>
      <c r="O29" s="299">
        <f t="shared" si="27"/>
        <v>-467.52468584598432</v>
      </c>
      <c r="P29" s="299">
        <f t="shared" si="27"/>
        <v>-478.11288107298111</v>
      </c>
      <c r="Q29" s="299">
        <f t="shared" si="27"/>
        <v>-488.96715897656213</v>
      </c>
      <c r="R29" s="299">
        <f t="shared" si="27"/>
        <v>-500.09472858932133</v>
      </c>
      <c r="S29" s="299">
        <f t="shared" si="27"/>
        <v>-507.70024527185058</v>
      </c>
      <c r="T29" s="299">
        <f t="shared" si="27"/>
        <v>-515.43390850913795</v>
      </c>
      <c r="U29" s="299">
        <f t="shared" si="27"/>
        <v>-523.2980415944894</v>
      </c>
      <c r="V29" s="299">
        <f t="shared" si="27"/>
        <v>-531.2950118906997</v>
      </c>
      <c r="W29" s="299">
        <f t="shared" si="27"/>
        <v>-539.4272316874775</v>
      </c>
      <c r="X29" s="299">
        <f t="shared" si="27"/>
        <v>-547.69715907578029</v>
      </c>
      <c r="Y29" s="299">
        <f t="shared" si="27"/>
        <v>-556.10729883939484</v>
      </c>
      <c r="Z29" s="299">
        <f t="shared" si="27"/>
        <v>-564.66020336410259</v>
      </c>
      <c r="AA29" s="299">
        <f t="shared" si="27"/>
        <v>-573.35847356478371</v>
      </c>
      <c r="AB29" s="299">
        <f t="shared" si="27"/>
        <v>-582.20475983081235</v>
      </c>
      <c r="AC29" s="299">
        <f t="shared" si="27"/>
        <v>-591.20176299010905</v>
      </c>
      <c r="AD29" s="299">
        <f t="shared" si="27"/>
        <v>-600.35223529221844</v>
      </c>
      <c r="AE29" s="299">
        <f t="shared" si="27"/>
        <v>-609.6589814107931</v>
      </c>
      <c r="AF29" s="563">
        <f t="shared" si="27"/>
        <v>-619.12485946586651</v>
      </c>
      <c r="AG29" s="414"/>
      <c r="AH29" s="7"/>
      <c r="AI29" s="7"/>
      <c r="AJ29" s="7"/>
      <c r="AK29" s="10"/>
      <c r="AL29" s="10"/>
      <c r="AM29" s="10"/>
      <c r="AN29" s="10"/>
    </row>
    <row r="30" spans="1:40" s="7" customFormat="1" ht="14.45">
      <c r="A30" s="1448"/>
      <c r="B30" s="223">
        <v>23</v>
      </c>
      <c r="C30" s="243" t="s">
        <v>488</v>
      </c>
      <c r="D30" s="263">
        <f>'Fin. Data'!D27</f>
        <v>-344.5</v>
      </c>
      <c r="E30" s="262">
        <f>'Fin. Data'!C27</f>
        <v>-237.4</v>
      </c>
      <c r="F30" s="576">
        <f>'Fin. Data'!B27</f>
        <v>-248.3</v>
      </c>
      <c r="G30" s="566">
        <f>-$D$64*G6</f>
        <v>-233.99060000000003</v>
      </c>
      <c r="H30" s="299">
        <f t="shared" ref="H30:J30" si="28">-$D$64*H6</f>
        <v>-253.80820500000002</v>
      </c>
      <c r="I30" s="299">
        <f t="shared" si="28"/>
        <v>-267.300974172</v>
      </c>
      <c r="J30" s="375">
        <f t="shared" si="28"/>
        <v>-277.34265374495999</v>
      </c>
      <c r="K30" s="302">
        <f>-$E$64*K6</f>
        <v>-356.4128288225524</v>
      </c>
      <c r="L30" s="299">
        <f t="shared" ref="L30:AF30" si="29">-$E$64*L6</f>
        <v>-364.40621283877749</v>
      </c>
      <c r="M30" s="299">
        <f t="shared" si="29"/>
        <v>-372.59891336276263</v>
      </c>
      <c r="N30" s="299">
        <f t="shared" si="29"/>
        <v>-380.99630261454956</v>
      </c>
      <c r="O30" s="299">
        <f t="shared" si="29"/>
        <v>-389.60390487165364</v>
      </c>
      <c r="P30" s="299">
        <f t="shared" si="29"/>
        <v>-398.42740089415094</v>
      </c>
      <c r="Q30" s="299">
        <f t="shared" si="29"/>
        <v>-407.47263248046852</v>
      </c>
      <c r="R30" s="299">
        <f t="shared" si="29"/>
        <v>-416.74560715776784</v>
      </c>
      <c r="S30" s="299">
        <f t="shared" si="29"/>
        <v>-423.0835377265422</v>
      </c>
      <c r="T30" s="299">
        <f t="shared" si="29"/>
        <v>-429.52825709094833</v>
      </c>
      <c r="U30" s="299">
        <f t="shared" si="29"/>
        <v>-436.08170132874125</v>
      </c>
      <c r="V30" s="299">
        <f t="shared" si="29"/>
        <v>-442.7458432422498</v>
      </c>
      <c r="W30" s="299">
        <f t="shared" si="29"/>
        <v>-449.52269307289794</v>
      </c>
      <c r="X30" s="299">
        <f t="shared" si="29"/>
        <v>-456.414299229817</v>
      </c>
      <c r="Y30" s="299">
        <f t="shared" si="29"/>
        <v>-463.42274903282907</v>
      </c>
      <c r="Z30" s="299">
        <f t="shared" si="29"/>
        <v>-470.55016947008556</v>
      </c>
      <c r="AA30" s="299">
        <f t="shared" si="29"/>
        <v>-477.79872797065309</v>
      </c>
      <c r="AB30" s="299">
        <f t="shared" si="29"/>
        <v>-485.1706331923437</v>
      </c>
      <c r="AC30" s="299">
        <f t="shared" si="29"/>
        <v>-492.66813582509087</v>
      </c>
      <c r="AD30" s="299">
        <f t="shared" si="29"/>
        <v>-500.29352941018209</v>
      </c>
      <c r="AE30" s="299">
        <f t="shared" si="29"/>
        <v>-508.049151175661</v>
      </c>
      <c r="AF30" s="563">
        <f t="shared" si="29"/>
        <v>-515.93738288822215</v>
      </c>
      <c r="AG30" s="414"/>
      <c r="AK30" s="10"/>
      <c r="AL30" s="10"/>
      <c r="AM30" s="10"/>
      <c r="AN30" s="10"/>
    </row>
    <row r="31" spans="1:40" s="3" customFormat="1" ht="14.45">
      <c r="A31" s="1448"/>
      <c r="B31" s="223">
        <v>24</v>
      </c>
      <c r="C31" s="243" t="s">
        <v>489</v>
      </c>
      <c r="D31" s="331">
        <f>Inputs!D75</f>
        <v>-142.89999999999998</v>
      </c>
      <c r="E31" s="330">
        <f>Inputs!C75</f>
        <v>-104.20000000000005</v>
      </c>
      <c r="F31" s="579">
        <f>Inputs!B75</f>
        <v>-79.099999999999909</v>
      </c>
      <c r="G31" s="566">
        <f t="shared" ref="G31:AF31" si="30">(1+G5)*AVERAGE(D31:F31)</f>
        <v>-115.83763388575242</v>
      </c>
      <c r="H31" s="299">
        <f t="shared" si="30"/>
        <v>-108.15760106672374</v>
      </c>
      <c r="I31" s="299">
        <f t="shared" si="30"/>
        <v>-106.40272191579737</v>
      </c>
      <c r="J31" s="375">
        <f t="shared" si="30"/>
        <v>-114.26999899471186</v>
      </c>
      <c r="K31" s="400">
        <f t="shared" si="30"/>
        <v>-112.68789100269301</v>
      </c>
      <c r="L31" s="401">
        <f t="shared" si="30"/>
        <v>-113.61233217317603</v>
      </c>
      <c r="M31" s="401">
        <f t="shared" si="30"/>
        <v>-116.07567803334457</v>
      </c>
      <c r="N31" s="401">
        <f t="shared" si="30"/>
        <v>-116.69738136356679</v>
      </c>
      <c r="O31" s="401">
        <f t="shared" si="30"/>
        <v>-118.07035065703656</v>
      </c>
      <c r="P31" s="401">
        <f t="shared" si="30"/>
        <v>-119.59636119379977</v>
      </c>
      <c r="Q31" s="401">
        <f t="shared" si="30"/>
        <v>-120.80299497020755</v>
      </c>
      <c r="R31" s="401">
        <f t="shared" si="30"/>
        <v>-122.20916916341511</v>
      </c>
      <c r="S31" s="401">
        <f t="shared" si="30"/>
        <v>-122.70771030767166</v>
      </c>
      <c r="T31" s="401">
        <f t="shared" si="30"/>
        <v>-123.76359611028084</v>
      </c>
      <c r="U31" s="401">
        <f t="shared" si="30"/>
        <v>-124.768515523741</v>
      </c>
      <c r="V31" s="401">
        <f t="shared" si="30"/>
        <v>-125.63768632487741</v>
      </c>
      <c r="W31" s="401">
        <f t="shared" si="30"/>
        <v>-126.63233155264695</v>
      </c>
      <c r="X31" s="401">
        <f t="shared" si="30"/>
        <v>-127.60629637969487</v>
      </c>
      <c r="Y31" s="401">
        <f t="shared" si="30"/>
        <v>-128.56982946021213</v>
      </c>
      <c r="Z31" s="401">
        <f t="shared" si="30"/>
        <v>-129.56534458481934</v>
      </c>
      <c r="AA31" s="401">
        <f t="shared" si="30"/>
        <v>-130.56119967117237</v>
      </c>
      <c r="AB31" s="401">
        <f t="shared" si="30"/>
        <v>-131.56450943017268</v>
      </c>
      <c r="AC31" s="401">
        <f t="shared" si="30"/>
        <v>-132.58132846251959</v>
      </c>
      <c r="AD31" s="401">
        <f t="shared" si="30"/>
        <v>-133.60540463013936</v>
      </c>
      <c r="AE31" s="401">
        <f t="shared" si="30"/>
        <v>-134.63907970255426</v>
      </c>
      <c r="AF31" s="569">
        <f t="shared" si="30"/>
        <v>-135.68307998616203</v>
      </c>
      <c r="AG31" s="414"/>
      <c r="AH31" s="432"/>
      <c r="AI31" s="432"/>
      <c r="AJ31" s="432"/>
      <c r="AK31" s="430"/>
      <c r="AL31" s="430"/>
      <c r="AM31" s="430"/>
      <c r="AN31" s="430"/>
    </row>
    <row r="32" spans="1:40" s="7" customFormat="1" ht="16.5" customHeight="1">
      <c r="A32" s="1448"/>
      <c r="B32" s="224">
        <v>25</v>
      </c>
      <c r="C32" s="248" t="s">
        <v>490</v>
      </c>
      <c r="D32" s="369">
        <f t="shared" ref="D32:F32" si="31">D27+D28+D29+D30+D31</f>
        <v>-993.4</v>
      </c>
      <c r="E32" s="370">
        <f t="shared" si="31"/>
        <v>-727.1</v>
      </c>
      <c r="F32" s="371">
        <f t="shared" si="31"/>
        <v>-663.3</v>
      </c>
      <c r="G32" s="570">
        <f t="shared" ref="G32:AF32" si="32">G27+G28+G29+G30+G31</f>
        <v>-821.7629588857526</v>
      </c>
      <c r="H32" s="571">
        <f t="shared" si="32"/>
        <v>-774.40413919172374</v>
      </c>
      <c r="I32" s="571">
        <f t="shared" si="32"/>
        <v>-758.06777911729728</v>
      </c>
      <c r="J32" s="572">
        <f t="shared" si="32"/>
        <v>-842.29446507523187</v>
      </c>
      <c r="K32" s="573">
        <f t="shared" si="32"/>
        <v>-764.36124594132923</v>
      </c>
      <c r="L32" s="571">
        <f t="shared" si="32"/>
        <v>-1061.0684855539976</v>
      </c>
      <c r="M32" s="571">
        <f t="shared" si="32"/>
        <v>-1034.8328527765273</v>
      </c>
      <c r="N32" s="571">
        <f t="shared" si="32"/>
        <v>-907.28776816139566</v>
      </c>
      <c r="O32" s="571">
        <f t="shared" si="32"/>
        <v>-1131.040503323336</v>
      </c>
      <c r="P32" s="571">
        <f t="shared" si="32"/>
        <v>-1405.5076035185921</v>
      </c>
      <c r="Q32" s="571">
        <f t="shared" si="32"/>
        <v>-1180.2318394194256</v>
      </c>
      <c r="R32" s="571">
        <f t="shared" si="32"/>
        <v>-1255.7477477736113</v>
      </c>
      <c r="S32" s="571">
        <f t="shared" si="32"/>
        <v>-1422.7249083966813</v>
      </c>
      <c r="T32" s="571">
        <f t="shared" si="32"/>
        <v>-1240.5370645467465</v>
      </c>
      <c r="U32" s="571">
        <f t="shared" si="32"/>
        <v>-1708.5809389784681</v>
      </c>
      <c r="V32" s="571">
        <f t="shared" si="32"/>
        <v>-1576.7768787547268</v>
      </c>
      <c r="W32" s="571">
        <f t="shared" si="32"/>
        <v>-1545.3913335421817</v>
      </c>
      <c r="X32" s="571">
        <f t="shared" si="32"/>
        <v>-1614.2834743772191</v>
      </c>
      <c r="Y32" s="571">
        <f t="shared" si="32"/>
        <v>-1333.4689769455676</v>
      </c>
      <c r="Z32" s="571">
        <f t="shared" si="32"/>
        <v>-1652.9957852070418</v>
      </c>
      <c r="AA32" s="571">
        <f t="shared" si="32"/>
        <v>-1672.8378923948703</v>
      </c>
      <c r="AB32" s="571">
        <f t="shared" si="32"/>
        <v>-1393.0081557302663</v>
      </c>
      <c r="AC32" s="571">
        <f t="shared" si="32"/>
        <v>-1413.5184816077558</v>
      </c>
      <c r="AD32" s="571">
        <f t="shared" si="32"/>
        <v>-1434.3685810966128</v>
      </c>
      <c r="AE32" s="571">
        <f t="shared" si="32"/>
        <v>-1455.5668727592729</v>
      </c>
      <c r="AF32" s="574">
        <f t="shared" si="32"/>
        <v>-1477.1202754955395</v>
      </c>
      <c r="AG32" s="414"/>
      <c r="AK32" s="10"/>
      <c r="AL32" s="10"/>
      <c r="AM32" s="10"/>
      <c r="AN32" s="10"/>
    </row>
    <row r="33" spans="1:40">
      <c r="A33" s="1435"/>
      <c r="B33" s="1436"/>
      <c r="C33" s="1436"/>
      <c r="D33" s="1436"/>
      <c r="E33" s="1436"/>
      <c r="F33" s="1436"/>
      <c r="G33" s="1437"/>
      <c r="H33" s="1437"/>
      <c r="I33" s="1437"/>
      <c r="J33" s="1437"/>
      <c r="K33" s="1437"/>
      <c r="L33" s="1437"/>
      <c r="M33" s="1437"/>
      <c r="N33" s="1437"/>
      <c r="O33" s="1437"/>
      <c r="P33" s="1437"/>
      <c r="Q33" s="1437"/>
      <c r="R33" s="1437"/>
      <c r="S33" s="1437"/>
      <c r="T33" s="1437"/>
      <c r="U33" s="1437"/>
      <c r="V33" s="1437"/>
      <c r="W33" s="1437"/>
      <c r="X33" s="1437"/>
      <c r="Y33" s="1437"/>
      <c r="Z33" s="1437"/>
      <c r="AA33" s="1437"/>
      <c r="AB33" s="1437"/>
      <c r="AC33" s="1437"/>
      <c r="AD33" s="1437"/>
      <c r="AE33" s="1437"/>
      <c r="AF33" s="1438"/>
      <c r="AG33" s="7"/>
      <c r="AH33" s="7"/>
      <c r="AI33" s="7"/>
      <c r="AJ33" s="7"/>
      <c r="AK33" s="10"/>
      <c r="AL33" s="10"/>
      <c r="AM33" s="10"/>
      <c r="AN33" s="10"/>
    </row>
    <row r="34" spans="1:40" ht="14.45" customHeight="1">
      <c r="A34" s="1462" t="s">
        <v>491</v>
      </c>
      <c r="B34" s="223">
        <v>26</v>
      </c>
      <c r="C34" s="227" t="s">
        <v>492</v>
      </c>
      <c r="D34" s="365">
        <f>D22+D26+D27+D28+D31</f>
        <v>38.699999999999875</v>
      </c>
      <c r="E34" s="366">
        <f t="shared" ref="E34:AF34" si="33">E22+E26+E27+E28+E31</f>
        <v>266.19999999999993</v>
      </c>
      <c r="F34" s="395">
        <f t="shared" si="33"/>
        <v>548.20000000000005</v>
      </c>
      <c r="G34" s="486">
        <f>G22+G26+G27+G28+G31</f>
        <v>289.90903043252581</v>
      </c>
      <c r="H34" s="367">
        <f>H22+H26+H27+H28+H31</f>
        <v>482.36383083450608</v>
      </c>
      <c r="I34" s="367">
        <f t="shared" si="33"/>
        <v>563.05028346952122</v>
      </c>
      <c r="J34" s="368">
        <f t="shared" si="33"/>
        <v>530.01558621306992</v>
      </c>
      <c r="K34" s="394">
        <f>K22+K26+K27+K28+K31</f>
        <v>947.44270546884172</v>
      </c>
      <c r="L34" s="367">
        <f t="shared" si="33"/>
        <v>707.44828611782248</v>
      </c>
      <c r="M34" s="367">
        <f t="shared" si="33"/>
        <v>803.69129163811886</v>
      </c>
      <c r="N34" s="367">
        <f t="shared" si="33"/>
        <v>1004.2196195903225</v>
      </c>
      <c r="O34" s="367">
        <f t="shared" si="33"/>
        <v>851.36863763670794</v>
      </c>
      <c r="P34" s="367">
        <f t="shared" si="33"/>
        <v>653.97163026839098</v>
      </c>
      <c r="Q34" s="367">
        <f t="shared" si="33"/>
        <v>964.39689784613563</v>
      </c>
      <c r="R34" s="367">
        <f t="shared" si="33"/>
        <v>970.39210073859374</v>
      </c>
      <c r="S34" s="367">
        <f t="shared" si="33"/>
        <v>863.59865528402031</v>
      </c>
      <c r="T34" s="367">
        <f t="shared" si="33"/>
        <v>1122.9010775497968</v>
      </c>
      <c r="U34" s="367">
        <f t="shared" si="33"/>
        <v>728.88899515216292</v>
      </c>
      <c r="V34" s="367">
        <f t="shared" si="33"/>
        <v>946.25238193064683</v>
      </c>
      <c r="W34" s="367">
        <f t="shared" si="33"/>
        <v>1061.3803017059126</v>
      </c>
      <c r="X34" s="367">
        <f t="shared" si="33"/>
        <v>1076.6405461482</v>
      </c>
      <c r="Y34" s="367">
        <f t="shared" si="33"/>
        <v>1444.292718595533</v>
      </c>
      <c r="Z34" s="367">
        <f t="shared" si="33"/>
        <v>1206.4852022221862</v>
      </c>
      <c r="AA34" s="367">
        <f t="shared" si="33"/>
        <v>1276.6733745732095</v>
      </c>
      <c r="AB34" s="367">
        <f t="shared" si="33"/>
        <v>1648.1960438000319</v>
      </c>
      <c r="AC34" s="367">
        <f t="shared" si="33"/>
        <v>1714.3530964863414</v>
      </c>
      <c r="AD34" s="367">
        <f t="shared" si="33"/>
        <v>1781.8595830024606</v>
      </c>
      <c r="AE34" s="367">
        <f t="shared" si="33"/>
        <v>1850.7411169692291</v>
      </c>
      <c r="AF34" s="368">
        <f t="shared" si="33"/>
        <v>1921.0248356742143</v>
      </c>
      <c r="AG34" s="414"/>
      <c r="AH34" s="7"/>
      <c r="AI34" s="7"/>
      <c r="AJ34" s="7"/>
      <c r="AK34" s="10"/>
      <c r="AL34" s="10"/>
      <c r="AM34" s="10"/>
      <c r="AN34" s="10"/>
    </row>
    <row r="35" spans="1:40" s="3" customFormat="1" ht="14.45" customHeight="1">
      <c r="A35" s="1462"/>
      <c r="B35" s="223">
        <v>27</v>
      </c>
      <c r="C35" s="227" t="s">
        <v>493</v>
      </c>
      <c r="D35" s="314">
        <f>-1*(D29+D30)</f>
        <v>353.2</v>
      </c>
      <c r="E35" s="313">
        <f t="shared" ref="E35:AF35" si="34">-1*(E29+E30)</f>
        <v>465.9</v>
      </c>
      <c r="F35" s="315">
        <f t="shared" si="34"/>
        <v>425.6</v>
      </c>
      <c r="G35" s="323">
        <f t="shared" si="34"/>
        <v>467.98120000000006</v>
      </c>
      <c r="H35" s="280">
        <f t="shared" si="34"/>
        <v>507.61641000000003</v>
      </c>
      <c r="I35" s="280">
        <f t="shared" si="34"/>
        <v>534.60194834399999</v>
      </c>
      <c r="J35" s="324">
        <f t="shared" si="34"/>
        <v>554.68530748991998</v>
      </c>
      <c r="K35" s="280">
        <f t="shared" si="34"/>
        <v>784.10822340961522</v>
      </c>
      <c r="L35" s="280">
        <f t="shared" si="34"/>
        <v>801.69366824531039</v>
      </c>
      <c r="M35" s="280">
        <f t="shared" si="34"/>
        <v>819.71760939807768</v>
      </c>
      <c r="N35" s="280">
        <f t="shared" si="34"/>
        <v>838.19186575200899</v>
      </c>
      <c r="O35" s="280">
        <f t="shared" si="34"/>
        <v>857.12859071763796</v>
      </c>
      <c r="P35" s="280">
        <f t="shared" si="34"/>
        <v>876.54028196713205</v>
      </c>
      <c r="Q35" s="280">
        <f t="shared" si="34"/>
        <v>896.43979145703065</v>
      </c>
      <c r="R35" s="280">
        <f t="shared" si="34"/>
        <v>916.84033574708917</v>
      </c>
      <c r="S35" s="280">
        <f t="shared" si="34"/>
        <v>930.78378299839278</v>
      </c>
      <c r="T35" s="280">
        <f t="shared" si="34"/>
        <v>944.96216560008634</v>
      </c>
      <c r="U35" s="280">
        <f t="shared" si="34"/>
        <v>959.37974292323065</v>
      </c>
      <c r="V35" s="280">
        <f t="shared" si="34"/>
        <v>974.04085513294945</v>
      </c>
      <c r="W35" s="280">
        <f t="shared" si="34"/>
        <v>988.94992476037544</v>
      </c>
      <c r="X35" s="280">
        <f t="shared" si="34"/>
        <v>1004.1114583055974</v>
      </c>
      <c r="Y35" s="280">
        <f t="shared" si="34"/>
        <v>1019.5300478722239</v>
      </c>
      <c r="Z35" s="280">
        <f t="shared" si="34"/>
        <v>1035.2103728341881</v>
      </c>
      <c r="AA35" s="280">
        <f t="shared" si="34"/>
        <v>1051.1572015354368</v>
      </c>
      <c r="AB35" s="280">
        <f t="shared" si="34"/>
        <v>1067.375393023156</v>
      </c>
      <c r="AC35" s="280">
        <f t="shared" si="34"/>
        <v>1083.8698988152</v>
      </c>
      <c r="AD35" s="280">
        <f t="shared" si="34"/>
        <v>1100.6457647024006</v>
      </c>
      <c r="AE35" s="280">
        <f t="shared" si="34"/>
        <v>1117.7081325864542</v>
      </c>
      <c r="AF35" s="324">
        <f t="shared" si="34"/>
        <v>1135.0622423540885</v>
      </c>
      <c r="AG35" s="414"/>
      <c r="AH35" s="432"/>
      <c r="AI35" s="432"/>
      <c r="AJ35" s="432"/>
      <c r="AK35" s="430"/>
      <c r="AL35" s="430"/>
      <c r="AM35" s="430"/>
      <c r="AN35" s="430"/>
    </row>
    <row r="36" spans="1:40" s="7" customFormat="1" ht="15" thickBot="1">
      <c r="A36" s="1462"/>
      <c r="B36" s="224">
        <v>28</v>
      </c>
      <c r="C36" s="222" t="s">
        <v>494</v>
      </c>
      <c r="D36" s="356">
        <f>D34-D35</f>
        <v>-314.50000000000011</v>
      </c>
      <c r="E36" s="357">
        <f>E34-E35</f>
        <v>-199.70000000000005</v>
      </c>
      <c r="F36" s="316">
        <f>F34-F35</f>
        <v>122.60000000000002</v>
      </c>
      <c r="G36" s="325">
        <f>G34-G35</f>
        <v>-178.07216956747425</v>
      </c>
      <c r="H36" s="326">
        <f>H34-H35</f>
        <v>-25.252579165493955</v>
      </c>
      <c r="I36" s="326">
        <f t="shared" ref="I36:AF36" si="35">I34-I35</f>
        <v>28.448335125521226</v>
      </c>
      <c r="J36" s="327">
        <f t="shared" si="35"/>
        <v>-24.669721276850055</v>
      </c>
      <c r="K36" s="326">
        <f t="shared" si="35"/>
        <v>163.3344820592265</v>
      </c>
      <c r="L36" s="326">
        <f t="shared" si="35"/>
        <v>-94.245382127487915</v>
      </c>
      <c r="M36" s="326">
        <f t="shared" si="35"/>
        <v>-16.026317759958829</v>
      </c>
      <c r="N36" s="326">
        <f t="shared" si="35"/>
        <v>166.02775383831352</v>
      </c>
      <c r="O36" s="326">
        <f t="shared" si="35"/>
        <v>-5.7599530809300177</v>
      </c>
      <c r="P36" s="326">
        <f t="shared" si="35"/>
        <v>-222.56865169874106</v>
      </c>
      <c r="Q36" s="326">
        <f t="shared" si="35"/>
        <v>67.957106389104979</v>
      </c>
      <c r="R36" s="326">
        <f t="shared" si="35"/>
        <v>53.551764991504569</v>
      </c>
      <c r="S36" s="326">
        <f t="shared" si="35"/>
        <v>-67.18512771437247</v>
      </c>
      <c r="T36" s="326">
        <f t="shared" si="35"/>
        <v>177.93891194971047</v>
      </c>
      <c r="U36" s="326">
        <f t="shared" si="35"/>
        <v>-230.49074777106773</v>
      </c>
      <c r="V36" s="326">
        <f t="shared" si="35"/>
        <v>-27.788473202302612</v>
      </c>
      <c r="W36" s="326">
        <f t="shared" si="35"/>
        <v>72.430376945537205</v>
      </c>
      <c r="X36" s="326">
        <f t="shared" si="35"/>
        <v>72.529087842602621</v>
      </c>
      <c r="Y36" s="326">
        <f t="shared" si="35"/>
        <v>424.76267072330904</v>
      </c>
      <c r="Z36" s="326">
        <f t="shared" si="35"/>
        <v>171.27482938799812</v>
      </c>
      <c r="AA36" s="326">
        <f t="shared" si="35"/>
        <v>225.51617303777266</v>
      </c>
      <c r="AB36" s="326">
        <f t="shared" si="35"/>
        <v>580.82065077687594</v>
      </c>
      <c r="AC36" s="326">
        <f t="shared" si="35"/>
        <v>630.4831976711414</v>
      </c>
      <c r="AD36" s="326">
        <f t="shared" si="35"/>
        <v>681.21381830005998</v>
      </c>
      <c r="AE36" s="326">
        <f t="shared" si="35"/>
        <v>733.03298438277488</v>
      </c>
      <c r="AF36" s="327">
        <f t="shared" si="35"/>
        <v>785.96259332012573</v>
      </c>
      <c r="AG36" s="414"/>
      <c r="AK36" s="10"/>
      <c r="AL36" s="10"/>
      <c r="AM36" s="10"/>
      <c r="AN36" s="10"/>
    </row>
    <row r="37" spans="1:40" ht="15" thickBot="1">
      <c r="A37" s="232"/>
      <c r="B37" s="230"/>
      <c r="C37" s="231"/>
      <c r="D37" s="372"/>
      <c r="E37" s="372"/>
      <c r="F37" s="372"/>
      <c r="G37" s="372"/>
      <c r="H37" s="372"/>
      <c r="I37" s="372"/>
      <c r="J37" s="372"/>
      <c r="K37" s="372"/>
      <c r="L37" s="372"/>
      <c r="M37" s="372"/>
      <c r="N37" s="372"/>
      <c r="O37" s="372"/>
      <c r="P37" s="372"/>
      <c r="Q37" s="372"/>
      <c r="R37" s="372"/>
      <c r="S37" s="372"/>
      <c r="T37" s="372"/>
      <c r="U37" s="372"/>
      <c r="V37" s="372"/>
      <c r="W37" s="372"/>
      <c r="X37" s="372"/>
      <c r="Y37" s="372"/>
      <c r="Z37" s="372"/>
      <c r="AA37" s="372"/>
      <c r="AB37" s="372"/>
      <c r="AC37" s="372"/>
      <c r="AD37" s="372"/>
      <c r="AE37" s="372"/>
      <c r="AF37" s="373"/>
      <c r="AG37" s="414"/>
      <c r="AH37" s="7"/>
      <c r="AI37" s="7"/>
      <c r="AJ37" s="7"/>
      <c r="AK37" s="10"/>
      <c r="AL37" s="10"/>
      <c r="AM37" s="10"/>
      <c r="AN37" s="10"/>
    </row>
    <row r="38" spans="1:40" ht="14.45" customHeight="1">
      <c r="A38" s="1463" t="s">
        <v>495</v>
      </c>
      <c r="B38" s="225">
        <v>29</v>
      </c>
      <c r="C38" s="227" t="s">
        <v>496</v>
      </c>
      <c r="D38" s="894">
        <v>89.2</v>
      </c>
      <c r="E38" s="895">
        <v>159.19999999999999</v>
      </c>
      <c r="F38" s="896">
        <v>815.6</v>
      </c>
      <c r="G38" s="318">
        <f>+F38+(-G10)</f>
        <v>856.38</v>
      </c>
      <c r="H38" s="319">
        <f t="shared" ref="H38:AF38" si="36">+G38+(-H10)</f>
        <v>899.19899999999996</v>
      </c>
      <c r="I38" s="319">
        <f t="shared" si="36"/>
        <v>944.15895</v>
      </c>
      <c r="J38" s="320">
        <f t="shared" si="36"/>
        <v>991.36689750000005</v>
      </c>
      <c r="K38" s="396">
        <f t="shared" si="36"/>
        <v>1031.0215734000001</v>
      </c>
      <c r="L38" s="319">
        <f t="shared" si="36"/>
        <v>1072.2624363360001</v>
      </c>
      <c r="M38" s="319">
        <f t="shared" si="36"/>
        <v>1115.1529337894401</v>
      </c>
      <c r="N38" s="319">
        <f t="shared" si="36"/>
        <v>1159.7590511410176</v>
      </c>
      <c r="O38" s="319">
        <f t="shared" si="36"/>
        <v>1206.1494131866584</v>
      </c>
      <c r="P38" s="319">
        <f t="shared" si="36"/>
        <v>1254.3953897141248</v>
      </c>
      <c r="Q38" s="319">
        <f t="shared" si="36"/>
        <v>1304.5712053026898</v>
      </c>
      <c r="R38" s="319">
        <f t="shared" si="36"/>
        <v>1356.7540535147973</v>
      </c>
      <c r="S38" s="319">
        <f t="shared" si="36"/>
        <v>1411.0242156553893</v>
      </c>
      <c r="T38" s="319">
        <f t="shared" si="36"/>
        <v>1467.4651842816049</v>
      </c>
      <c r="U38" s="319">
        <f t="shared" si="36"/>
        <v>1526.1637916528691</v>
      </c>
      <c r="V38" s="319">
        <f t="shared" si="36"/>
        <v>1587.2103433189839</v>
      </c>
      <c r="W38" s="319">
        <f t="shared" si="36"/>
        <v>1650.6987570517433</v>
      </c>
      <c r="X38" s="319">
        <f t="shared" si="36"/>
        <v>1716.726707333813</v>
      </c>
      <c r="Y38" s="319">
        <f t="shared" si="36"/>
        <v>1785.3957756271654</v>
      </c>
      <c r="Z38" s="319">
        <f t="shared" si="36"/>
        <v>1856.8116066522521</v>
      </c>
      <c r="AA38" s="319">
        <f t="shared" si="36"/>
        <v>1931.0840709183421</v>
      </c>
      <c r="AB38" s="319">
        <f t="shared" si="36"/>
        <v>2008.3274337550758</v>
      </c>
      <c r="AC38" s="319">
        <f t="shared" si="36"/>
        <v>2088.660531105279</v>
      </c>
      <c r="AD38" s="319">
        <f t="shared" si="36"/>
        <v>2172.2069523494902</v>
      </c>
      <c r="AE38" s="319">
        <f t="shared" si="36"/>
        <v>2259.09523044347</v>
      </c>
      <c r="AF38" s="320">
        <f t="shared" si="36"/>
        <v>2349.4590396612089</v>
      </c>
      <c r="AG38" s="415">
        <f>SUM(G38:AF38)</f>
        <v>39001.500543691422</v>
      </c>
      <c r="AH38" s="7"/>
      <c r="AI38" s="7"/>
      <c r="AJ38" s="7"/>
      <c r="AK38" s="10"/>
      <c r="AL38" s="10"/>
      <c r="AM38" s="10"/>
      <c r="AN38" s="10"/>
    </row>
    <row r="39" spans="1:40" ht="14.45" customHeight="1">
      <c r="A39" s="1462"/>
      <c r="B39" s="225">
        <v>30</v>
      </c>
      <c r="C39" s="227" t="s">
        <v>497</v>
      </c>
      <c r="D39" s="314">
        <v>9.9</v>
      </c>
      <c r="E39" s="313">
        <f>D39+E10</f>
        <v>-2</v>
      </c>
      <c r="F39" s="315">
        <f>E39+F10</f>
        <v>-38.200000000000003</v>
      </c>
      <c r="G39" s="321">
        <f>F39-G10</f>
        <v>2.5799999999999983</v>
      </c>
      <c r="H39" s="317">
        <f t="shared" ref="H39:AF39" si="37">G39-H10</f>
        <v>45.399000000000001</v>
      </c>
      <c r="I39" s="317">
        <f t="shared" si="37"/>
        <v>90.358949999999993</v>
      </c>
      <c r="J39" s="322">
        <f t="shared" si="37"/>
        <v>137.56689749999998</v>
      </c>
      <c r="K39" s="397">
        <f t="shared" si="37"/>
        <v>177.22157339999998</v>
      </c>
      <c r="L39" s="317">
        <f t="shared" si="37"/>
        <v>218.462436336</v>
      </c>
      <c r="M39" s="317">
        <f t="shared" si="37"/>
        <v>261.35293378943999</v>
      </c>
      <c r="N39" s="317">
        <f t="shared" si="37"/>
        <v>305.9590511410176</v>
      </c>
      <c r="O39" s="317">
        <f t="shared" si="37"/>
        <v>352.3494131866583</v>
      </c>
      <c r="P39" s="317">
        <f t="shared" si="37"/>
        <v>400.59538971412462</v>
      </c>
      <c r="Q39" s="317">
        <f t="shared" si="37"/>
        <v>450.77120530268962</v>
      </c>
      <c r="R39" s="317">
        <f t="shared" si="37"/>
        <v>502.95405351479724</v>
      </c>
      <c r="S39" s="317">
        <f t="shared" si="37"/>
        <v>557.22421565538912</v>
      </c>
      <c r="T39" s="317">
        <f t="shared" si="37"/>
        <v>613.66518428160464</v>
      </c>
      <c r="U39" s="317">
        <f t="shared" si="37"/>
        <v>672.36379165286883</v>
      </c>
      <c r="V39" s="317">
        <f t="shared" si="37"/>
        <v>733.41034331898356</v>
      </c>
      <c r="W39" s="317">
        <f t="shared" si="37"/>
        <v>796.8987570517429</v>
      </c>
      <c r="X39" s="317">
        <f t="shared" si="37"/>
        <v>862.9267073338126</v>
      </c>
      <c r="Y39" s="317">
        <f t="shared" si="37"/>
        <v>931.59577562716515</v>
      </c>
      <c r="Z39" s="317">
        <f t="shared" si="37"/>
        <v>1003.0116066522518</v>
      </c>
      <c r="AA39" s="317">
        <f t="shared" si="37"/>
        <v>1077.284070918342</v>
      </c>
      <c r="AB39" s="317">
        <f t="shared" si="37"/>
        <v>1154.5274337550757</v>
      </c>
      <c r="AC39" s="317">
        <f t="shared" si="37"/>
        <v>1234.8605311052786</v>
      </c>
      <c r="AD39" s="317">
        <f t="shared" si="37"/>
        <v>1318.4069523494898</v>
      </c>
      <c r="AE39" s="317">
        <f t="shared" si="37"/>
        <v>1405.2952304434693</v>
      </c>
      <c r="AF39" s="322">
        <f t="shared" si="37"/>
        <v>1495.6590396612082</v>
      </c>
      <c r="AG39" s="415">
        <f>SUM(G39:AF39)</f>
        <v>16802.700543691411</v>
      </c>
      <c r="AH39" s="7"/>
      <c r="AI39" s="7"/>
      <c r="AJ39" s="7"/>
      <c r="AK39" s="10"/>
      <c r="AL39" s="10"/>
      <c r="AM39" s="10"/>
      <c r="AN39" s="10"/>
    </row>
    <row r="40" spans="1:40" ht="14.45" customHeight="1">
      <c r="A40" s="1462"/>
      <c r="B40" s="225">
        <v>31</v>
      </c>
      <c r="C40" s="227" t="s">
        <v>498</v>
      </c>
      <c r="D40" s="314">
        <v>1240.2</v>
      </c>
      <c r="E40" s="313">
        <v>1306.8</v>
      </c>
      <c r="F40" s="315">
        <v>1422.1</v>
      </c>
      <c r="G40" s="321">
        <f>F40+(-G23)</f>
        <v>1656.0906</v>
      </c>
      <c r="H40" s="317">
        <f t="shared" ref="H40:AF40" si="38">G40+(-H23)</f>
        <v>1909.898805</v>
      </c>
      <c r="I40" s="317">
        <f t="shared" si="38"/>
        <v>2177.199779172</v>
      </c>
      <c r="J40" s="322">
        <f t="shared" si="38"/>
        <v>2454.54243291696</v>
      </c>
      <c r="K40" s="397">
        <f>J40+(-K23)</f>
        <v>2725.4161828220999</v>
      </c>
      <c r="L40" s="317">
        <f t="shared" si="38"/>
        <v>3002.364904579571</v>
      </c>
      <c r="M40" s="317">
        <f t="shared" si="38"/>
        <v>3285.5400787352705</v>
      </c>
      <c r="N40" s="317">
        <f t="shared" si="38"/>
        <v>3575.0972687223284</v>
      </c>
      <c r="O40" s="317">
        <f t="shared" si="38"/>
        <v>3871.1962364247852</v>
      </c>
      <c r="P40" s="317">
        <f t="shared" si="38"/>
        <v>4174.0010611043399</v>
      </c>
      <c r="Q40" s="317">
        <f t="shared" si="38"/>
        <v>4483.6802617894955</v>
      </c>
      <c r="R40" s="317">
        <f t="shared" si="38"/>
        <v>4800.4069232293987</v>
      </c>
      <c r="S40" s="317">
        <f t="shared" si="38"/>
        <v>5121.950411901571</v>
      </c>
      <c r="T40" s="317">
        <f t="shared" si="38"/>
        <v>5448.3918872906916</v>
      </c>
      <c r="U40" s="317">
        <f t="shared" si="38"/>
        <v>5779.8139803005351</v>
      </c>
      <c r="V40" s="317">
        <f t="shared" si="38"/>
        <v>6116.3008211646447</v>
      </c>
      <c r="W40" s="317">
        <f t="shared" si="38"/>
        <v>6457.9380679000469</v>
      </c>
      <c r="X40" s="317">
        <f t="shared" si="38"/>
        <v>6804.8129353147078</v>
      </c>
      <c r="Y40" s="317">
        <f t="shared" si="38"/>
        <v>7157.0142245796578</v>
      </c>
      <c r="Z40" s="317">
        <f t="shared" si="38"/>
        <v>7514.6323533769228</v>
      </c>
      <c r="AA40" s="317">
        <f t="shared" si="38"/>
        <v>7877.7593866346187</v>
      </c>
      <c r="AB40" s="317">
        <f t="shared" si="38"/>
        <v>8246.4890678608008</v>
      </c>
      <c r="AC40" s="317">
        <f t="shared" si="38"/>
        <v>8620.9168510878699</v>
      </c>
      <c r="AD40" s="317">
        <f t="shared" si="38"/>
        <v>9001.1399334396083</v>
      </c>
      <c r="AE40" s="317">
        <f t="shared" si="38"/>
        <v>9387.2572883331104</v>
      </c>
      <c r="AF40" s="322">
        <f t="shared" si="38"/>
        <v>9779.3696993281592</v>
      </c>
      <c r="AG40" s="415">
        <f>SUM(G40:AF40)</f>
        <v>141429.22144300918</v>
      </c>
      <c r="AH40" s="7"/>
      <c r="AI40" s="7"/>
      <c r="AJ40" s="7"/>
      <c r="AK40" s="10"/>
      <c r="AL40" s="10"/>
      <c r="AM40" s="10"/>
      <c r="AN40" s="10"/>
    </row>
    <row r="41" spans="1:40" ht="14.45" customHeight="1" thickBot="1">
      <c r="A41" s="1462"/>
      <c r="B41" s="226">
        <v>32</v>
      </c>
      <c r="C41" s="222" t="s">
        <v>499</v>
      </c>
      <c r="D41" s="897">
        <v>1451.2</v>
      </c>
      <c r="E41" s="898">
        <f>D41+E9</f>
        <v>1243.1000000000001</v>
      </c>
      <c r="F41" s="487">
        <f>E41+F9</f>
        <v>1030.5000000000002</v>
      </c>
      <c r="G41" s="488">
        <f>F41-G9</f>
        <v>1236.7045000000003</v>
      </c>
      <c r="H41" s="489">
        <f t="shared" ref="H41:AF41" si="39">G41-H9</f>
        <v>1476.8376370000003</v>
      </c>
      <c r="I41" s="489">
        <f t="shared" si="39"/>
        <v>1753.7729637250004</v>
      </c>
      <c r="J41" s="490">
        <f t="shared" si="39"/>
        <v>2069.4669317049402</v>
      </c>
      <c r="K41" s="491">
        <f t="shared" si="39"/>
        <v>2413.1028723133145</v>
      </c>
      <c r="L41" s="489">
        <f t="shared" si="39"/>
        <v>2794.6611379084084</v>
      </c>
      <c r="M41" s="489">
        <f t="shared" si="39"/>
        <v>3214.9922245495482</v>
      </c>
      <c r="N41" s="489">
        <f t="shared" si="39"/>
        <v>3674.9678355724859</v>
      </c>
      <c r="O41" s="489">
        <f t="shared" si="39"/>
        <v>4175.4814531936117</v>
      </c>
      <c r="P41" s="489">
        <f t="shared" si="39"/>
        <v>4717.448926293082</v>
      </c>
      <c r="Q41" s="489">
        <f t="shared" si="39"/>
        <v>5301.8090748476898</v>
      </c>
      <c r="R41" s="489">
        <f t="shared" si="39"/>
        <v>5929.5243114982195</v>
      </c>
      <c r="S41" s="489">
        <f t="shared" si="39"/>
        <v>6601.5812807503353</v>
      </c>
      <c r="T41" s="489">
        <f t="shared" si="39"/>
        <v>7318.6543384165552</v>
      </c>
      <c r="U41" s="489">
        <f t="shared" si="39"/>
        <v>8081.4292026372523</v>
      </c>
      <c r="V41" s="489">
        <f t="shared" si="39"/>
        <v>8890.603159879327</v>
      </c>
      <c r="W41" s="489">
        <f t="shared" si="39"/>
        <v>9746.8852748423778</v>
      </c>
      <c r="X41" s="489">
        <f t="shared" si="39"/>
        <v>10650.996604348384</v>
      </c>
      <c r="Y41" s="489">
        <f t="shared" si="39"/>
        <v>11603.670415292443</v>
      </c>
      <c r="Z41" s="489">
        <f t="shared" si="39"/>
        <v>12605.652406733596</v>
      </c>
      <c r="AA41" s="489">
        <f t="shared" si="39"/>
        <v>13657.700936206365</v>
      </c>
      <c r="AB41" s="489">
        <f t="shared" si="39"/>
        <v>14760.587250335213</v>
      </c>
      <c r="AC41" s="489">
        <f t="shared" si="39"/>
        <v>15915.095719835725</v>
      </c>
      <c r="AD41" s="489">
        <f t="shared" si="39"/>
        <v>17122.024078988026</v>
      </c>
      <c r="AE41" s="489">
        <f t="shared" si="39"/>
        <v>18382.183669669572</v>
      </c>
      <c r="AF41" s="490">
        <f t="shared" si="39"/>
        <v>19696.399690036207</v>
      </c>
      <c r="AG41" s="415">
        <f>SUM(G41:AF41)</f>
        <v>213792.2338965777</v>
      </c>
      <c r="AH41" s="7"/>
      <c r="AI41" s="7"/>
      <c r="AJ41" s="7"/>
      <c r="AK41" s="10"/>
      <c r="AL41" s="10"/>
      <c r="AM41" s="10"/>
      <c r="AN41" s="10"/>
    </row>
    <row r="42" spans="1:40" s="7" customFormat="1" ht="15" thickBot="1">
      <c r="A42" s="1454"/>
      <c r="B42" s="1455"/>
      <c r="C42" s="1455"/>
      <c r="D42" s="1455"/>
      <c r="E42" s="1455"/>
      <c r="F42" s="1455"/>
      <c r="G42" s="1456"/>
      <c r="H42" s="1456"/>
      <c r="I42" s="1456"/>
      <c r="J42" s="1456"/>
      <c r="K42" s="1455"/>
      <c r="L42" s="1455"/>
      <c r="M42" s="1455"/>
      <c r="N42" s="1455"/>
      <c r="O42" s="1455"/>
      <c r="P42" s="1455"/>
      <c r="Q42" s="1455"/>
      <c r="R42" s="1455"/>
      <c r="S42" s="1455"/>
      <c r="T42" s="1455"/>
      <c r="U42" s="1455"/>
      <c r="V42" s="1455"/>
      <c r="W42" s="1455"/>
      <c r="X42" s="1455"/>
      <c r="Y42" s="1455"/>
      <c r="Z42" s="1455"/>
      <c r="AA42" s="1455"/>
      <c r="AB42" s="1455"/>
      <c r="AC42" s="1455"/>
      <c r="AD42" s="1455"/>
      <c r="AE42" s="1455"/>
      <c r="AF42" s="1457"/>
      <c r="AG42" s="414"/>
      <c r="AK42" s="10"/>
      <c r="AL42" s="10"/>
      <c r="AM42" s="10"/>
      <c r="AN42" s="10"/>
    </row>
    <row r="43" spans="1:40" ht="15" customHeight="1">
      <c r="A43" s="1448" t="s">
        <v>500</v>
      </c>
      <c r="B43" s="223">
        <v>33</v>
      </c>
      <c r="C43" s="227" t="s">
        <v>501</v>
      </c>
      <c r="D43" s="482">
        <f>'Fin. Data'!D39</f>
        <v>433</v>
      </c>
      <c r="E43" s="287">
        <f t="shared" ref="E43:AF43" si="40">E36+D43</f>
        <v>233.29999999999995</v>
      </c>
      <c r="F43" s="960">
        <f t="shared" si="40"/>
        <v>355.9</v>
      </c>
      <c r="G43" s="969">
        <f>G36+F43</f>
        <v>177.82783043252573</v>
      </c>
      <c r="H43" s="970">
        <f t="shared" si="40"/>
        <v>152.57525126703177</v>
      </c>
      <c r="I43" s="970">
        <f t="shared" si="40"/>
        <v>181.023586392553</v>
      </c>
      <c r="J43" s="971">
        <f t="shared" si="40"/>
        <v>156.35386511570294</v>
      </c>
      <c r="K43" s="965">
        <f t="shared" si="40"/>
        <v>319.68834717492945</v>
      </c>
      <c r="L43" s="552">
        <f t="shared" si="40"/>
        <v>225.44296504744153</v>
      </c>
      <c r="M43" s="552">
        <f t="shared" si="40"/>
        <v>209.4166472874827</v>
      </c>
      <c r="N43" s="552">
        <f t="shared" si="40"/>
        <v>375.44440112579622</v>
      </c>
      <c r="O43" s="552">
        <f t="shared" si="40"/>
        <v>369.6844480448662</v>
      </c>
      <c r="P43" s="552">
        <f t="shared" si="40"/>
        <v>147.11579634612514</v>
      </c>
      <c r="Q43" s="552">
        <f t="shared" si="40"/>
        <v>215.07290273523012</v>
      </c>
      <c r="R43" s="552">
        <f t="shared" si="40"/>
        <v>268.62466772673469</v>
      </c>
      <c r="S43" s="552">
        <f t="shared" si="40"/>
        <v>201.43954001236222</v>
      </c>
      <c r="T43" s="552">
        <f t="shared" si="40"/>
        <v>379.37845196207269</v>
      </c>
      <c r="U43" s="552">
        <f t="shared" si="40"/>
        <v>148.88770419100496</v>
      </c>
      <c r="V43" s="552">
        <f t="shared" si="40"/>
        <v>121.09923098870235</v>
      </c>
      <c r="W43" s="552">
        <f t="shared" si="40"/>
        <v>193.52960793423955</v>
      </c>
      <c r="X43" s="552">
        <f t="shared" si="40"/>
        <v>266.05869577684217</v>
      </c>
      <c r="Y43" s="552">
        <f t="shared" si="40"/>
        <v>690.82136650015127</v>
      </c>
      <c r="Z43" s="552">
        <f t="shared" si="40"/>
        <v>862.0961958881494</v>
      </c>
      <c r="AA43" s="552">
        <f t="shared" si="40"/>
        <v>1087.6123689259221</v>
      </c>
      <c r="AB43" s="552">
        <f t="shared" si="40"/>
        <v>1668.433019702798</v>
      </c>
      <c r="AC43" s="552">
        <f t="shared" si="40"/>
        <v>2298.9162173739396</v>
      </c>
      <c r="AD43" s="552">
        <f t="shared" si="40"/>
        <v>2980.1300356739994</v>
      </c>
      <c r="AE43" s="552">
        <f t="shared" si="40"/>
        <v>3713.1630200567743</v>
      </c>
      <c r="AF43" s="553">
        <f t="shared" si="40"/>
        <v>4499.1256133769002</v>
      </c>
      <c r="AG43" s="414"/>
      <c r="AH43" s="7"/>
      <c r="AI43" s="7"/>
      <c r="AJ43" s="7"/>
      <c r="AK43" s="10"/>
      <c r="AL43" s="10"/>
      <c r="AM43" s="10"/>
      <c r="AN43" s="10"/>
    </row>
    <row r="44" spans="1:40" ht="15" customHeight="1">
      <c r="A44" s="1448"/>
      <c r="B44" s="223">
        <v>34</v>
      </c>
      <c r="C44" s="227" t="s">
        <v>315</v>
      </c>
      <c r="D44" s="482">
        <f>'Fin. Data'!D58</f>
        <v>2061.5</v>
      </c>
      <c r="E44" s="286">
        <f>'Fin. Data'!C58</f>
        <v>1916</v>
      </c>
      <c r="F44" s="961">
        <f>'Fin. Data'!B58</f>
        <v>1916.7</v>
      </c>
      <c r="G44" s="972">
        <f>Assumptions!C287</f>
        <v>1825</v>
      </c>
      <c r="H44" s="1100">
        <f>Assumptions!D287</f>
        <v>1825</v>
      </c>
      <c r="I44" s="1100">
        <f>Assumptions!E287</f>
        <v>1875</v>
      </c>
      <c r="J44" s="973">
        <f>Assumptions!F287</f>
        <v>1875</v>
      </c>
      <c r="K44" s="966">
        <f>Assumptions!G287</f>
        <v>2150</v>
      </c>
      <c r="L44" s="1100">
        <f>Assumptions!H287</f>
        <v>2150</v>
      </c>
      <c r="M44" s="1100">
        <f>Assumptions!I287</f>
        <v>2200</v>
      </c>
      <c r="N44" s="1100">
        <f>Assumptions!J287</f>
        <v>2400</v>
      </c>
      <c r="O44" s="1100">
        <f>Assumptions!K287</f>
        <v>2400</v>
      </c>
      <c r="P44" s="1100">
        <f>Assumptions!L287</f>
        <v>2150</v>
      </c>
      <c r="Q44" s="1100">
        <f>Assumptions!M287</f>
        <v>2150</v>
      </c>
      <c r="R44" s="1100">
        <f>Assumptions!N287</f>
        <v>2100</v>
      </c>
      <c r="S44" s="1100">
        <f>Assumptions!O287</f>
        <v>1900</v>
      </c>
      <c r="T44" s="1100">
        <f>Assumptions!P287</f>
        <v>1900</v>
      </c>
      <c r="U44" s="1100">
        <f>Assumptions!Q287</f>
        <v>1450</v>
      </c>
      <c r="V44" s="1100">
        <f>Assumptions!R287</f>
        <v>1150</v>
      </c>
      <c r="W44" s="1100">
        <f>Assumptions!S287</f>
        <v>900</v>
      </c>
      <c r="X44" s="1100">
        <f>Assumptions!T287</f>
        <v>600</v>
      </c>
      <c r="Y44" s="1100">
        <f>Assumptions!U287</f>
        <v>600</v>
      </c>
      <c r="Z44" s="1100">
        <f>Assumptions!V287</f>
        <v>300</v>
      </c>
      <c r="AA44" s="1100">
        <f>Assumptions!W287</f>
        <v>0</v>
      </c>
      <c r="AB44" s="1100">
        <f>Assumptions!X287</f>
        <v>0</v>
      </c>
      <c r="AC44" s="1100">
        <f>Assumptions!Y287</f>
        <v>0</v>
      </c>
      <c r="AD44" s="1100">
        <f>Assumptions!Z287</f>
        <v>0</v>
      </c>
      <c r="AE44" s="1100">
        <f>Assumptions!AA287</f>
        <v>0</v>
      </c>
      <c r="AF44" s="973">
        <f>Assumptions!AB287</f>
        <v>0</v>
      </c>
      <c r="AG44" s="429"/>
      <c r="AH44" s="10"/>
      <c r="AI44" s="10"/>
      <c r="AJ44" s="10"/>
      <c r="AK44" s="10"/>
      <c r="AL44" s="10"/>
      <c r="AM44" s="10"/>
      <c r="AN44" s="10"/>
    </row>
    <row r="45" spans="1:40" ht="15" customHeight="1">
      <c r="A45" s="1448"/>
      <c r="B45" s="223">
        <v>35</v>
      </c>
      <c r="C45" s="227" t="s">
        <v>502</v>
      </c>
      <c r="D45" s="483"/>
      <c r="E45" s="364"/>
      <c r="F45" s="962">
        <f>1/((1+$F$50)^G50)</f>
        <v>1</v>
      </c>
      <c r="G45" s="974">
        <f t="shared" ref="G45:AF45" si="41">1/((1+$F$50)^G49)</f>
        <v>0.92165898617511521</v>
      </c>
      <c r="H45" s="281">
        <f t="shared" si="41"/>
        <v>0.84945528679734128</v>
      </c>
      <c r="I45" s="281">
        <f t="shared" si="41"/>
        <v>0.78290809843072917</v>
      </c>
      <c r="J45" s="975">
        <f t="shared" si="41"/>
        <v>0.72157428426795334</v>
      </c>
      <c r="K45" s="967">
        <f t="shared" si="41"/>
        <v>0.66504542328843619</v>
      </c>
      <c r="L45" s="281">
        <f t="shared" si="41"/>
        <v>0.6129450905884205</v>
      </c>
      <c r="M45" s="281">
        <f t="shared" si="41"/>
        <v>0.56492635077273778</v>
      </c>
      <c r="N45" s="281">
        <f t="shared" si="41"/>
        <v>0.52066944771680901</v>
      </c>
      <c r="O45" s="281">
        <f t="shared" si="41"/>
        <v>0.4798796753150314</v>
      </c>
      <c r="P45" s="281">
        <f t="shared" si="41"/>
        <v>0.44228541503689528</v>
      </c>
      <c r="Q45" s="281">
        <f t="shared" si="41"/>
        <v>0.40763632722294496</v>
      </c>
      <c r="R45" s="281">
        <f t="shared" si="41"/>
        <v>0.37570168407644705</v>
      </c>
      <c r="S45" s="281">
        <f t="shared" si="41"/>
        <v>0.3462688332501816</v>
      </c>
      <c r="T45" s="281">
        <f t="shared" si="41"/>
        <v>0.31914178179740244</v>
      </c>
      <c r="U45" s="281">
        <f t="shared" si="41"/>
        <v>0.2941398910575137</v>
      </c>
      <c r="V45" s="281">
        <f t="shared" si="41"/>
        <v>0.27109667378572694</v>
      </c>
      <c r="W45" s="281">
        <f t="shared" si="41"/>
        <v>0.24985868551679907</v>
      </c>
      <c r="X45" s="281">
        <f t="shared" si="41"/>
        <v>0.23028450278045995</v>
      </c>
      <c r="Y45" s="281">
        <f t="shared" si="41"/>
        <v>0.21224378136447922</v>
      </c>
      <c r="Z45" s="281">
        <f t="shared" si="41"/>
        <v>0.19561638835435877</v>
      </c>
      <c r="AA45" s="281">
        <f t="shared" si="41"/>
        <v>0.18029160216991591</v>
      </c>
      <c r="AB45" s="281">
        <f t="shared" si="41"/>
        <v>0.16616737527181191</v>
      </c>
      <c r="AC45" s="281">
        <f t="shared" si="41"/>
        <v>0.15314965462839805</v>
      </c>
      <c r="AD45" s="281">
        <f t="shared" si="41"/>
        <v>0.14115175541787842</v>
      </c>
      <c r="AE45" s="281">
        <f t="shared" si="41"/>
        <v>0.13009378379527964</v>
      </c>
      <c r="AF45" s="551">
        <f t="shared" si="41"/>
        <v>0.11990210488044206</v>
      </c>
      <c r="AG45" s="429"/>
      <c r="AH45" s="10"/>
      <c r="AI45" s="10"/>
      <c r="AJ45" s="10"/>
      <c r="AK45" s="10"/>
      <c r="AL45" s="10"/>
      <c r="AM45" s="10"/>
      <c r="AN45" s="10"/>
    </row>
    <row r="46" spans="1:40" ht="15" customHeight="1">
      <c r="A46" s="1448"/>
      <c r="B46" s="223">
        <v>36</v>
      </c>
      <c r="C46" s="227" t="s">
        <v>503</v>
      </c>
      <c r="D46" s="484"/>
      <c r="E46" s="485" t="s">
        <v>504</v>
      </c>
      <c r="F46" s="963">
        <f>1/((1+$F$50+0.001)^G50)</f>
        <v>1</v>
      </c>
      <c r="G46" s="974">
        <f>1/((1+$F$50+0.001)^G49)</f>
        <v>0.92081031307550654</v>
      </c>
      <c r="H46" s="281">
        <f t="shared" ref="H46:AF46" si="42">1/((1+$F$50+0.001)^H49)</f>
        <v>0.84789163266621248</v>
      </c>
      <c r="I46" s="281">
        <f t="shared" si="42"/>
        <v>0.78074735972947751</v>
      </c>
      <c r="J46" s="975">
        <f t="shared" si="42"/>
        <v>0.71892022074537532</v>
      </c>
      <c r="K46" s="967">
        <f t="shared" si="42"/>
        <v>0.66198915354086141</v>
      </c>
      <c r="L46" s="281">
        <f t="shared" si="42"/>
        <v>0.60956643972455005</v>
      </c>
      <c r="M46" s="281">
        <f t="shared" si="42"/>
        <v>0.56129506420308495</v>
      </c>
      <c r="N46" s="281">
        <f t="shared" si="42"/>
        <v>0.51684628379657915</v>
      </c>
      <c r="O46" s="281">
        <f t="shared" si="42"/>
        <v>0.47591738839464021</v>
      </c>
      <c r="P46" s="281">
        <f t="shared" si="42"/>
        <v>0.43822963940574611</v>
      </c>
      <c r="Q46" s="281">
        <f t="shared" si="42"/>
        <v>0.4035263714601714</v>
      </c>
      <c r="R46" s="281">
        <f t="shared" si="42"/>
        <v>0.37157124443846357</v>
      </c>
      <c r="S46" s="281">
        <f t="shared" si="42"/>
        <v>0.34214663392123723</v>
      </c>
      <c r="T46" s="281">
        <f t="shared" si="42"/>
        <v>0.31505214909874518</v>
      </c>
      <c r="U46" s="281">
        <f t="shared" si="42"/>
        <v>0.2901032680467267</v>
      </c>
      <c r="V46" s="281">
        <f t="shared" si="42"/>
        <v>0.26713008107433406</v>
      </c>
      <c r="W46" s="281">
        <f t="shared" si="42"/>
        <v>0.24597613358594295</v>
      </c>
      <c r="X46" s="281">
        <f t="shared" si="42"/>
        <v>0.22649736057637476</v>
      </c>
      <c r="Y46" s="281">
        <f t="shared" si="42"/>
        <v>0.20856110550310758</v>
      </c>
      <c r="Z46" s="281">
        <f t="shared" si="42"/>
        <v>0.19204521685369022</v>
      </c>
      <c r="AA46" s="281">
        <f t="shared" si="42"/>
        <v>0.17683721625570006</v>
      </c>
      <c r="AB46" s="281">
        <f t="shared" si="42"/>
        <v>0.16283353246381221</v>
      </c>
      <c r="AC46" s="281">
        <f t="shared" si="42"/>
        <v>0.14993879600719359</v>
      </c>
      <c r="AD46" s="281">
        <f t="shared" si="42"/>
        <v>0.13806518969354845</v>
      </c>
      <c r="AE46" s="281">
        <f t="shared" si="42"/>
        <v>0.12713185054654555</v>
      </c>
      <c r="AF46" s="328">
        <f t="shared" si="42"/>
        <v>0.11706431910363313</v>
      </c>
      <c r="AG46" s="429"/>
      <c r="AH46" s="10"/>
      <c r="AI46" s="10"/>
      <c r="AJ46" s="10"/>
      <c r="AK46" s="10"/>
      <c r="AL46" s="10"/>
      <c r="AM46" s="10"/>
      <c r="AN46" s="10"/>
    </row>
    <row r="47" spans="1:40" ht="15" thickBot="1">
      <c r="A47" s="1448"/>
      <c r="B47" s="224">
        <v>37</v>
      </c>
      <c r="C47" s="222" t="s">
        <v>505</v>
      </c>
      <c r="D47" s="484"/>
      <c r="E47" s="485" t="s">
        <v>506</v>
      </c>
      <c r="F47" s="964">
        <f>1/((1+$F$50+0.005)^G50)</f>
        <v>1</v>
      </c>
      <c r="G47" s="976">
        <f t="shared" ref="G47:AF47" si="43">1/((1+$F$50+0.005)^G49)</f>
        <v>0.91743119266055062</v>
      </c>
      <c r="H47" s="977">
        <f t="shared" si="43"/>
        <v>0.84167999326656029</v>
      </c>
      <c r="I47" s="977">
        <f t="shared" si="43"/>
        <v>0.77218348006106452</v>
      </c>
      <c r="J47" s="978">
        <f t="shared" si="43"/>
        <v>0.70842521106519685</v>
      </c>
      <c r="K47" s="968">
        <f t="shared" si="43"/>
        <v>0.64993138629834579</v>
      </c>
      <c r="L47" s="554">
        <f t="shared" si="43"/>
        <v>0.59626732687921646</v>
      </c>
      <c r="M47" s="554">
        <f t="shared" si="43"/>
        <v>0.54703424484331786</v>
      </c>
      <c r="N47" s="554">
        <f t="shared" si="43"/>
        <v>0.50186627967276876</v>
      </c>
      <c r="O47" s="554">
        <f t="shared" si="43"/>
        <v>0.46042777951630176</v>
      </c>
      <c r="P47" s="554">
        <f t="shared" si="43"/>
        <v>0.42241080689568972</v>
      </c>
      <c r="Q47" s="554">
        <f t="shared" si="43"/>
        <v>0.3875328503630181</v>
      </c>
      <c r="R47" s="554">
        <f t="shared" si="43"/>
        <v>0.35553472510368633</v>
      </c>
      <c r="S47" s="554">
        <f t="shared" si="43"/>
        <v>0.32617864688411596</v>
      </c>
      <c r="T47" s="554">
        <f t="shared" si="43"/>
        <v>0.29924646503129909</v>
      </c>
      <c r="U47" s="554">
        <f t="shared" si="43"/>
        <v>0.27453804131311843</v>
      </c>
      <c r="V47" s="554">
        <f t="shared" si="43"/>
        <v>0.25186976267258576</v>
      </c>
      <c r="W47" s="554">
        <f t="shared" si="43"/>
        <v>0.2310731767638402</v>
      </c>
      <c r="X47" s="554">
        <f t="shared" si="43"/>
        <v>0.21199374015031211</v>
      </c>
      <c r="Y47" s="554">
        <f t="shared" si="43"/>
        <v>0.19448966986267169</v>
      </c>
      <c r="Z47" s="554">
        <f t="shared" si="43"/>
        <v>0.17843088978226762</v>
      </c>
      <c r="AA47" s="554">
        <f t="shared" si="43"/>
        <v>0.16369806402042905</v>
      </c>
      <c r="AB47" s="554">
        <f t="shared" si="43"/>
        <v>0.15018171011048537</v>
      </c>
      <c r="AC47" s="554">
        <f t="shared" si="43"/>
        <v>0.13778138542246365</v>
      </c>
      <c r="AD47" s="554">
        <f t="shared" si="43"/>
        <v>0.12640494075455383</v>
      </c>
      <c r="AE47" s="554">
        <f t="shared" si="43"/>
        <v>0.11596783555463655</v>
      </c>
      <c r="AF47" s="555">
        <f t="shared" si="43"/>
        <v>0.10639250968315282</v>
      </c>
      <c r="AG47" s="429"/>
      <c r="AH47" s="10"/>
      <c r="AI47" s="10"/>
      <c r="AJ47" s="10"/>
      <c r="AK47" s="10"/>
      <c r="AL47" s="10"/>
      <c r="AM47" s="10"/>
      <c r="AN47" s="10"/>
    </row>
    <row r="48" spans="1:40" ht="15" thickBot="1">
      <c r="A48" s="1458" t="s">
        <v>475</v>
      </c>
      <c r="B48" s="1459"/>
      <c r="C48" s="1459"/>
      <c r="D48" s="1459"/>
      <c r="E48" s="1459"/>
      <c r="F48" s="1459"/>
      <c r="G48" s="1460"/>
      <c r="H48" s="1460"/>
      <c r="I48" s="1460"/>
      <c r="J48" s="1460"/>
      <c r="K48" s="1459"/>
      <c r="L48" s="1459"/>
      <c r="M48" s="1459"/>
      <c r="N48" s="1459"/>
      <c r="O48" s="1459"/>
      <c r="P48" s="1459"/>
      <c r="Q48" s="1459"/>
      <c r="R48" s="1459"/>
      <c r="S48" s="1459"/>
      <c r="T48" s="1459"/>
      <c r="U48" s="1459"/>
      <c r="V48" s="1459"/>
      <c r="W48" s="1459"/>
      <c r="X48" s="1459"/>
      <c r="Y48" s="1459"/>
      <c r="Z48" s="1459"/>
      <c r="AA48" s="1459"/>
      <c r="AB48" s="1459"/>
      <c r="AC48" s="1459"/>
      <c r="AD48" s="1459"/>
      <c r="AE48" s="1459"/>
      <c r="AF48" s="1461"/>
      <c r="AG48" s="429"/>
      <c r="AH48" s="10"/>
      <c r="AI48" s="10"/>
      <c r="AJ48" s="431"/>
      <c r="AK48" s="10"/>
      <c r="AL48" s="10"/>
      <c r="AM48" s="10"/>
      <c r="AN48" s="10"/>
    </row>
    <row r="49" spans="1:40" ht="14.45">
      <c r="A49" s="1464" t="s">
        <v>507</v>
      </c>
      <c r="C49" s="238" t="s">
        <v>508</v>
      </c>
      <c r="D49" s="228" t="s">
        <v>509</v>
      </c>
      <c r="E49" s="229" t="s">
        <v>510</v>
      </c>
      <c r="F49" s="239" t="s">
        <v>511</v>
      </c>
      <c r="G49" s="282">
        <v>1</v>
      </c>
      <c r="H49" s="283">
        <v>2</v>
      </c>
      <c r="I49" s="283">
        <v>3</v>
      </c>
      <c r="J49" s="282">
        <v>4</v>
      </c>
      <c r="K49" s="283">
        <v>5</v>
      </c>
      <c r="L49" s="283">
        <v>6</v>
      </c>
      <c r="M49" s="282">
        <v>7</v>
      </c>
      <c r="N49" s="283">
        <v>8</v>
      </c>
      <c r="O49" s="283">
        <v>9</v>
      </c>
      <c r="P49" s="282">
        <v>10</v>
      </c>
      <c r="Q49" s="283">
        <v>11</v>
      </c>
      <c r="R49" s="283">
        <v>12</v>
      </c>
      <c r="S49" s="282">
        <v>13</v>
      </c>
      <c r="T49" s="283">
        <v>14</v>
      </c>
      <c r="U49" s="283">
        <v>15</v>
      </c>
      <c r="V49" s="282">
        <v>16</v>
      </c>
      <c r="W49" s="283">
        <v>17</v>
      </c>
      <c r="X49" s="283">
        <v>18</v>
      </c>
      <c r="Y49" s="282">
        <v>19</v>
      </c>
      <c r="Z49" s="283">
        <v>20</v>
      </c>
      <c r="AA49" s="283">
        <v>21</v>
      </c>
      <c r="AB49" s="282">
        <v>22</v>
      </c>
      <c r="AC49" s="283">
        <v>23</v>
      </c>
      <c r="AD49" s="283">
        <v>24</v>
      </c>
      <c r="AE49" s="282">
        <v>25</v>
      </c>
      <c r="AF49" s="283">
        <v>26</v>
      </c>
      <c r="AG49" s="429"/>
      <c r="AH49" s="10"/>
      <c r="AI49" s="10"/>
      <c r="AJ49" s="10"/>
      <c r="AK49" s="10"/>
      <c r="AL49" s="10"/>
      <c r="AM49" s="10"/>
      <c r="AN49" s="10"/>
    </row>
    <row r="50" spans="1:40" ht="15" thickBot="1">
      <c r="A50" s="1465"/>
      <c r="C50" s="234">
        <v>0.04</v>
      </c>
      <c r="D50" s="235">
        <v>0.04</v>
      </c>
      <c r="E50" s="236">
        <v>5.0000000000000001E-3</v>
      </c>
      <c r="F50" s="237">
        <f>C50+D50+E50</f>
        <v>8.5000000000000006E-2</v>
      </c>
      <c r="G50" s="282">
        <v>0</v>
      </c>
      <c r="S50" s="221"/>
      <c r="T50" s="221"/>
      <c r="U50" s="221"/>
      <c r="V50" s="221"/>
      <c r="W50" s="221"/>
      <c r="X50" s="221"/>
      <c r="Y50" s="221"/>
      <c r="Z50" s="221"/>
      <c r="AA50" s="221"/>
      <c r="AB50" s="221"/>
      <c r="AC50" s="221"/>
      <c r="AD50" s="221"/>
      <c r="AE50" s="221"/>
      <c r="AF50" s="221"/>
      <c r="AG50" s="428"/>
      <c r="AH50" s="10"/>
      <c r="AI50" s="10"/>
      <c r="AJ50" s="10"/>
      <c r="AK50" s="10"/>
      <c r="AL50" s="10"/>
      <c r="AM50" s="10"/>
      <c r="AN50" s="10"/>
    </row>
    <row r="51" spans="1:40" ht="14.45">
      <c r="A51" s="221"/>
      <c r="C51" s="221"/>
      <c r="D51" s="221"/>
      <c r="G51"/>
      <c r="H51" s="221"/>
      <c r="I51" s="221"/>
      <c r="J51" s="221"/>
      <c r="K51" s="221"/>
      <c r="S51" s="221"/>
      <c r="T51" s="221"/>
      <c r="U51" s="221"/>
      <c r="V51" s="221"/>
      <c r="W51" s="221"/>
      <c r="X51" s="221"/>
      <c r="Y51" s="221"/>
      <c r="Z51" s="221"/>
      <c r="AA51" s="221"/>
      <c r="AB51" s="221"/>
      <c r="AC51" s="221"/>
      <c r="AD51" s="221"/>
      <c r="AE51" s="221"/>
      <c r="AF51" s="221"/>
      <c r="AG51" s="428"/>
      <c r="AH51" s="10"/>
      <c r="AI51" s="10"/>
      <c r="AJ51" s="10"/>
      <c r="AK51" s="10"/>
      <c r="AL51" s="10"/>
      <c r="AM51" s="10"/>
      <c r="AN51" s="10"/>
    </row>
    <row r="52" spans="1:40" ht="15" customHeight="1">
      <c r="A52" s="1466" t="s">
        <v>512</v>
      </c>
      <c r="C52" s="380" t="s">
        <v>475</v>
      </c>
      <c r="D52" s="381" t="s">
        <v>452</v>
      </c>
      <c r="E52" s="382" t="s">
        <v>453</v>
      </c>
      <c r="F52" s="381" t="s">
        <v>513</v>
      </c>
      <c r="G52" s="221"/>
      <c r="I52" s="399"/>
      <c r="J52" s="399"/>
      <c r="K52" s="221"/>
      <c r="S52" s="221"/>
      <c r="T52" s="221"/>
      <c r="U52" s="221"/>
      <c r="V52" s="221"/>
      <c r="W52" s="221"/>
      <c r="X52" s="221"/>
      <c r="Y52" s="221"/>
      <c r="Z52" s="221"/>
      <c r="AA52" s="221"/>
      <c r="AB52" s="221"/>
      <c r="AC52" s="221"/>
      <c r="AD52" s="221"/>
      <c r="AE52" s="221"/>
      <c r="AF52" s="221"/>
      <c r="AG52" s="428"/>
      <c r="AH52" s="10"/>
      <c r="AI52" s="10"/>
      <c r="AJ52" s="10"/>
      <c r="AK52" s="10"/>
      <c r="AL52" s="10"/>
      <c r="AM52" s="10"/>
      <c r="AN52" s="10"/>
    </row>
    <row r="53" spans="1:40" ht="15" customHeight="1">
      <c r="A53" s="1466"/>
      <c r="C53" s="383" t="s">
        <v>514</v>
      </c>
      <c r="D53" s="354">
        <f>Assumptions!R17</f>
        <v>-0.14499999999999999</v>
      </c>
      <c r="E53" s="355">
        <f>Assumptions!S17</f>
        <v>-0.14000000000000001</v>
      </c>
      <c r="F53" s="384" t="str">
        <f>Assumptions!U17</f>
        <v>% PPE</v>
      </c>
      <c r="G53" s="403"/>
      <c r="I53" s="221"/>
      <c r="J53" s="221"/>
      <c r="K53" s="221"/>
      <c r="S53" s="221"/>
      <c r="T53" s="221"/>
      <c r="U53" s="221"/>
      <c r="V53" s="221"/>
      <c r="W53" s="221"/>
      <c r="X53" s="221"/>
      <c r="Y53" s="221"/>
      <c r="Z53" s="221"/>
      <c r="AA53" s="221"/>
      <c r="AB53" s="221"/>
      <c r="AC53" s="221"/>
      <c r="AD53" s="221"/>
      <c r="AE53" s="221"/>
      <c r="AF53" s="221"/>
      <c r="AG53" s="428"/>
      <c r="AH53" s="10"/>
      <c r="AI53" s="10"/>
      <c r="AJ53" s="10"/>
      <c r="AK53" s="10"/>
      <c r="AL53" s="10"/>
      <c r="AM53" s="10"/>
      <c r="AN53" s="10"/>
    </row>
    <row r="54" spans="1:40" ht="15" customHeight="1">
      <c r="A54" s="1466"/>
      <c r="C54" s="385" t="s">
        <v>515</v>
      </c>
      <c r="D54" s="354">
        <f>Assumptions!R18</f>
        <v>-0.05</v>
      </c>
      <c r="E54" s="355">
        <f>Assumptions!S18</f>
        <v>-0.04</v>
      </c>
      <c r="F54" s="384" t="str">
        <f>Assumptions!U18</f>
        <v>% IA</v>
      </c>
      <c r="G54" s="221"/>
      <c r="I54" s="221"/>
      <c r="J54" s="221"/>
      <c r="K54" s="221"/>
      <c r="S54" s="221"/>
      <c r="T54" s="221"/>
      <c r="U54" s="221"/>
      <c r="V54" s="221"/>
      <c r="W54" s="221"/>
      <c r="X54" s="221"/>
      <c r="Y54" s="221"/>
      <c r="Z54" s="221"/>
      <c r="AA54" s="221"/>
      <c r="AB54" s="221"/>
      <c r="AC54" s="221"/>
      <c r="AD54" s="221"/>
      <c r="AE54" s="221"/>
      <c r="AF54" s="221"/>
      <c r="AG54" s="428"/>
      <c r="AH54" s="10"/>
      <c r="AI54" s="10"/>
      <c r="AJ54" s="10"/>
      <c r="AK54" s="10"/>
      <c r="AL54" s="10"/>
      <c r="AM54" s="10"/>
      <c r="AN54" s="10"/>
    </row>
    <row r="55" spans="1:40" ht="15" customHeight="1">
      <c r="A55" s="1466"/>
      <c r="C55" s="629" t="s">
        <v>516</v>
      </c>
      <c r="D55" s="354">
        <f>Assumptions!R19</f>
        <v>0</v>
      </c>
      <c r="E55" s="355">
        <f>Assumptions!S19</f>
        <v>0</v>
      </c>
      <c r="F55" s="384" t="str">
        <f>Assumptions!U19</f>
        <v>% Revenue</v>
      </c>
      <c r="G55" s="221"/>
      <c r="I55" s="221"/>
      <c r="J55" s="221"/>
      <c r="K55" s="221"/>
      <c r="L55" s="221"/>
      <c r="M55" s="221"/>
      <c r="N55" s="221"/>
      <c r="O55" s="221"/>
      <c r="P55" s="221"/>
      <c r="Q55" s="221"/>
      <c r="R55" s="221"/>
      <c r="S55" s="221"/>
      <c r="T55" s="221"/>
      <c r="U55" s="221"/>
      <c r="V55" s="221"/>
      <c r="W55" s="221"/>
      <c r="X55" s="221"/>
      <c r="Y55" s="221"/>
      <c r="Z55" s="221"/>
      <c r="AA55" s="221"/>
      <c r="AB55" s="221"/>
      <c r="AC55" s="221"/>
      <c r="AD55" s="221"/>
      <c r="AE55" s="221"/>
      <c r="AF55" s="221"/>
      <c r="AG55" s="428"/>
      <c r="AH55" s="10"/>
      <c r="AI55" s="10"/>
      <c r="AJ55" s="10"/>
      <c r="AK55" s="10"/>
      <c r="AL55" s="10"/>
      <c r="AM55" s="10"/>
      <c r="AN55" s="10"/>
    </row>
    <row r="56" spans="1:40" ht="15" customHeight="1">
      <c r="A56" s="1466"/>
      <c r="C56" s="385" t="s">
        <v>517</v>
      </c>
      <c r="D56" s="354">
        <f>Assumptions!R20</f>
        <v>0.3</v>
      </c>
      <c r="E56" s="355">
        <f>Assumptions!S20</f>
        <v>0.3</v>
      </c>
      <c r="F56" s="384" t="str">
        <f>Assumptions!U20</f>
        <v>% EBT</v>
      </c>
      <c r="G56" s="221"/>
      <c r="I56" s="221"/>
      <c r="J56" s="221"/>
      <c r="K56" s="221"/>
      <c r="L56" s="221"/>
      <c r="M56" s="221"/>
      <c r="N56" s="221"/>
      <c r="O56" s="221"/>
      <c r="P56" s="221"/>
      <c r="Q56" s="221"/>
      <c r="R56" s="221"/>
      <c r="S56" s="221"/>
      <c r="T56" s="221"/>
      <c r="U56" s="221"/>
      <c r="V56" s="221"/>
      <c r="W56" s="221"/>
      <c r="X56" s="221"/>
      <c r="Y56" s="221"/>
      <c r="Z56" s="221"/>
      <c r="AA56" s="221"/>
      <c r="AB56" s="221"/>
      <c r="AC56" s="221"/>
      <c r="AD56" s="221"/>
      <c r="AE56" s="221"/>
      <c r="AF56" s="221"/>
      <c r="AG56" s="428"/>
      <c r="AH56" s="10"/>
      <c r="AI56" s="10"/>
      <c r="AJ56" s="10"/>
      <c r="AK56" s="10"/>
      <c r="AL56" s="10"/>
      <c r="AM56" s="10"/>
      <c r="AN56" s="10"/>
    </row>
    <row r="57" spans="1:40" ht="15" customHeight="1">
      <c r="A57" s="1466"/>
      <c r="C57" s="363" t="s">
        <v>518</v>
      </c>
      <c r="D57" s="354">
        <f>Assumptions!R21</f>
        <v>0.04</v>
      </c>
      <c r="E57" s="355">
        <f>Assumptions!S21</f>
        <v>0.04</v>
      </c>
      <c r="F57" s="384" t="str">
        <f>Assumptions!U21</f>
        <v>% Debt</v>
      </c>
      <c r="G57" s="221"/>
      <c r="I57" s="221"/>
      <c r="J57" s="221"/>
      <c r="K57" s="221"/>
      <c r="L57" s="221"/>
      <c r="M57" s="221"/>
      <c r="N57" s="221"/>
      <c r="O57" s="221"/>
      <c r="P57" s="221"/>
      <c r="Q57" s="221"/>
      <c r="R57" s="221"/>
      <c r="S57" s="221"/>
      <c r="T57" s="221"/>
      <c r="U57" s="221"/>
      <c r="V57" s="221"/>
      <c r="W57" s="221"/>
      <c r="X57" s="221"/>
      <c r="Y57" s="221"/>
      <c r="Z57" s="221"/>
      <c r="AA57" s="221"/>
      <c r="AB57" s="221"/>
      <c r="AC57" s="221"/>
      <c r="AD57" s="221"/>
      <c r="AE57" s="221"/>
      <c r="AF57" s="221"/>
      <c r="AG57" s="428"/>
      <c r="AH57" s="10"/>
      <c r="AI57" s="10"/>
      <c r="AJ57" s="10"/>
      <c r="AK57" s="10"/>
      <c r="AL57" s="10"/>
      <c r="AM57" s="10"/>
      <c r="AN57" s="10"/>
    </row>
    <row r="58" spans="1:40" ht="15" customHeight="1">
      <c r="A58" s="1466"/>
      <c r="C58" s="385" t="s">
        <v>519</v>
      </c>
      <c r="D58" s="354">
        <f>Assumptions!R22</f>
        <v>8.0000000000000002E-3</v>
      </c>
      <c r="E58" s="355">
        <f>Assumptions!S22</f>
        <v>8.0000000000000002E-3</v>
      </c>
      <c r="F58" s="384" t="str">
        <f>Assumptions!U22</f>
        <v xml:space="preserve">% Cash </v>
      </c>
      <c r="G58" s="221"/>
      <c r="H58" s="221"/>
      <c r="I58" s="222"/>
      <c r="J58" s="241"/>
      <c r="K58" s="241"/>
      <c r="L58" s="241"/>
      <c r="M58" s="241"/>
      <c r="N58" s="241"/>
      <c r="O58" s="221"/>
      <c r="P58" s="221"/>
      <c r="Q58" s="221"/>
      <c r="R58" s="221"/>
      <c r="S58" s="221"/>
      <c r="T58" s="221"/>
      <c r="U58" s="221"/>
      <c r="V58" s="221"/>
      <c r="W58" s="221"/>
      <c r="X58" s="221"/>
      <c r="Y58" s="221"/>
      <c r="Z58" s="221"/>
      <c r="AA58" s="221"/>
      <c r="AB58" s="221"/>
      <c r="AC58" s="221"/>
      <c r="AD58" s="221"/>
      <c r="AE58" s="221"/>
      <c r="AF58" s="221"/>
      <c r="AG58" s="428"/>
      <c r="AH58" s="10"/>
      <c r="AI58" s="10"/>
      <c r="AJ58" s="10"/>
      <c r="AK58" s="10"/>
      <c r="AL58" s="10"/>
      <c r="AM58" s="10"/>
      <c r="AN58" s="10"/>
    </row>
    <row r="59" spans="1:40" ht="15" customHeight="1">
      <c r="A59" s="1466"/>
      <c r="C59" s="363" t="s">
        <v>520</v>
      </c>
      <c r="D59" s="354" t="str">
        <f>Assumptions!R23</f>
        <v>- -</v>
      </c>
      <c r="E59" s="355" t="str">
        <f>Assumptions!S23</f>
        <v>- -</v>
      </c>
      <c r="F59" s="384" t="str">
        <f>Assumptions!U23</f>
        <v>Growing with CAPEX</v>
      </c>
      <c r="G59" s="221"/>
      <c r="H59" s="221"/>
      <c r="I59" s="221"/>
      <c r="J59" s="242"/>
      <c r="K59" s="242"/>
      <c r="L59" s="242"/>
      <c r="M59" s="242"/>
      <c r="N59" s="241"/>
      <c r="O59" s="221"/>
      <c r="P59" s="221"/>
      <c r="Q59" s="221"/>
      <c r="R59" s="221"/>
      <c r="S59" s="221"/>
      <c r="T59" s="221"/>
      <c r="U59" s="221"/>
      <c r="V59" s="221"/>
      <c r="W59" s="221"/>
      <c r="X59" s="221"/>
      <c r="Y59" s="221"/>
      <c r="Z59" s="221"/>
      <c r="AA59" s="221"/>
      <c r="AB59" s="221"/>
      <c r="AC59" s="221"/>
      <c r="AD59" s="221"/>
      <c r="AE59" s="221"/>
      <c r="AF59" s="221"/>
      <c r="AG59" s="428"/>
      <c r="AH59" s="10"/>
      <c r="AI59" s="10"/>
      <c r="AJ59" s="10"/>
      <c r="AK59" s="10"/>
      <c r="AL59" s="10"/>
      <c r="AM59" s="10"/>
      <c r="AN59" s="10"/>
    </row>
    <row r="60" spans="1:40" ht="15" customHeight="1">
      <c r="A60" s="1466"/>
      <c r="C60" s="380" t="s">
        <v>521</v>
      </c>
      <c r="D60" s="354">
        <f>Assumptions!R24</f>
        <v>0.2</v>
      </c>
      <c r="E60" s="355">
        <f>Assumptions!S24</f>
        <v>0.2</v>
      </c>
      <c r="F60" s="384" t="str">
        <f>Assumptions!U24</f>
        <v xml:space="preserve">% Change in Revenues </v>
      </c>
      <c r="G60" s="221"/>
      <c r="H60" s="221"/>
      <c r="I60" s="221"/>
      <c r="J60" s="241"/>
      <c r="K60" s="241"/>
      <c r="L60" s="241"/>
      <c r="M60" s="241"/>
      <c r="N60" s="241"/>
      <c r="O60" s="221"/>
      <c r="P60" s="221"/>
      <c r="Q60" s="221"/>
      <c r="R60" s="221"/>
      <c r="S60" s="221"/>
      <c r="T60" s="221"/>
      <c r="U60" s="221"/>
      <c r="V60" s="221"/>
      <c r="W60" s="221"/>
      <c r="X60" s="221"/>
      <c r="Y60" s="221"/>
      <c r="Z60" s="221"/>
      <c r="AA60" s="221"/>
      <c r="AB60" s="221"/>
      <c r="AC60" s="221"/>
      <c r="AD60" s="221"/>
      <c r="AE60" s="221"/>
      <c r="AF60" s="221"/>
      <c r="AG60" s="428"/>
      <c r="AH60" s="10"/>
      <c r="AI60" s="10"/>
      <c r="AJ60" s="10"/>
      <c r="AK60" s="10"/>
      <c r="AL60" s="10"/>
      <c r="AM60" s="10"/>
      <c r="AN60" s="10"/>
    </row>
    <row r="61" spans="1:40" ht="15" customHeight="1">
      <c r="A61" s="1466"/>
      <c r="C61" s="387" t="s">
        <v>522</v>
      </c>
      <c r="D61" s="354" t="str">
        <f>Assumptions!R25</f>
        <v>- -</v>
      </c>
      <c r="E61" s="355" t="str">
        <f>Assumptions!S25</f>
        <v>- -</v>
      </c>
      <c r="F61" s="384" t="str">
        <f>Assumptions!U25</f>
        <v>Growing with Amortization</v>
      </c>
      <c r="G61" s="221"/>
      <c r="H61" s="221"/>
      <c r="I61" s="221"/>
      <c r="J61" s="221"/>
      <c r="K61" s="221"/>
      <c r="L61" s="221"/>
      <c r="M61" s="221"/>
      <c r="N61" s="221"/>
      <c r="O61" s="221"/>
      <c r="P61" s="221"/>
      <c r="Q61" s="221"/>
      <c r="R61" s="221"/>
      <c r="S61" s="221"/>
      <c r="T61" s="221"/>
      <c r="U61" s="221"/>
      <c r="V61" s="221"/>
      <c r="W61" s="221"/>
      <c r="X61" s="221"/>
      <c r="Y61" s="221"/>
      <c r="Z61" s="221"/>
      <c r="AA61" s="221"/>
      <c r="AB61" s="221"/>
      <c r="AC61" s="221"/>
      <c r="AD61" s="221"/>
      <c r="AE61" s="221"/>
      <c r="AF61" s="221"/>
      <c r="AG61" s="428"/>
      <c r="AH61" s="10"/>
      <c r="AI61" s="10"/>
      <c r="AJ61" s="10"/>
      <c r="AK61" s="10"/>
      <c r="AL61" s="10"/>
      <c r="AM61" s="10"/>
      <c r="AN61" s="10"/>
    </row>
    <row r="62" spans="1:40" ht="15" customHeight="1">
      <c r="A62" s="1466"/>
      <c r="C62" s="387" t="s">
        <v>523</v>
      </c>
      <c r="D62" s="354">
        <f>Assumptions!R26</f>
        <v>-0.04</v>
      </c>
      <c r="E62" s="355">
        <f>Assumptions!S26</f>
        <v>-3.7999999999999999E-2</v>
      </c>
      <c r="F62" s="384" t="str">
        <f>Assumptions!U26</f>
        <v>% Revenue</v>
      </c>
      <c r="G62" s="221"/>
      <c r="H62" s="221"/>
      <c r="I62" s="221"/>
      <c r="J62" s="221"/>
      <c r="K62" s="221"/>
      <c r="L62" s="221"/>
      <c r="M62" s="221"/>
      <c r="N62" s="221"/>
      <c r="O62" s="221"/>
      <c r="P62" s="221"/>
      <c r="Q62" s="221"/>
      <c r="R62" s="221"/>
      <c r="S62" s="221"/>
      <c r="T62" s="221"/>
      <c r="U62" s="221"/>
      <c r="V62" s="221"/>
      <c r="W62" s="221"/>
      <c r="X62" s="221"/>
      <c r="Y62" s="221"/>
      <c r="Z62" s="221"/>
      <c r="AA62" s="221"/>
      <c r="AB62" s="221"/>
      <c r="AC62" s="221"/>
      <c r="AD62" s="221"/>
      <c r="AE62" s="221"/>
      <c r="AF62" s="221"/>
      <c r="AG62" s="428"/>
      <c r="AH62" s="10"/>
      <c r="AI62" s="10"/>
      <c r="AJ62" s="10"/>
      <c r="AK62" s="10"/>
      <c r="AL62" s="10"/>
      <c r="AM62" s="10"/>
      <c r="AN62" s="10"/>
    </row>
    <row r="63" spans="1:40" ht="15" customHeight="1">
      <c r="A63" s="1466"/>
      <c r="C63" s="387" t="s">
        <v>524</v>
      </c>
      <c r="D63" s="354">
        <f>Assumptions!R27</f>
        <v>-0.02</v>
      </c>
      <c r="E63" s="355">
        <f>Assumptions!S27</f>
        <v>-0.01</v>
      </c>
      <c r="F63" s="384" t="str">
        <f>Assumptions!U27</f>
        <v>% Revenue</v>
      </c>
      <c r="G63" s="221"/>
      <c r="H63" s="221"/>
      <c r="I63" s="221"/>
      <c r="J63" s="221"/>
      <c r="K63" s="221"/>
      <c r="L63" s="221"/>
      <c r="M63" s="221"/>
      <c r="N63" s="221"/>
      <c r="O63" s="221"/>
      <c r="P63" s="221"/>
      <c r="Q63" s="221"/>
      <c r="R63" s="221"/>
      <c r="S63" s="221"/>
      <c r="T63" s="221"/>
      <c r="U63" s="221"/>
      <c r="V63" s="221"/>
      <c r="W63" s="221"/>
      <c r="X63" s="221"/>
      <c r="Y63" s="221"/>
      <c r="Z63" s="221"/>
      <c r="AA63" s="221"/>
      <c r="AB63" s="221"/>
      <c r="AC63" s="221"/>
      <c r="AD63" s="221"/>
      <c r="AE63" s="221"/>
      <c r="AF63" s="221"/>
      <c r="AG63" s="428"/>
      <c r="AH63" s="10"/>
      <c r="AI63" s="10"/>
      <c r="AJ63" s="10"/>
      <c r="AK63" s="10"/>
      <c r="AL63" s="10"/>
      <c r="AM63" s="10"/>
      <c r="AN63" s="10"/>
    </row>
    <row r="64" spans="1:40" ht="15" customHeight="1">
      <c r="A64" s="1466"/>
      <c r="C64" s="387" t="s">
        <v>135</v>
      </c>
      <c r="D64" s="354">
        <f>Assumptions!R28</f>
        <v>0.04</v>
      </c>
      <c r="E64" s="355">
        <f>Assumptions!S28</f>
        <v>0.05</v>
      </c>
      <c r="F64" s="384" t="str">
        <f>Assumptions!U28</f>
        <v>% Net Income</v>
      </c>
      <c r="G64" s="221"/>
      <c r="I64" s="221"/>
      <c r="J64" s="221"/>
      <c r="K64" s="221"/>
      <c r="L64" s="221"/>
      <c r="M64" s="221"/>
      <c r="N64" s="221"/>
      <c r="O64" s="221"/>
      <c r="P64" s="221"/>
      <c r="Q64" s="221"/>
      <c r="R64" s="221"/>
      <c r="S64" s="221"/>
      <c r="T64" s="221"/>
      <c r="U64" s="221"/>
      <c r="V64" s="221"/>
      <c r="W64" s="221"/>
      <c r="X64" s="221"/>
      <c r="Y64" s="221"/>
      <c r="Z64" s="221"/>
      <c r="AA64" s="221"/>
      <c r="AB64" s="221"/>
      <c r="AC64" s="221"/>
      <c r="AD64" s="221"/>
      <c r="AE64" s="221"/>
      <c r="AF64" s="221"/>
      <c r="AG64" s="221"/>
    </row>
    <row r="65" spans="1:33" ht="15" customHeight="1">
      <c r="A65" s="1466"/>
      <c r="C65" s="387" t="s">
        <v>525</v>
      </c>
      <c r="D65" s="354">
        <f>Assumptions!R29</f>
        <v>0.04</v>
      </c>
      <c r="E65" s="355">
        <f>Assumptions!S29</f>
        <v>0.06</v>
      </c>
      <c r="F65" s="384" t="str">
        <f>Assumptions!U29</f>
        <v>% Net Income</v>
      </c>
      <c r="G65" s="221"/>
      <c r="I65" s="221"/>
      <c r="J65" s="221"/>
      <c r="K65" s="221"/>
      <c r="L65" s="221"/>
      <c r="M65" s="221"/>
      <c r="N65" s="221"/>
      <c r="O65" s="221"/>
      <c r="P65" s="221"/>
      <c r="Q65" s="221"/>
      <c r="R65" s="221"/>
      <c r="S65" s="221"/>
      <c r="T65" s="221"/>
      <c r="U65" s="221"/>
      <c r="V65" s="221"/>
      <c r="W65" s="221"/>
      <c r="X65" s="221"/>
      <c r="Y65" s="221"/>
      <c r="Z65" s="221"/>
      <c r="AA65" s="221"/>
      <c r="AB65" s="221"/>
      <c r="AC65" s="221"/>
      <c r="AD65" s="221"/>
      <c r="AE65" s="221"/>
      <c r="AF65" s="221"/>
      <c r="AG65" s="221"/>
    </row>
    <row r="66" spans="1:33" ht="15" customHeight="1">
      <c r="A66" s="1466"/>
      <c r="C66" s="387" t="s">
        <v>526</v>
      </c>
      <c r="D66" s="354">
        <f>Assumptions!R30</f>
        <v>-2.5000000000000001E-2</v>
      </c>
      <c r="E66" s="355">
        <f>Assumptions!S30</f>
        <v>-0.02</v>
      </c>
      <c r="F66" s="384" t="str">
        <f>Assumptions!U30</f>
        <v>% Revenue</v>
      </c>
      <c r="G66" s="221"/>
      <c r="I66" s="221"/>
      <c r="J66" s="221"/>
      <c r="K66" s="221"/>
      <c r="L66" s="221"/>
      <c r="M66" s="221"/>
      <c r="N66" s="221"/>
      <c r="O66" s="221"/>
      <c r="P66" s="221"/>
      <c r="Q66" s="221"/>
      <c r="R66" s="221"/>
      <c r="S66" s="221"/>
      <c r="T66" s="221"/>
      <c r="U66" s="221"/>
      <c r="V66" s="221"/>
      <c r="W66" s="221"/>
      <c r="X66" s="221"/>
      <c r="Y66" s="221"/>
      <c r="Z66" s="221"/>
      <c r="AA66" s="221"/>
      <c r="AB66" s="221"/>
      <c r="AC66" s="221"/>
      <c r="AD66" s="221"/>
      <c r="AE66" s="221"/>
      <c r="AF66" s="221"/>
      <c r="AG66" s="221"/>
    </row>
    <row r="67" spans="1:33" ht="15.75" customHeight="1">
      <c r="A67" s="1466"/>
      <c r="C67" s="385" t="s">
        <v>315</v>
      </c>
      <c r="D67" s="559">
        <f>Assumptions!R31</f>
        <v>0</v>
      </c>
      <c r="E67" s="559">
        <f>Assumptions!S31</f>
        <v>0</v>
      </c>
      <c r="F67" s="558" t="str">
        <f>Assumptions!U31</f>
        <v>x EBITDA</v>
      </c>
      <c r="G67" s="221"/>
      <c r="J67" s="221"/>
      <c r="K67" s="221"/>
      <c r="L67" s="221"/>
      <c r="M67" s="221"/>
      <c r="N67" s="221"/>
      <c r="O67" s="221"/>
      <c r="P67" s="221"/>
      <c r="Q67" s="221"/>
      <c r="R67" s="221"/>
      <c r="S67" s="221"/>
      <c r="T67" s="221"/>
      <c r="U67" s="221"/>
      <c r="V67" s="221"/>
      <c r="W67" s="221"/>
      <c r="X67" s="221"/>
      <c r="Y67" s="221"/>
      <c r="Z67" s="221"/>
      <c r="AA67" s="221"/>
      <c r="AB67" s="221"/>
      <c r="AC67" s="221"/>
      <c r="AD67" s="221"/>
      <c r="AE67" s="221"/>
      <c r="AF67" s="221"/>
      <c r="AG67" s="221"/>
    </row>
    <row r="68" spans="1:33" ht="14.45">
      <c r="A68" s="221"/>
      <c r="C68" s="221"/>
      <c r="D68" s="221"/>
      <c r="E68" s="221"/>
      <c r="F68" s="221"/>
      <c r="G68" s="221"/>
      <c r="H68" s="221"/>
      <c r="I68" s="221"/>
      <c r="J68" s="221"/>
      <c r="K68" s="221"/>
      <c r="L68" s="221"/>
      <c r="M68" s="221"/>
      <c r="N68" s="221"/>
      <c r="O68" s="221"/>
      <c r="P68" s="221"/>
      <c r="Q68" s="221"/>
      <c r="R68" s="221"/>
      <c r="S68" s="221"/>
      <c r="T68" s="221"/>
      <c r="U68" s="221"/>
      <c r="V68" s="221"/>
      <c r="W68" s="221"/>
      <c r="X68" s="221"/>
      <c r="Y68" s="221"/>
      <c r="Z68" s="221"/>
      <c r="AA68" s="221"/>
      <c r="AB68" s="221"/>
      <c r="AC68" s="221"/>
      <c r="AD68" s="221"/>
      <c r="AE68" s="221"/>
      <c r="AF68" s="221"/>
      <c r="AG68" s="221"/>
    </row>
    <row r="69" spans="1:33" ht="14.45">
      <c r="A69" s="1443" t="s">
        <v>110</v>
      </c>
      <c r="C69" s="284"/>
      <c r="D69" s="911" t="s">
        <v>527</v>
      </c>
      <c r="E69" s="2"/>
      <c r="G69" s="221"/>
      <c r="H69" s="221"/>
      <c r="I69" s="221"/>
      <c r="J69" s="221"/>
      <c r="K69" s="221"/>
      <c r="L69" s="221"/>
      <c r="M69" s="221"/>
      <c r="N69" s="221"/>
      <c r="O69" s="221"/>
      <c r="P69" s="221"/>
      <c r="Q69" s="221"/>
      <c r="R69" s="221"/>
      <c r="S69" s="221"/>
      <c r="T69" s="221"/>
      <c r="U69" s="221"/>
      <c r="V69" s="221"/>
      <c r="W69" s="221"/>
      <c r="X69" s="221"/>
      <c r="Y69" s="221"/>
      <c r="Z69" s="221"/>
      <c r="AA69" s="221"/>
      <c r="AB69" s="221"/>
      <c r="AC69" s="221"/>
      <c r="AD69" s="221"/>
      <c r="AE69" s="221"/>
      <c r="AF69" s="221"/>
      <c r="AG69" s="221"/>
    </row>
    <row r="70" spans="1:33" ht="14.45">
      <c r="A70" s="1444"/>
      <c r="C70" s="284" t="s">
        <v>528</v>
      </c>
      <c r="D70" s="358">
        <f>SUMPRODUCT(G35:AF35,G45:AF45)+((AF43-AF44)*AF45)</f>
        <v>8679.0890867476992</v>
      </c>
      <c r="E70" s="329">
        <f>D70/D72</f>
        <v>0.72358753704970424</v>
      </c>
      <c r="G70" s="221"/>
      <c r="H70" s="221"/>
      <c r="I70" s="221"/>
      <c r="J70" s="221"/>
      <c r="K70" s="221"/>
      <c r="L70" s="221"/>
      <c r="M70" s="221"/>
      <c r="N70" s="221"/>
      <c r="O70" s="221"/>
      <c r="P70" s="221"/>
      <c r="Q70" s="221"/>
      <c r="R70" s="221"/>
      <c r="S70" s="221"/>
      <c r="T70" s="221"/>
      <c r="U70" s="221"/>
      <c r="V70" s="221"/>
      <c r="W70" s="221"/>
      <c r="X70" s="221"/>
      <c r="Y70" s="221"/>
      <c r="Z70" s="221"/>
      <c r="AA70" s="221"/>
      <c r="AB70" s="221"/>
      <c r="AC70" s="221"/>
      <c r="AD70" s="221"/>
      <c r="AE70" s="221"/>
      <c r="AF70" s="221"/>
      <c r="AG70" s="221"/>
    </row>
    <row r="71" spans="1:33" ht="14.45">
      <c r="A71" s="1444"/>
      <c r="C71" s="284" t="s">
        <v>529</v>
      </c>
      <c r="D71" s="358">
        <f>(AF34/(F50-AF5))*AF45</f>
        <v>3315.4363056258289</v>
      </c>
      <c r="E71" s="329">
        <f>D71/D72</f>
        <v>0.2764124629502957</v>
      </c>
      <c r="G71" s="221"/>
      <c r="H71" s="221"/>
      <c r="I71" s="221"/>
      <c r="J71" s="221"/>
      <c r="K71" s="221"/>
      <c r="L71" s="221"/>
      <c r="M71" s="221"/>
      <c r="N71" s="221"/>
      <c r="O71" s="221"/>
      <c r="P71" s="221"/>
      <c r="Q71" s="221"/>
      <c r="R71" s="221"/>
      <c r="S71" s="221"/>
      <c r="T71" s="221"/>
      <c r="U71" s="221"/>
      <c r="V71" s="221"/>
      <c r="W71" s="221"/>
      <c r="X71" s="221"/>
      <c r="Y71" s="221"/>
      <c r="Z71" s="221"/>
      <c r="AA71" s="221"/>
      <c r="AB71" s="221"/>
      <c r="AC71" s="221"/>
      <c r="AD71" s="221"/>
      <c r="AE71" s="221"/>
      <c r="AF71" s="221"/>
      <c r="AG71" s="221"/>
    </row>
    <row r="72" spans="1:33" ht="14.45">
      <c r="A72" s="1444"/>
      <c r="C72" s="284" t="s">
        <v>530</v>
      </c>
      <c r="D72" s="358">
        <f>D70+D71</f>
        <v>11994.525392373529</v>
      </c>
      <c r="E72" s="2"/>
      <c r="F72" s="979"/>
      <c r="G72" s="221"/>
      <c r="H72" s="221"/>
      <c r="I72" s="221"/>
      <c r="J72" s="221"/>
      <c r="K72" s="221"/>
      <c r="L72" s="221"/>
      <c r="M72" s="221"/>
      <c r="N72" s="221"/>
      <c r="O72" s="221"/>
      <c r="P72" s="221"/>
      <c r="Q72" s="221"/>
      <c r="R72" s="221"/>
      <c r="S72" s="221"/>
      <c r="T72" s="221"/>
      <c r="U72" s="221"/>
      <c r="V72" s="221"/>
      <c r="W72" s="221"/>
      <c r="X72" s="221"/>
      <c r="Y72" s="221"/>
      <c r="Z72" s="221"/>
      <c r="AA72" s="221"/>
      <c r="AB72" s="221"/>
      <c r="AC72" s="221"/>
      <c r="AD72" s="221"/>
      <c r="AE72" s="221"/>
      <c r="AF72" s="221"/>
      <c r="AG72" s="221"/>
    </row>
    <row r="73" spans="1:33" ht="14.45">
      <c r="A73" s="1444"/>
      <c r="C73" s="1101" t="s">
        <v>531</v>
      </c>
      <c r="D73" s="1102">
        <f ca="1">OP!C19</f>
        <v>13435</v>
      </c>
      <c r="E73" s="285"/>
      <c r="G73" s="221"/>
      <c r="H73" s="221"/>
      <c r="I73" s="221"/>
      <c r="J73" s="221"/>
      <c r="K73" s="221"/>
      <c r="L73" s="221"/>
      <c r="M73" s="221"/>
      <c r="N73" s="221"/>
      <c r="O73" s="221"/>
      <c r="P73" s="221"/>
      <c r="Q73" s="221"/>
      <c r="R73" s="221"/>
      <c r="S73" s="221"/>
      <c r="T73" s="221"/>
      <c r="U73" s="221"/>
      <c r="V73" s="221"/>
      <c r="W73" s="221"/>
      <c r="X73" s="221"/>
      <c r="Y73" s="221"/>
      <c r="Z73" s="221"/>
      <c r="AA73" s="221"/>
      <c r="AB73" s="221"/>
      <c r="AC73" s="221"/>
      <c r="AD73" s="221"/>
      <c r="AE73" s="221"/>
      <c r="AF73" s="221"/>
      <c r="AG73" s="221"/>
    </row>
    <row r="74" spans="1:33" ht="14.45">
      <c r="A74" s="1444"/>
      <c r="C74" s="1101" t="s">
        <v>532</v>
      </c>
      <c r="D74" s="359">
        <f ca="1">D75/D73-1</f>
        <v>-0.27082102727505131</v>
      </c>
      <c r="F74" s="979"/>
      <c r="H74" s="221"/>
      <c r="I74" s="221"/>
      <c r="J74" s="221"/>
      <c r="K74" s="221"/>
      <c r="L74" s="221"/>
      <c r="M74" s="221"/>
      <c r="N74" s="221"/>
      <c r="O74" s="221"/>
      <c r="P74" s="221"/>
      <c r="Q74" s="221"/>
      <c r="R74" s="221"/>
      <c r="S74" s="221"/>
      <c r="T74" s="221"/>
      <c r="U74" s="221"/>
      <c r="V74" s="221"/>
      <c r="W74" s="221"/>
      <c r="X74" s="221"/>
      <c r="Y74" s="221"/>
      <c r="Z74" s="221"/>
      <c r="AA74" s="221"/>
      <c r="AB74" s="221"/>
      <c r="AC74" s="221"/>
      <c r="AD74" s="221"/>
      <c r="AE74" s="221"/>
      <c r="AF74" s="221"/>
      <c r="AG74" s="221"/>
    </row>
    <row r="75" spans="1:33" ht="14.45">
      <c r="A75" s="1445"/>
      <c r="C75" s="360" t="s">
        <v>533</v>
      </c>
      <c r="D75" s="361">
        <f ca="1">D72*100000000/OP!C20</f>
        <v>9796.5194985596863</v>
      </c>
    </row>
    <row r="76" spans="1:33" ht="14.45">
      <c r="A76" s="347"/>
      <c r="C76" s="285"/>
      <c r="D76" s="1103"/>
    </row>
    <row r="77" spans="1:33" ht="14.45">
      <c r="A77" s="1439" t="s">
        <v>534</v>
      </c>
      <c r="C77" s="379" t="s">
        <v>535</v>
      </c>
      <c r="D77" s="1102">
        <f ca="1">(SUMPRODUCT(G35:AF35,G45:AF45)+((AF43-AF44)*AF45)+(AF34/(F50+0.001-AF5))*AF45)*1000000/OP!C20</f>
        <v>97.580954018482785</v>
      </c>
      <c r="E77" s="362">
        <f ca="1">D77/D75-1</f>
        <v>-0.99003922219183771</v>
      </c>
    </row>
    <row r="78" spans="1:33" ht="14.45">
      <c r="A78" s="1440"/>
      <c r="C78" s="379" t="s">
        <v>536</v>
      </c>
      <c r="D78" s="1102">
        <f ca="1">(SUMPRODUCT(G35:AF35,G45:AF45)+((AF43-AF44)*AF45)+(AF34/(F50+0.005-AF5))*AF45)*1000000/OP!C20</f>
        <v>96.147178810100925</v>
      </c>
      <c r="E78" s="362">
        <f ca="1">D78/D75-1</f>
        <v>-0.99018557776318039</v>
      </c>
    </row>
    <row r="79" spans="1:33" ht="14.45">
      <c r="A79" s="377"/>
      <c r="C79" s="378"/>
      <c r="D79" s="1103"/>
      <c r="E79" s="362"/>
    </row>
    <row r="80" spans="1:33" ht="14.45">
      <c r="A80" s="580" t="s">
        <v>537</v>
      </c>
      <c r="C80" s="560" t="s">
        <v>538</v>
      </c>
      <c r="D80" s="361">
        <f ca="1">D75/1.15</f>
        <v>8518.7126074432053</v>
      </c>
      <c r="J80" s="5"/>
    </row>
    <row r="81" spans="7:12">
      <c r="G81" s="1"/>
      <c r="H81" s="1"/>
      <c r="I81" s="1"/>
      <c r="J81" s="4"/>
    </row>
    <row r="82" spans="7:12">
      <c r="G82" s="1"/>
      <c r="H82" s="1"/>
      <c r="I82" s="1"/>
      <c r="J82" s="4"/>
    </row>
    <row r="83" spans="7:12">
      <c r="G83" s="1"/>
      <c r="H83" s="1"/>
      <c r="I83" s="1"/>
      <c r="K83" s="4"/>
    </row>
    <row r="84" spans="7:12">
      <c r="L84" s="5"/>
    </row>
    <row r="85" spans="7:12">
      <c r="G85" s="1"/>
      <c r="H85" s="1"/>
      <c r="I85" s="1"/>
    </row>
    <row r="86" spans="7:12">
      <c r="G86" s="1"/>
      <c r="H86" s="1"/>
      <c r="I86" s="1"/>
    </row>
    <row r="87" spans="7:12">
      <c r="G87" s="1"/>
      <c r="H87" s="1"/>
      <c r="I87" s="1"/>
    </row>
  </sheetData>
  <mergeCells count="15">
    <mergeCell ref="A33:AF33"/>
    <mergeCell ref="A77:A78"/>
    <mergeCell ref="A1:AF2"/>
    <mergeCell ref="A69:A75"/>
    <mergeCell ref="A5:A17"/>
    <mergeCell ref="A19:A32"/>
    <mergeCell ref="A43:A47"/>
    <mergeCell ref="G3:J3"/>
    <mergeCell ref="K3:AF3"/>
    <mergeCell ref="A42:AF42"/>
    <mergeCell ref="A48:AF48"/>
    <mergeCell ref="A34:A36"/>
    <mergeCell ref="A38:A41"/>
    <mergeCell ref="A49:A50"/>
    <mergeCell ref="A52:A67"/>
  </mergeCells>
  <phoneticPr fontId="0" type="noConversion"/>
  <conditionalFormatting sqref="D74">
    <cfRule type="cellIs" dxfId="1" priority="1" operator="lessThan">
      <formula>0</formula>
    </cfRule>
    <cfRule type="cellIs" dxfId="0" priority="2" operator="greaterThan">
      <formula>0%</formula>
    </cfRule>
  </conditionalFormatting>
  <pageMargins left="0.75" right="0.75" top="1" bottom="1" header="0" footer="0"/>
  <pageSetup orientation="portrait"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4465F-F60F-4DA4-8EB4-9D275D264FB2}">
  <dimension ref="A2:BD1002"/>
  <sheetViews>
    <sheetView showGridLines="0" tabSelected="1" topLeftCell="A21" zoomScale="70" zoomScaleNormal="70" workbookViewId="0">
      <selection activeCell="D21" sqref="D21"/>
    </sheetView>
  </sheetViews>
  <sheetFormatPr defaultColWidth="9" defaultRowHeight="12.75" customHeight="1"/>
  <cols>
    <col min="1" max="1" width="9" style="527"/>
    <col min="2" max="2" width="27.5703125" style="527" customWidth="1"/>
    <col min="3" max="3" width="25.5703125" style="527" customWidth="1"/>
    <col min="4" max="4" width="13.42578125" style="527" customWidth="1"/>
    <col min="5" max="5" width="13" style="527" customWidth="1"/>
    <col min="6" max="7" width="14" style="527" customWidth="1"/>
    <col min="8" max="8" width="16.42578125" style="633" customWidth="1"/>
    <col min="9" max="12" width="14" style="527" customWidth="1"/>
    <col min="13" max="15" width="11.42578125" style="527" bestFit="1" customWidth="1"/>
    <col min="16" max="16" width="11.5703125" style="527" bestFit="1" customWidth="1"/>
    <col min="17" max="17" width="11.42578125" style="527" bestFit="1" customWidth="1"/>
    <col min="18" max="18" width="18.42578125" style="527" bestFit="1" customWidth="1"/>
    <col min="19" max="19" width="18.140625" style="527" bestFit="1" customWidth="1"/>
    <col min="20" max="25" width="12.42578125" style="527" bestFit="1" customWidth="1"/>
    <col min="26" max="26" width="27.42578125" style="527" bestFit="1" customWidth="1"/>
    <col min="27" max="33" width="12.42578125" style="527" bestFit="1" customWidth="1"/>
    <col min="34" max="34" width="9.85546875" style="527" bestFit="1" customWidth="1"/>
    <col min="35" max="40" width="9" style="527"/>
    <col min="41" max="41" width="10.5703125" style="527" bestFit="1" customWidth="1"/>
    <col min="42" max="47" width="9" style="527"/>
    <col min="48" max="48" width="23.5703125" style="527" customWidth="1"/>
    <col min="49" max="52" width="9" style="527"/>
    <col min="53" max="53" width="10" style="527" customWidth="1"/>
    <col min="54" max="16384" width="9" style="527"/>
  </cols>
  <sheetData>
    <row r="2" spans="1:39" s="526" customFormat="1" ht="15" customHeight="1">
      <c r="A2" s="523"/>
      <c r="B2" s="524" t="s">
        <v>539</v>
      </c>
      <c r="C2" s="524"/>
      <c r="D2" s="523"/>
      <c r="E2" s="523"/>
      <c r="F2" s="523"/>
      <c r="G2" s="523"/>
      <c r="H2" s="523"/>
      <c r="I2" s="523"/>
      <c r="J2" s="523"/>
      <c r="K2" s="523"/>
      <c r="L2" s="523"/>
      <c r="M2" s="523"/>
      <c r="N2" s="523"/>
      <c r="O2" s="523"/>
      <c r="P2" s="523"/>
      <c r="Q2" s="523"/>
      <c r="R2" s="523"/>
      <c r="S2" s="523"/>
      <c r="T2" s="523"/>
      <c r="U2" s="523"/>
      <c r="V2" s="523"/>
      <c r="W2" s="523"/>
      <c r="X2" s="523"/>
      <c r="Y2" s="523"/>
      <c r="Z2" s="523"/>
      <c r="AA2" s="523"/>
      <c r="AB2" s="523"/>
      <c r="AC2" s="523"/>
      <c r="AD2" s="523"/>
      <c r="AE2" s="523"/>
      <c r="AF2" s="523"/>
      <c r="AG2" s="523"/>
    </row>
    <row r="3" spans="1:39" ht="12.6" customHeight="1"/>
    <row r="4" spans="1:39" ht="20.100000000000001" customHeight="1">
      <c r="B4" s="527" t="s">
        <v>540</v>
      </c>
      <c r="C4" s="528"/>
      <c r="D4" s="528"/>
      <c r="E4" s="528"/>
      <c r="H4" s="527"/>
      <c r="J4" s="528"/>
      <c r="K4" s="528"/>
      <c r="L4" s="528"/>
      <c r="X4" s="633"/>
      <c r="Y4" s="633"/>
      <c r="Z4" s="633"/>
      <c r="AA4" s="633"/>
      <c r="AB4" s="633"/>
      <c r="AC4" s="633"/>
      <c r="AD4" s="633"/>
      <c r="AE4" s="633"/>
      <c r="AF4" s="633"/>
      <c r="AG4" s="633"/>
      <c r="AH4" s="633"/>
      <c r="AI4" s="633"/>
      <c r="AJ4" s="633"/>
      <c r="AK4" s="633"/>
      <c r="AL4" s="633"/>
    </row>
    <row r="5" spans="1:39" ht="12.6">
      <c r="B5" s="529"/>
      <c r="C5" s="529"/>
      <c r="F5" s="530"/>
      <c r="G5" s="530"/>
      <c r="H5" s="635"/>
      <c r="I5" s="530"/>
      <c r="J5" s="530"/>
      <c r="K5" s="530"/>
      <c r="L5" s="530"/>
      <c r="Y5" s="633"/>
      <c r="Z5" s="633"/>
      <c r="AA5" s="633"/>
      <c r="AB5" s="633"/>
      <c r="AC5" s="633"/>
      <c r="AD5" s="633"/>
      <c r="AE5" s="633"/>
      <c r="AF5" s="633"/>
      <c r="AG5" s="633"/>
      <c r="AH5" s="633"/>
      <c r="AI5" s="633"/>
      <c r="AJ5" s="633"/>
      <c r="AK5" s="633"/>
      <c r="AL5" s="633"/>
    </row>
    <row r="6" spans="1:39" ht="12.6">
      <c r="B6" s="527" t="s">
        <v>541</v>
      </c>
      <c r="X6" s="633"/>
      <c r="Y6" s="633"/>
      <c r="Z6" s="633"/>
      <c r="AA6" s="633"/>
      <c r="AB6" s="633"/>
      <c r="AC6" s="633"/>
      <c r="AD6" s="633"/>
      <c r="AE6" s="633"/>
      <c r="AF6" s="633"/>
      <c r="AG6" s="633"/>
      <c r="AH6" s="633"/>
      <c r="AI6" s="633"/>
      <c r="AJ6" s="633"/>
      <c r="AK6" s="633"/>
      <c r="AL6" s="633"/>
    </row>
    <row r="7" spans="1:39" ht="12.75" customHeight="1">
      <c r="W7" s="633"/>
      <c r="X7" s="633"/>
      <c r="Y7" s="633"/>
      <c r="Z7" s="633"/>
      <c r="AA7" s="633"/>
      <c r="AB7" s="633"/>
      <c r="AC7" s="633"/>
      <c r="AD7" s="633"/>
      <c r="AE7" s="633"/>
      <c r="AF7" s="633"/>
      <c r="AG7" s="633"/>
      <c r="AH7" s="633"/>
      <c r="AI7" s="633"/>
      <c r="AJ7" s="633"/>
      <c r="AK7" s="633"/>
      <c r="AL7" s="633"/>
    </row>
    <row r="8" spans="1:39" ht="12.95">
      <c r="B8" s="528"/>
      <c r="C8" s="528"/>
      <c r="D8" s="543">
        <v>2023</v>
      </c>
      <c r="E8" s="543">
        <f>D8-1</f>
        <v>2022</v>
      </c>
      <c r="F8" s="543">
        <f t="shared" ref="F8" si="0">E8-1</f>
        <v>2021</v>
      </c>
      <c r="G8" s="543">
        <f t="shared" ref="G8" si="1">F8-1</f>
        <v>2020</v>
      </c>
      <c r="H8" s="543">
        <f>G8-1</f>
        <v>2019</v>
      </c>
      <c r="I8" s="543">
        <f>H8-1</f>
        <v>2018</v>
      </c>
      <c r="J8" s="543">
        <f t="shared" ref="J8:L8" si="2">I8-1</f>
        <v>2017</v>
      </c>
      <c r="K8" s="543">
        <f t="shared" si="2"/>
        <v>2016</v>
      </c>
      <c r="L8" s="543">
        <f t="shared" si="2"/>
        <v>2015</v>
      </c>
      <c r="N8" s="543" t="s">
        <v>542</v>
      </c>
      <c r="O8" s="543" t="s">
        <v>543</v>
      </c>
      <c r="P8" s="543" t="s">
        <v>544</v>
      </c>
      <c r="R8" s="538" t="s">
        <v>545</v>
      </c>
      <c r="S8" s="538" t="s">
        <v>546</v>
      </c>
      <c r="X8" s="633"/>
      <c r="Y8" s="633"/>
      <c r="Z8" s="633"/>
      <c r="AA8" s="633"/>
      <c r="AB8" s="633"/>
      <c r="AC8" s="633"/>
      <c r="AD8" s="633"/>
      <c r="AE8" s="633"/>
      <c r="AF8" s="633"/>
      <c r="AG8" s="633"/>
      <c r="AH8" s="633"/>
      <c r="AI8" s="633"/>
      <c r="AJ8" s="633"/>
      <c r="AK8" s="633"/>
      <c r="AL8" s="633"/>
    </row>
    <row r="9" spans="1:39" ht="12.95">
      <c r="B9" s="542" t="s">
        <v>547</v>
      </c>
      <c r="C9" s="542"/>
      <c r="D9" s="271">
        <f>(Inputs!B6-Inputs!C6)/Inputs!C6</f>
        <v>9.078267779102106E-2</v>
      </c>
      <c r="E9" s="271">
        <f>(Inputs!C6-Inputs!D6)/Inputs!D6</f>
        <v>8.8220670572213056E-2</v>
      </c>
      <c r="F9" s="271">
        <f>(Inputs!D6-Inputs!E6)/Inputs!E6</f>
        <v>0.30882186509732895</v>
      </c>
      <c r="G9" s="271">
        <f>(Inputs!E6-Inputs!F6)/Inputs!F6</f>
        <v>-0.17153438657353143</v>
      </c>
      <c r="H9" s="271">
        <f>(Inputs!F6-Inputs!G6)/Inputs!G6</f>
        <v>2.370782742237371E-2</v>
      </c>
      <c r="I9" s="271">
        <f>(Inputs!G6-Inputs!H6)/Inputs!H6</f>
        <v>2.7592158796695757E-2</v>
      </c>
      <c r="J9" s="271">
        <f>(Inputs!H6-Inputs!I6)/Inputs!I6</f>
        <v>-1.0201840236253186E-2</v>
      </c>
      <c r="K9" s="271">
        <f>(Inputs!I6-Inputs!J6)/Inputs!J6</f>
        <v>-1.9057195527783635E-2</v>
      </c>
      <c r="L9" s="271">
        <f>(Inputs!J6-Inputs!K6)/Inputs!K6</f>
        <v>4.4277213860692895E-2</v>
      </c>
      <c r="N9" s="530">
        <f>AVERAGE(D9:L9)</f>
        <v>4.2512110133639681E-2</v>
      </c>
      <c r="O9" s="532">
        <f>AVERAGE(D9:H9)</f>
        <v>6.7999730861881075E-2</v>
      </c>
      <c r="P9" s="532">
        <f>AVERAGE(D9:F9)</f>
        <v>0.16260840448685435</v>
      </c>
      <c r="R9" s="644">
        <v>5.74E-2</v>
      </c>
      <c r="S9" s="644">
        <v>0.03</v>
      </c>
      <c r="X9" s="633"/>
      <c r="Y9" s="633"/>
      <c r="Z9" s="633"/>
      <c r="AA9" s="633"/>
      <c r="AB9" s="633"/>
      <c r="AC9" s="633"/>
      <c r="AD9" s="633"/>
      <c r="AE9" s="633"/>
      <c r="AF9" s="633"/>
      <c r="AG9" s="633"/>
      <c r="AH9" s="633"/>
      <c r="AI9" s="633"/>
      <c r="AJ9" s="633"/>
      <c r="AK9" s="633"/>
      <c r="AL9" s="633"/>
    </row>
    <row r="10" spans="1:39" ht="12.75" customHeight="1">
      <c r="B10" s="542" t="s">
        <v>125</v>
      </c>
      <c r="C10" s="542"/>
      <c r="D10" s="271">
        <f>Inputs!B8/Inputs!B6</f>
        <v>0.17767255509014751</v>
      </c>
      <c r="E10" s="271">
        <f>Inputs!C8/Inputs!C6</f>
        <v>0.19026618990862137</v>
      </c>
      <c r="F10" s="271">
        <f>Inputs!D8/Inputs!D6</f>
        <v>0.19518363994033594</v>
      </c>
      <c r="G10" s="271">
        <f>Inputs!E8/Inputs!E6</f>
        <v>0.12613173381620643</v>
      </c>
      <c r="H10" s="271">
        <f>Inputs!F8/Inputs!F6</f>
        <v>0.20050630537715064</v>
      </c>
      <c r="I10" s="271">
        <f>Inputs!G8/Inputs!G6</f>
        <v>0.20149253731343286</v>
      </c>
      <c r="J10" s="271">
        <f>Inputs!H8/Inputs!H6</f>
        <v>0.18764640611515226</v>
      </c>
      <c r="K10" s="271">
        <f>Inputs!I8/Inputs!I6</f>
        <v>0.20198667415127033</v>
      </c>
      <c r="L10" s="271">
        <f>Inputs!J8/Inputs!J6</f>
        <v>0.20895879719409136</v>
      </c>
      <c r="N10" s="530">
        <f>AVERAGE(D10:L10)</f>
        <v>0.18776053765626763</v>
      </c>
      <c r="O10" s="532">
        <f>AVERAGE(D10:H10)</f>
        <v>0.17795208482649238</v>
      </c>
      <c r="P10" s="532">
        <f>AVERAGE(D10:F10)</f>
        <v>0.18770746164636828</v>
      </c>
      <c r="R10" s="539"/>
      <c r="S10" s="539"/>
      <c r="X10" s="633"/>
      <c r="Y10" s="633"/>
      <c r="Z10" s="633"/>
      <c r="AA10" s="633"/>
      <c r="AB10" s="633"/>
      <c r="AC10" s="633"/>
      <c r="AD10" s="633"/>
      <c r="AE10" s="633"/>
      <c r="AF10" s="633"/>
      <c r="AG10" s="633"/>
      <c r="AH10" s="633"/>
      <c r="AI10" s="633"/>
      <c r="AJ10" s="633"/>
      <c r="AK10" s="633"/>
      <c r="AL10" s="633"/>
    </row>
    <row r="11" spans="1:39" ht="12.75" customHeight="1">
      <c r="AB11" s="633"/>
      <c r="AC11" s="633"/>
      <c r="AD11" s="633"/>
      <c r="AE11" s="633"/>
      <c r="AF11" s="633"/>
      <c r="AG11" s="633"/>
      <c r="AH11" s="633"/>
      <c r="AI11" s="633"/>
      <c r="AJ11" s="633"/>
      <c r="AK11" s="633"/>
      <c r="AL11" s="633"/>
    </row>
    <row r="12" spans="1:39" ht="12.75" customHeight="1">
      <c r="AB12" s="633"/>
      <c r="AC12" s="633"/>
      <c r="AD12" s="633"/>
      <c r="AE12" s="633"/>
      <c r="AF12" s="633"/>
      <c r="AG12" s="633"/>
      <c r="AH12" s="633"/>
      <c r="AI12" s="633"/>
      <c r="AJ12" s="633"/>
      <c r="AK12" s="633"/>
      <c r="AL12" s="633"/>
    </row>
    <row r="13" spans="1:39" s="526" customFormat="1" ht="14.1">
      <c r="A13" s="523"/>
      <c r="B13" s="525" t="s">
        <v>548</v>
      </c>
      <c r="C13" s="525"/>
      <c r="D13" s="523"/>
      <c r="E13" s="523"/>
      <c r="F13" s="523"/>
      <c r="G13" s="523"/>
      <c r="H13" s="523"/>
      <c r="I13" s="523"/>
      <c r="J13" s="523"/>
      <c r="K13" s="523"/>
      <c r="L13" s="523"/>
      <c r="M13" s="523"/>
      <c r="N13" s="523"/>
      <c r="O13" s="523"/>
      <c r="P13" s="523"/>
      <c r="Q13" s="523"/>
      <c r="R13" s="523"/>
      <c r="S13" s="523"/>
      <c r="T13" s="523"/>
      <c r="U13" s="523"/>
      <c r="V13" s="523"/>
      <c r="W13" s="523"/>
      <c r="X13" s="523"/>
      <c r="Y13" s="523"/>
      <c r="Z13" s="523"/>
      <c r="AA13" s="523"/>
      <c r="AB13" s="523"/>
      <c r="AC13" s="523"/>
      <c r="AD13" s="523"/>
      <c r="AE13" s="523"/>
      <c r="AF13" s="523"/>
      <c r="AG13" s="523"/>
      <c r="AH13" s="634"/>
      <c r="AI13" s="634"/>
      <c r="AJ13" s="634"/>
      <c r="AK13" s="634"/>
      <c r="AL13" s="634"/>
      <c r="AM13" s="634"/>
    </row>
    <row r="14" spans="1:39" ht="14.1">
      <c r="A14" s="540"/>
      <c r="B14" s="541"/>
      <c r="C14" s="541"/>
      <c r="D14" s="540"/>
      <c r="E14" s="540"/>
      <c r="F14" s="540"/>
      <c r="G14" s="540"/>
      <c r="H14" s="540"/>
      <c r="I14" s="540"/>
      <c r="J14" s="540"/>
      <c r="K14" s="540"/>
      <c r="L14" s="540"/>
      <c r="M14" s="540"/>
      <c r="N14" s="540"/>
      <c r="O14" s="540"/>
      <c r="P14" s="540"/>
      <c r="Q14" s="540"/>
      <c r="R14" s="540"/>
      <c r="S14" s="540"/>
      <c r="T14" s="540"/>
      <c r="U14" s="540"/>
      <c r="V14" s="540"/>
      <c r="W14" s="540"/>
      <c r="X14" s="540"/>
      <c r="Y14" s="540"/>
      <c r="Z14" s="540"/>
      <c r="AA14" s="540"/>
      <c r="AB14" s="540"/>
      <c r="AC14" s="540"/>
      <c r="AD14" s="540"/>
      <c r="AE14" s="540"/>
      <c r="AF14" s="540"/>
      <c r="AG14" s="540"/>
      <c r="AI14" s="633"/>
    </row>
    <row r="15" spans="1:39" ht="14.45">
      <c r="C15" s="531"/>
      <c r="D15" s="1487" t="s">
        <v>549</v>
      </c>
      <c r="E15" s="1487"/>
      <c r="F15" s="1487"/>
      <c r="G15" s="1487"/>
      <c r="H15" s="1487"/>
      <c r="I15" s="1487"/>
      <c r="J15" s="1487"/>
      <c r="K15" s="1487"/>
      <c r="L15" s="1487"/>
      <c r="Z15" s="676" t="s">
        <v>550</v>
      </c>
      <c r="AA15" s="677">
        <v>2023</v>
      </c>
      <c r="AB15" s="677">
        <f>AA15-1</f>
        <v>2022</v>
      </c>
      <c r="AC15" s="677">
        <f t="shared" ref="AC15:AI15" si="3">AB15-1</f>
        <v>2021</v>
      </c>
      <c r="AD15" s="677">
        <f t="shared" si="3"/>
        <v>2020</v>
      </c>
      <c r="AE15" s="677">
        <f t="shared" si="3"/>
        <v>2019</v>
      </c>
      <c r="AF15" s="677">
        <f t="shared" si="3"/>
        <v>2018</v>
      </c>
      <c r="AG15" s="677">
        <f t="shared" si="3"/>
        <v>2017</v>
      </c>
      <c r="AH15" s="677">
        <f t="shared" si="3"/>
        <v>2016</v>
      </c>
      <c r="AI15" s="677">
        <f t="shared" si="3"/>
        <v>2015</v>
      </c>
      <c r="AJ15" s="677">
        <f>AI15-1</f>
        <v>2014</v>
      </c>
      <c r="AK15" s="677">
        <f>AJ15-1</f>
        <v>2013</v>
      </c>
    </row>
    <row r="16" spans="1:39" ht="14.45">
      <c r="B16" s="531"/>
      <c r="D16" s="537">
        <f>D8</f>
        <v>2023</v>
      </c>
      <c r="E16" s="537">
        <f>E8</f>
        <v>2022</v>
      </c>
      <c r="F16" s="537">
        <f>F8</f>
        <v>2021</v>
      </c>
      <c r="G16" s="537">
        <f t="shared" ref="G16" si="4">G8</f>
        <v>2020</v>
      </c>
      <c r="H16" s="537">
        <f>H8</f>
        <v>2019</v>
      </c>
      <c r="I16" s="537">
        <f>I8</f>
        <v>2018</v>
      </c>
      <c r="J16" s="537">
        <f>J8</f>
        <v>2017</v>
      </c>
      <c r="K16" s="537">
        <f>K8</f>
        <v>2016</v>
      </c>
      <c r="L16" s="537">
        <f>L8</f>
        <v>2015</v>
      </c>
      <c r="M16" s="537"/>
      <c r="N16" s="537" t="str">
        <f>N8</f>
        <v xml:space="preserve">9Y Average </v>
      </c>
      <c r="O16" s="537" t="str">
        <f>O8</f>
        <v xml:space="preserve">5Y Average </v>
      </c>
      <c r="P16" s="537" t="str">
        <f>P8</f>
        <v xml:space="preserve">3Y Average </v>
      </c>
      <c r="R16" s="538" t="s">
        <v>545</v>
      </c>
      <c r="S16" s="538" t="s">
        <v>546</v>
      </c>
      <c r="U16" s="557" t="s">
        <v>551</v>
      </c>
      <c r="Z16" s="678" t="s">
        <v>552</v>
      </c>
      <c r="AA16" s="728">
        <v>212.6</v>
      </c>
      <c r="AB16" s="729">
        <v>208.1</v>
      </c>
      <c r="AC16" s="729">
        <v>217.5</v>
      </c>
      <c r="AD16" s="729">
        <v>255.2</v>
      </c>
      <c r="AE16" s="729">
        <v>259.5</v>
      </c>
      <c r="AF16" s="729">
        <v>120.1</v>
      </c>
      <c r="AG16" s="729">
        <v>118.6</v>
      </c>
      <c r="AH16" s="729">
        <v>114.3</v>
      </c>
      <c r="AI16" s="729">
        <v>112.6</v>
      </c>
      <c r="AJ16" s="729">
        <v>112.6</v>
      </c>
      <c r="AK16" s="729">
        <v>112.6</v>
      </c>
    </row>
    <row r="17" spans="1:37" ht="14.45">
      <c r="B17" s="665" t="s">
        <v>514</v>
      </c>
      <c r="C17" s="666"/>
      <c r="D17" s="666">
        <f t="shared" ref="D17:L17" si="5">AA16/AA19</f>
        <v>0.14949722241755151</v>
      </c>
      <c r="E17" s="666">
        <f t="shared" si="5"/>
        <v>0.15924395469850017</v>
      </c>
      <c r="F17" s="666">
        <f t="shared" si="5"/>
        <v>0.17537493952588293</v>
      </c>
      <c r="G17" s="666">
        <f t="shared" si="5"/>
        <v>0.21357435768683569</v>
      </c>
      <c r="H17" s="666">
        <f t="shared" si="5"/>
        <v>0.1813163778647289</v>
      </c>
      <c r="I17" s="666">
        <f t="shared" si="5"/>
        <v>0.21260400070808994</v>
      </c>
      <c r="J17" s="666">
        <f t="shared" si="5"/>
        <v>0.21220254070495617</v>
      </c>
      <c r="K17" s="666">
        <f t="shared" si="5"/>
        <v>0.19754580020739715</v>
      </c>
      <c r="L17" s="666">
        <f t="shared" si="5"/>
        <v>0.2099179716629381</v>
      </c>
      <c r="M17" s="672"/>
      <c r="N17" s="666">
        <f t="shared" ref="N17:N30" si="6">AVERAGE(D17:L17)</f>
        <v>0.19014190727520894</v>
      </c>
      <c r="O17" s="690">
        <f t="shared" ref="O17:O30" si="7">AVERAGE(D17:H17)</f>
        <v>0.17580137043869981</v>
      </c>
      <c r="P17" s="673">
        <f t="shared" ref="P17:P30" si="8">AVERAGE(D17:F17)</f>
        <v>0.16137203888064486</v>
      </c>
      <c r="R17" s="928">
        <v>-0.14499999999999999</v>
      </c>
      <c r="S17" s="928">
        <v>-0.14000000000000001</v>
      </c>
      <c r="U17" s="556" t="s">
        <v>553</v>
      </c>
      <c r="Z17" s="679" t="s">
        <v>554</v>
      </c>
      <c r="AA17" s="725">
        <v>36.299999999999997</v>
      </c>
      <c r="AB17" s="726">
        <v>12.2</v>
      </c>
      <c r="AC17" s="726">
        <v>3.9</v>
      </c>
      <c r="AD17" s="726">
        <v>0.4</v>
      </c>
      <c r="AE17" s="726">
        <v>0</v>
      </c>
      <c r="AF17" s="726">
        <v>0.3</v>
      </c>
      <c r="AG17" s="726">
        <v>0.4</v>
      </c>
      <c r="AH17" s="726">
        <v>0.4</v>
      </c>
      <c r="AI17" s="726">
        <v>0.3</v>
      </c>
      <c r="AJ17" s="726">
        <v>0.3</v>
      </c>
      <c r="AK17" s="726">
        <v>0.3</v>
      </c>
    </row>
    <row r="18" spans="1:37" ht="14.45">
      <c r="B18" s="667" t="s">
        <v>515</v>
      </c>
      <c r="C18" s="668"/>
      <c r="D18" s="668">
        <f t="shared" ref="D18:L18" si="9">AA17/AA18</f>
        <v>4.4528949950932283E-2</v>
      </c>
      <c r="E18" s="668">
        <f t="shared" si="9"/>
        <v>7.6633165829145727E-2</v>
      </c>
      <c r="F18" s="668">
        <f t="shared" si="9"/>
        <v>4.3721973094170398E-2</v>
      </c>
      <c r="G18" s="668">
        <f t="shared" si="9"/>
        <v>6.0150375939849628E-3</v>
      </c>
      <c r="H18" s="668">
        <f t="shared" si="9"/>
        <v>0</v>
      </c>
      <c r="I18" s="668">
        <f t="shared" si="9"/>
        <v>6.2240663900414933E-3</v>
      </c>
      <c r="J18" s="668">
        <f t="shared" si="9"/>
        <v>8.2987551867219917E-3</v>
      </c>
      <c r="K18" s="668">
        <f t="shared" si="9"/>
        <v>8.2987551867219917E-3</v>
      </c>
      <c r="L18" s="668">
        <f t="shared" si="9"/>
        <v>5.9760956175298795E-3</v>
      </c>
      <c r="M18" s="674"/>
      <c r="N18" s="668">
        <f t="shared" si="6"/>
        <v>2.218853320547208E-2</v>
      </c>
      <c r="O18" s="675">
        <f t="shared" si="7"/>
        <v>3.4179825293646673E-2</v>
      </c>
      <c r="P18" s="689">
        <f t="shared" si="8"/>
        <v>5.49613629580828E-2</v>
      </c>
      <c r="R18" s="928">
        <v>-0.05</v>
      </c>
      <c r="S18" s="928">
        <v>-0.04</v>
      </c>
      <c r="U18" s="556" t="s">
        <v>555</v>
      </c>
      <c r="Z18" s="681" t="s">
        <v>556</v>
      </c>
      <c r="AA18" s="727">
        <v>815.2</v>
      </c>
      <c r="AB18" s="727">
        <v>159.19999999999999</v>
      </c>
      <c r="AC18" s="727">
        <v>89.2</v>
      </c>
      <c r="AD18" s="727">
        <v>66.5</v>
      </c>
      <c r="AE18" s="727">
        <v>49.8</v>
      </c>
      <c r="AF18" s="727">
        <v>48.2</v>
      </c>
      <c r="AG18" s="727">
        <v>48.2</v>
      </c>
      <c r="AH18" s="727">
        <v>48.2</v>
      </c>
      <c r="AI18" s="727">
        <v>50.2</v>
      </c>
      <c r="AJ18" s="727">
        <v>50.2</v>
      </c>
      <c r="AK18" s="727">
        <v>50.2</v>
      </c>
    </row>
    <row r="19" spans="1:37" ht="14.45">
      <c r="B19" s="665" t="s">
        <v>516</v>
      </c>
      <c r="C19" s="666"/>
      <c r="D19" s="666">
        <f>AA20/Inputs!B6</f>
        <v>0</v>
      </c>
      <c r="E19" s="666">
        <f>AB20/Inputs!C6</f>
        <v>0</v>
      </c>
      <c r="F19" s="666">
        <f>AC20/Inputs!D6</f>
        <v>0</v>
      </c>
      <c r="G19" s="666">
        <f>AD20/Inputs!E6</f>
        <v>0</v>
      </c>
      <c r="H19" s="666">
        <f>AE20/Inputs!F6</f>
        <v>0</v>
      </c>
      <c r="I19" s="666">
        <f>AF20/Inputs!G6</f>
        <v>0</v>
      </c>
      <c r="J19" s="666">
        <f>AG20/Inputs!H6</f>
        <v>0</v>
      </c>
      <c r="K19" s="666">
        <f>AH20/Inputs!I6</f>
        <v>0</v>
      </c>
      <c r="L19" s="666">
        <f>AI20/Inputs!J6</f>
        <v>0</v>
      </c>
      <c r="M19" s="672"/>
      <c r="N19" s="666">
        <f t="shared" si="6"/>
        <v>0</v>
      </c>
      <c r="O19" s="690">
        <f t="shared" si="7"/>
        <v>0</v>
      </c>
      <c r="P19" s="673">
        <f t="shared" si="8"/>
        <v>0</v>
      </c>
      <c r="R19" s="928">
        <v>0</v>
      </c>
      <c r="S19" s="928">
        <v>0</v>
      </c>
      <c r="U19" s="556" t="s">
        <v>557</v>
      </c>
      <c r="Z19" s="682" t="s">
        <v>558</v>
      </c>
      <c r="AA19" s="731">
        <v>1422.1</v>
      </c>
      <c r="AB19" s="732">
        <v>1306.8</v>
      </c>
      <c r="AC19" s="732">
        <v>1240.2</v>
      </c>
      <c r="AD19" s="732">
        <v>1194.9000000000001</v>
      </c>
      <c r="AE19" s="732">
        <v>1431.2</v>
      </c>
      <c r="AF19" s="732">
        <v>564.9</v>
      </c>
      <c r="AG19" s="732">
        <v>558.9</v>
      </c>
      <c r="AH19" s="732">
        <v>578.6</v>
      </c>
      <c r="AI19" s="732">
        <v>536.4</v>
      </c>
      <c r="AJ19" s="732">
        <v>536.4</v>
      </c>
      <c r="AK19" s="732">
        <v>536.4</v>
      </c>
    </row>
    <row r="20" spans="1:37" ht="12.6" customHeight="1">
      <c r="B20" s="667" t="s">
        <v>517</v>
      </c>
      <c r="C20" s="668"/>
      <c r="D20" s="668">
        <f>'Fin. Data'!B21/('Fin. Data'!B21+'Fin. Data'!B23)</f>
        <v>-0.36790840738209157</v>
      </c>
      <c r="E20" s="668">
        <f>'Fin. Data'!C21/('Fin. Data'!C21+'Fin. Data'!C23)</f>
        <v>-0.2872667994928455</v>
      </c>
      <c r="F20" s="668">
        <f>'Fin. Data'!D21/('Fin. Data'!D21+'Fin. Data'!D23)</f>
        <v>-0.27373566459860876</v>
      </c>
      <c r="G20" s="668">
        <f>'Fin. Data'!E21/('Fin. Data'!E21+'Fin. Data'!E23)</f>
        <v>-0.24112554112554113</v>
      </c>
      <c r="H20" s="668">
        <f>'Fin. Data'!F21/('Fin. Data'!F21+'Fin. Data'!F23)</f>
        <v>-0.29307056579783852</v>
      </c>
      <c r="I20" s="668">
        <f>'Fin. Data'!G21/('Fin. Data'!G21+'Fin. Data'!G23)</f>
        <v>-0.28949634093844168</v>
      </c>
      <c r="J20" s="668">
        <f>'Fin. Data'!H21/('Fin. Data'!H21+'Fin. Data'!H23)</f>
        <v>-0.29355191256830609</v>
      </c>
      <c r="K20" s="668">
        <f>'Fin. Data'!I21/('Fin. Data'!I21+'Fin. Data'!I23)</f>
        <v>-0.32243963363863448</v>
      </c>
      <c r="L20" s="668">
        <f>'Fin. Data'!J21/('Fin. Data'!J21+'Fin. Data'!J23)</f>
        <v>-0.34030150753768851</v>
      </c>
      <c r="M20" s="674"/>
      <c r="N20" s="668">
        <f t="shared" si="6"/>
        <v>-0.30098848589777738</v>
      </c>
      <c r="O20" s="675">
        <f t="shared" si="7"/>
        <v>-0.29262139567938511</v>
      </c>
      <c r="P20" s="689">
        <f t="shared" si="8"/>
        <v>-0.30963695715784861</v>
      </c>
      <c r="R20" s="539">
        <v>0.3</v>
      </c>
      <c r="S20" s="539">
        <v>0.3</v>
      </c>
      <c r="U20" s="556" t="s">
        <v>559</v>
      </c>
      <c r="X20" s="633"/>
      <c r="Z20" s="678" t="s">
        <v>560</v>
      </c>
      <c r="AA20" s="683"/>
      <c r="AB20" s="680"/>
      <c r="AC20" s="680"/>
      <c r="AD20" s="680"/>
      <c r="AE20" s="680"/>
      <c r="AF20" s="680"/>
      <c r="AG20" s="680"/>
      <c r="AH20" s="680"/>
      <c r="AI20" s="680"/>
    </row>
    <row r="21" spans="1:37" ht="14.45">
      <c r="B21" s="665" t="s">
        <v>518</v>
      </c>
      <c r="C21" s="669"/>
      <c r="D21" s="669">
        <v>3.6600000000000001E-2</v>
      </c>
      <c r="E21" s="669">
        <v>3.6600000000000001E-2</v>
      </c>
      <c r="F21" s="669">
        <v>4.0599999999999997E-2</v>
      </c>
      <c r="G21" s="669">
        <v>4.0599999999999997E-2</v>
      </c>
      <c r="H21" s="669">
        <v>4.8300000000000003E-2</v>
      </c>
      <c r="I21" s="669">
        <v>4.8300000000000003E-2</v>
      </c>
      <c r="J21" s="669">
        <v>4.8300000000000003E-2</v>
      </c>
      <c r="K21" s="669" t="s">
        <v>68</v>
      </c>
      <c r="L21" s="669" t="s">
        <v>68</v>
      </c>
      <c r="M21" s="672"/>
      <c r="N21" s="666">
        <f t="shared" si="6"/>
        <v>4.2757142857142862E-2</v>
      </c>
      <c r="O21" s="690">
        <f t="shared" si="7"/>
        <v>4.054E-2</v>
      </c>
      <c r="P21" s="673">
        <f t="shared" si="8"/>
        <v>3.7933333333333333E-2</v>
      </c>
      <c r="R21" s="539">
        <v>0.04</v>
      </c>
      <c r="S21" s="539">
        <v>0.04</v>
      </c>
      <c r="U21" s="556" t="s">
        <v>561</v>
      </c>
      <c r="Z21" s="678" t="s">
        <v>562</v>
      </c>
      <c r="AA21" s="683"/>
      <c r="AB21" s="680"/>
      <c r="AC21" s="680"/>
      <c r="AD21" s="680"/>
      <c r="AE21" s="680"/>
      <c r="AF21" s="680"/>
      <c r="AG21" s="680"/>
      <c r="AH21" s="680"/>
      <c r="AI21" s="680"/>
    </row>
    <row r="22" spans="1:37" ht="14.45">
      <c r="B22" s="667" t="s">
        <v>519</v>
      </c>
      <c r="C22" s="670"/>
      <c r="D22" s="670">
        <v>2.5000000000000001E-2</v>
      </c>
      <c r="E22" s="670">
        <v>1E-3</v>
      </c>
      <c r="F22" s="670">
        <v>6.0000000000000001E-3</v>
      </c>
      <c r="G22" s="670">
        <v>4.0000000000000001E-3</v>
      </c>
      <c r="H22" s="670">
        <v>1E-3</v>
      </c>
      <c r="I22" s="670">
        <v>1E-3</v>
      </c>
      <c r="J22" s="670">
        <v>1E-3</v>
      </c>
      <c r="K22" s="670">
        <v>2E-3</v>
      </c>
      <c r="L22" s="670">
        <v>5.0000000000000001E-3</v>
      </c>
      <c r="M22" s="674"/>
      <c r="N22" s="668">
        <f t="shared" si="6"/>
        <v>5.1111111111111114E-3</v>
      </c>
      <c r="O22" s="675">
        <f t="shared" si="7"/>
        <v>7.4000000000000012E-3</v>
      </c>
      <c r="P22" s="689">
        <f t="shared" si="8"/>
        <v>1.0666666666666666E-2</v>
      </c>
      <c r="R22" s="539">
        <v>8.0000000000000002E-3</v>
      </c>
      <c r="S22" s="539">
        <v>8.0000000000000002E-3</v>
      </c>
      <c r="U22" s="556" t="s">
        <v>563</v>
      </c>
      <c r="Z22" s="678" t="s">
        <v>564</v>
      </c>
      <c r="AA22" s="683"/>
      <c r="AB22" s="680"/>
      <c r="AC22" s="680"/>
      <c r="AD22" s="680"/>
      <c r="AE22" s="680"/>
      <c r="AF22" s="680"/>
      <c r="AG22" s="680"/>
      <c r="AH22" s="680"/>
      <c r="AI22" s="680"/>
    </row>
    <row r="23" spans="1:37" ht="14.45">
      <c r="B23" s="665" t="s">
        <v>520</v>
      </c>
      <c r="C23" s="669"/>
      <c r="D23" s="669">
        <f>Inputs!B33/Inputs!C33-1</f>
        <v>6.6222084367245637E-2</v>
      </c>
      <c r="E23" s="669">
        <f>Inputs!C33/Inputs!D33-1</f>
        <v>7.2700049908500874E-2</v>
      </c>
      <c r="F23" s="669">
        <f>Inputs!D33/Inputs!E33-1</f>
        <v>0.26600673967986532</v>
      </c>
      <c r="G23" s="669">
        <f>Inputs!E33/Inputs!F33-1</f>
        <v>-0.17925669835782199</v>
      </c>
      <c r="H23" s="669">
        <f>Inputs!F33/Inputs!G33-1</f>
        <v>2.4075057532306543E-2</v>
      </c>
      <c r="I23" s="669">
        <f>Inputs!G33/Inputs!H33-1</f>
        <v>1.0735373054213682E-2</v>
      </c>
      <c r="J23" s="669">
        <f>Inputs!H33/Inputs!I33-1</f>
        <v>-3.404770134808166E-2</v>
      </c>
      <c r="K23" s="669">
        <f>Inputs!I33/Inputs!J33-1</f>
        <v>7.8672632363907535E-2</v>
      </c>
      <c r="L23" s="669">
        <f>Inputs!J33/Inputs!K33-1</f>
        <v>6.5765944764553774E-2</v>
      </c>
      <c r="M23" s="672"/>
      <c r="N23" s="666">
        <f t="shared" si="6"/>
        <v>4.1208164662743303E-2</v>
      </c>
      <c r="O23" s="690">
        <f t="shared" si="7"/>
        <v>4.994944662601928E-2</v>
      </c>
      <c r="P23" s="673">
        <f t="shared" si="8"/>
        <v>0.13497629131853728</v>
      </c>
      <c r="R23" s="539" t="s">
        <v>565</v>
      </c>
      <c r="S23" s="539" t="s">
        <v>565</v>
      </c>
      <c r="U23" s="556" t="s">
        <v>566</v>
      </c>
      <c r="Z23" s="678" t="s">
        <v>315</v>
      </c>
      <c r="AA23" s="683"/>
      <c r="AB23" s="730"/>
      <c r="AC23" s="730"/>
      <c r="AD23" s="730"/>
      <c r="AE23" s="730"/>
      <c r="AF23" s="730"/>
      <c r="AG23" s="730"/>
      <c r="AH23" s="730"/>
      <c r="AI23" s="680"/>
    </row>
    <row r="24" spans="1:37" ht="14.45">
      <c r="B24" s="667" t="s">
        <v>521</v>
      </c>
      <c r="C24" s="668"/>
      <c r="D24" s="668">
        <f>Inputs!B62/(Inputs!B6-Inputs!C6)</f>
        <v>0.11181619256017505</v>
      </c>
      <c r="E24" s="668">
        <f>Inputs!C62/(Inputs!C6-Inputs!D6)</f>
        <v>0.46679735358980601</v>
      </c>
      <c r="F24" s="668">
        <f>Inputs!D62/(Inputs!D6-Inputs!E6)</f>
        <v>0.27466788822721039</v>
      </c>
      <c r="G24" s="668">
        <f>Inputs!E62/(Inputs!E6-Inputs!F6)</f>
        <v>0.36389723968297366</v>
      </c>
      <c r="H24" s="668">
        <f>Inputs!F62/(Inputs!F6-Inputs!G6)</f>
        <v>-0.6730769230769218</v>
      </c>
      <c r="I24" s="668">
        <v>0.14000000000000001</v>
      </c>
      <c r="J24" s="668">
        <f>Inputs!H62/(Inputs!H6-Inputs!I6)</f>
        <v>2.3397129186602772</v>
      </c>
      <c r="K24" s="668">
        <f>Inputs!I62/(Inputs!I6-Inputs!J6)</f>
        <v>10.523869346733742</v>
      </c>
      <c r="L24" s="668">
        <f>Inputs!J62/(Inputs!J6-Inputs!K6)</f>
        <v>-1.3416149068323024</v>
      </c>
      <c r="M24" s="674"/>
      <c r="N24" s="668">
        <f t="shared" si="6"/>
        <v>1.356229901060551</v>
      </c>
      <c r="O24" s="675">
        <f t="shared" si="7"/>
        <v>0.10882035019664867</v>
      </c>
      <c r="P24" s="689">
        <f t="shared" si="8"/>
        <v>0.28442714479239717</v>
      </c>
      <c r="R24" s="539">
        <v>0.2</v>
      </c>
      <c r="S24" s="539">
        <v>0.2</v>
      </c>
      <c r="U24" s="556" t="s">
        <v>567</v>
      </c>
      <c r="Z24" s="678"/>
      <c r="AA24" s="683"/>
      <c r="AB24" s="680"/>
      <c r="AC24" s="680"/>
      <c r="AD24" s="680"/>
      <c r="AE24" s="680"/>
      <c r="AF24" s="680"/>
      <c r="AG24" s="680"/>
      <c r="AH24" s="680"/>
      <c r="AI24" s="680"/>
    </row>
    <row r="25" spans="1:37" ht="14.45">
      <c r="B25" s="665" t="s">
        <v>522</v>
      </c>
      <c r="C25" s="666"/>
      <c r="D25" s="666">
        <v>4.5229999999999997</v>
      </c>
      <c r="E25" s="666">
        <v>0.73599999999999999</v>
      </c>
      <c r="F25" s="666">
        <v>0.311</v>
      </c>
      <c r="G25" s="666">
        <v>0.36199999999999999</v>
      </c>
      <c r="H25" s="666">
        <v>3.7499999999999999E-2</v>
      </c>
      <c r="I25" s="666">
        <v>-7.0000000000000001E-3</v>
      </c>
      <c r="J25" s="666">
        <v>-9.1999999999999998E-3</v>
      </c>
      <c r="K25" s="666">
        <v>-9.1999999999999998E-3</v>
      </c>
      <c r="L25" s="666">
        <v>-6.7999999999999996E-3</v>
      </c>
      <c r="M25" s="672"/>
      <c r="N25" s="666">
        <f t="shared" si="6"/>
        <v>0.65969999999999995</v>
      </c>
      <c r="O25" s="690">
        <f t="shared" si="7"/>
        <v>1.1938999999999997</v>
      </c>
      <c r="P25" s="673">
        <f t="shared" si="8"/>
        <v>1.8566666666666665</v>
      </c>
      <c r="R25" s="539" t="s">
        <v>565</v>
      </c>
      <c r="S25" s="539" t="s">
        <v>565</v>
      </c>
      <c r="U25" s="556" t="s">
        <v>568</v>
      </c>
      <c r="Z25" s="678"/>
      <c r="AA25" s="683"/>
      <c r="AB25" s="680"/>
      <c r="AC25" s="680"/>
      <c r="AD25" s="680"/>
      <c r="AE25" s="680"/>
      <c r="AF25" s="680"/>
      <c r="AG25" s="680"/>
      <c r="AH25" s="680"/>
      <c r="AI25" s="680"/>
    </row>
    <row r="26" spans="1:37" ht="12.6" customHeight="1">
      <c r="B26" s="667" t="s">
        <v>569</v>
      </c>
      <c r="C26" s="668"/>
      <c r="D26" s="668">
        <f>Inputs!B65/Inputs!B6</f>
        <v>-2.2892005099253324E-2</v>
      </c>
      <c r="E26" s="668">
        <f>Inputs!C65/Inputs!C6</f>
        <v>-3.2459276916964638E-2</v>
      </c>
      <c r="F26" s="668">
        <f>Inputs!D65/Inputs!D6</f>
        <v>-4.8574331481441448E-2</v>
      </c>
      <c r="G26" s="668">
        <f>Inputs!E65/Inputs!E6</f>
        <v>-3.2735400633770936E-2</v>
      </c>
      <c r="H26" s="668">
        <f>Inputs!F65/Inputs!F6</f>
        <v>-3.1901926773240823E-2</v>
      </c>
      <c r="I26" s="668">
        <f>Inputs!G65/Inputs!G6</f>
        <v>-2.9490809617507323E-2</v>
      </c>
      <c r="J26" s="668">
        <f>Inputs!H65/Inputs!H6</f>
        <v>-2.75675009246702E-2</v>
      </c>
      <c r="K26" s="668">
        <f>Inputs!I65/Inputs!I6</f>
        <v>-3.7658946135259809E-2</v>
      </c>
      <c r="L26" s="668">
        <f>Inputs!J65/Inputs!J6</f>
        <v>-3.5265388206564684E-2</v>
      </c>
      <c r="M26" s="674"/>
      <c r="N26" s="668">
        <f t="shared" si="6"/>
        <v>-3.3171731754297024E-2</v>
      </c>
      <c r="O26" s="675">
        <f t="shared" si="7"/>
        <v>-3.3712588180934235E-2</v>
      </c>
      <c r="P26" s="689">
        <f t="shared" si="8"/>
        <v>-3.4641871165886469E-2</v>
      </c>
      <c r="R26" s="539">
        <v>-0.04</v>
      </c>
      <c r="S26" s="539">
        <v>-3.7999999999999999E-2</v>
      </c>
      <c r="U26" s="556" t="s">
        <v>557</v>
      </c>
      <c r="Z26" s="678"/>
      <c r="AA26" s="683"/>
      <c r="AB26" s="680"/>
      <c r="AC26" s="680"/>
      <c r="AD26" s="680"/>
      <c r="AE26" s="680"/>
      <c r="AF26" s="680"/>
      <c r="AG26" s="680"/>
      <c r="AH26" s="680"/>
      <c r="AI26" s="680"/>
    </row>
    <row r="27" spans="1:37" ht="14.45">
      <c r="B27" s="665" t="s">
        <v>524</v>
      </c>
      <c r="C27" s="666"/>
      <c r="D27" s="666">
        <f>Inputs!B66/Inputs!B6</f>
        <v>-2.7900200327809144E-2</v>
      </c>
      <c r="E27" s="666">
        <f>Inputs!C66/Inputs!C6</f>
        <v>-1.8951132300357571E-2</v>
      </c>
      <c r="F27" s="666">
        <f>Inputs!D66/Inputs!D6</f>
        <v>-7.4147733414038353E-3</v>
      </c>
      <c r="G27" s="666">
        <f>Inputs!E66/Inputs!E6</f>
        <v>-6.7904028972385689E-4</v>
      </c>
      <c r="H27" s="666">
        <f>Inputs!F66/Inputs!F6</f>
        <v>-7.0320191270920257E-4</v>
      </c>
      <c r="I27" s="666">
        <f>Inputs!G66/Inputs!G6</f>
        <v>0</v>
      </c>
      <c r="J27" s="666">
        <f>Inputs!H66/Inputs!H6</f>
        <v>9.8631488102576747E-5</v>
      </c>
      <c r="K27" s="666">
        <f>Inputs!I66/Inputs!I6</f>
        <v>0</v>
      </c>
      <c r="L27" s="666">
        <f>Inputs!J66/Inputs!J6</f>
        <v>0</v>
      </c>
      <c r="M27" s="672"/>
      <c r="N27" s="666">
        <f t="shared" si="6"/>
        <v>-6.1721907426556706E-3</v>
      </c>
      <c r="O27" s="690">
        <f t="shared" si="7"/>
        <v>-1.1129669634400721E-2</v>
      </c>
      <c r="P27" s="673">
        <f t="shared" si="8"/>
        <v>-1.8088701989856851E-2</v>
      </c>
      <c r="R27" s="539">
        <v>-0.02</v>
      </c>
      <c r="S27" s="539">
        <v>-0.01</v>
      </c>
      <c r="U27" s="556" t="s">
        <v>557</v>
      </c>
      <c r="Z27" s="678"/>
      <c r="AA27" s="683"/>
      <c r="AB27" s="680"/>
      <c r="AC27" s="680"/>
      <c r="AD27" s="680"/>
      <c r="AE27" s="680"/>
      <c r="AF27" s="680"/>
      <c r="AG27" s="680"/>
      <c r="AH27" s="680"/>
      <c r="AI27" s="680"/>
    </row>
    <row r="28" spans="1:37" ht="14.45">
      <c r="A28" s="633"/>
      <c r="B28" s="667" t="s">
        <v>135</v>
      </c>
      <c r="C28" s="668"/>
      <c r="D28" s="668">
        <f>Inputs!B73/Inputs!B6</f>
        <v>-4.5219450009105815E-2</v>
      </c>
      <c r="E28" s="668">
        <f>Inputs!C73/Inputs!C6</f>
        <v>-4.7159316646801751E-2</v>
      </c>
      <c r="F28" s="668">
        <f>Inputs!D73/Inputs!D6</f>
        <v>-7.4471994638881087E-2</v>
      </c>
      <c r="G28" s="668">
        <f>Inputs!E73/Inputs!E6</f>
        <v>0</v>
      </c>
      <c r="H28" s="668">
        <f>Inputs!F73/Inputs!F6</f>
        <v>-5.0067976184895224E-2</v>
      </c>
      <c r="I28" s="668">
        <f>Inputs!G73/Inputs!G6</f>
        <v>-5.1758890435283395E-2</v>
      </c>
      <c r="J28" s="668">
        <f>Inputs!H73/Inputs!H6</f>
        <v>-0.11828381210701516</v>
      </c>
      <c r="K28" s="668">
        <f>Inputs!I73/Inputs!I6</f>
        <v>-7.6660239670026609E-2</v>
      </c>
      <c r="L28" s="668">
        <f>Inputs!J73/Inputs!J6</f>
        <v>-0.13586631233690058</v>
      </c>
      <c r="M28" s="674"/>
      <c r="N28" s="668">
        <f t="shared" si="6"/>
        <v>-6.6609776892101069E-2</v>
      </c>
      <c r="O28" s="675">
        <f t="shared" si="7"/>
        <v>-4.3383747495936778E-2</v>
      </c>
      <c r="P28" s="689">
        <f t="shared" si="8"/>
        <v>-5.5616920431596217E-2</v>
      </c>
      <c r="R28" s="539">
        <v>0.04</v>
      </c>
      <c r="S28" s="539">
        <v>0.05</v>
      </c>
      <c r="U28" s="556" t="s">
        <v>570</v>
      </c>
      <c r="Z28" s="678"/>
      <c r="AA28" s="683"/>
      <c r="AB28" s="680"/>
      <c r="AC28" s="680"/>
      <c r="AD28" s="680"/>
      <c r="AE28" s="680"/>
      <c r="AF28" s="680"/>
      <c r="AG28" s="680"/>
      <c r="AH28" s="680"/>
      <c r="AI28" s="680"/>
    </row>
    <row r="29" spans="1:37" ht="14.45">
      <c r="B29" s="665" t="s">
        <v>525</v>
      </c>
      <c r="C29" s="666"/>
      <c r="D29" s="666">
        <f>Inputs!B74/Inputs!B6</f>
        <v>-3.2289200509925335E-2</v>
      </c>
      <c r="E29" s="666">
        <f>Inputs!E74/Inputs!E6</f>
        <v>-5.4606156631960166E-3</v>
      </c>
      <c r="F29" s="666">
        <f>Inputs!F74/Inputs!F6</f>
        <v>-7.0367071398434206E-2</v>
      </c>
      <c r="G29" s="666">
        <f>Inputs!G74/Inputs!G6</f>
        <v>-7.7986274415702841E-2</v>
      </c>
      <c r="H29" s="666">
        <f>Inputs!H74/Inputs!H6</f>
        <v>-2.5915423498952039E-2</v>
      </c>
      <c r="I29" s="666">
        <f>Inputs!I74/Inputs!I6</f>
        <v>-4.5786249481365775E-2</v>
      </c>
      <c r="J29" s="666">
        <f>Inputs!J74/Inputs!J6</f>
        <v>-3.607938902056549E-2</v>
      </c>
      <c r="K29" s="666">
        <f>Inputs!K74/Inputs!K6</f>
        <v>-3.4476723836191811E-2</v>
      </c>
      <c r="L29" s="666">
        <f>Inputs!L74/Inputs!L6</f>
        <v>-7.9090909090909101E-2</v>
      </c>
      <c r="M29" s="672"/>
      <c r="N29" s="666">
        <f t="shared" si="6"/>
        <v>-4.5272428546138076E-2</v>
      </c>
      <c r="O29" s="690">
        <f t="shared" si="7"/>
        <v>-4.240371709724209E-2</v>
      </c>
      <c r="P29" s="673">
        <f t="shared" si="8"/>
        <v>-3.6038962523851852E-2</v>
      </c>
      <c r="R29" s="539">
        <v>0.04</v>
      </c>
      <c r="S29" s="539">
        <v>0.06</v>
      </c>
      <c r="U29" s="556" t="s">
        <v>570</v>
      </c>
      <c r="Z29" s="678"/>
      <c r="AA29" s="683"/>
      <c r="AB29" s="680"/>
      <c r="AC29" s="680"/>
      <c r="AD29" s="680"/>
      <c r="AE29" s="680"/>
      <c r="AF29" s="680"/>
      <c r="AG29" s="680"/>
      <c r="AH29" s="680"/>
      <c r="AI29" s="680"/>
    </row>
    <row r="30" spans="1:37" ht="14.45">
      <c r="B30" s="667" t="s">
        <v>526</v>
      </c>
      <c r="C30" s="668"/>
      <c r="D30" s="668">
        <f>Inputs!B72/Inputs!B6</f>
        <v>-2.8428337279184118E-2</v>
      </c>
      <c r="E30" s="668">
        <f>Inputs!C72/Inputs!C6</f>
        <v>-3.1207787048073102E-2</v>
      </c>
      <c r="F30" s="668">
        <f>Inputs!D72/Inputs!D6</f>
        <v>-3.7246806026935302E-2</v>
      </c>
      <c r="G30" s="668">
        <f>Inputs!E72/Inputs!E6</f>
        <v>-4.8381620642824807E-2</v>
      </c>
      <c r="H30" s="668">
        <f>Inputs!F72/Inputs!F6</f>
        <v>-3.8113543668838783E-2</v>
      </c>
      <c r="I30" s="668">
        <f>Inputs!G72/Inputs!G6</f>
        <v>-3.5057829821951339E-2</v>
      </c>
      <c r="J30" s="668">
        <f>Inputs!H72/Inputs!H6</f>
        <v>0</v>
      </c>
      <c r="K30" s="668">
        <f>Inputs!I72/Inputs!I6</f>
        <v>0</v>
      </c>
      <c r="L30" s="668">
        <f>Inputs!J72/Inputs!J6</f>
        <v>0</v>
      </c>
      <c r="M30" s="674"/>
      <c r="N30" s="668">
        <f t="shared" si="6"/>
        <v>-2.4270658276423052E-2</v>
      </c>
      <c r="O30" s="675">
        <f t="shared" si="7"/>
        <v>-3.6675618933171221E-2</v>
      </c>
      <c r="P30" s="689">
        <f t="shared" si="8"/>
        <v>-3.2294310118064169E-2</v>
      </c>
      <c r="R30" s="539">
        <v>-2.5000000000000001E-2</v>
      </c>
      <c r="S30" s="539">
        <v>-0.02</v>
      </c>
      <c r="U30" s="556" t="s">
        <v>557</v>
      </c>
      <c r="Z30" s="678"/>
      <c r="AA30" s="683"/>
      <c r="AB30" s="680"/>
      <c r="AC30" s="680"/>
      <c r="AD30" s="680"/>
      <c r="AE30" s="680"/>
      <c r="AF30" s="680"/>
      <c r="AG30" s="680"/>
      <c r="AH30" s="680"/>
      <c r="AI30" s="680"/>
    </row>
    <row r="31" spans="1:37" ht="14.45">
      <c r="B31" s="665" t="s">
        <v>571</v>
      </c>
      <c r="C31" s="671"/>
      <c r="D31" s="671">
        <f>'Fin. Data'!B58/'Fin. Data'!B19</f>
        <v>1.7400817067635044</v>
      </c>
      <c r="E31" s="671">
        <f>'Fin. Data'!C58/'Fin. Data'!C19</f>
        <v>1.6792287467134093</v>
      </c>
      <c r="F31" s="671">
        <f>'Fin. Data'!D58/'Fin. Data'!D19</f>
        <v>1.8612314915131818</v>
      </c>
      <c r="G31" s="671">
        <f>'Fin. Data'!E58/'Fin. Data'!E19</f>
        <v>3.1270329107440133</v>
      </c>
      <c r="H31" s="671">
        <f>'Fin. Data'!F58/'Fin. Data'!F19</f>
        <v>1.1049200821501919</v>
      </c>
      <c r="I31" s="688">
        <f>'Fin. Data'!G58/'Fin. Data'!G19</f>
        <v>1.1670761670761669</v>
      </c>
      <c r="J31" s="688">
        <f>'Fin. Data'!H58/'Fin. Data'!H19</f>
        <v>1.2298045418596768</v>
      </c>
      <c r="K31" s="688">
        <f>'Fin. Data'!I58/'Fin. Data'!I19</f>
        <v>1.0048718491844948</v>
      </c>
      <c r="L31" s="688">
        <f>'Fin. Data'!J58/'Fin. Data'!J19</f>
        <v>0.96085909273384174</v>
      </c>
      <c r="M31" s="672"/>
      <c r="N31" s="666">
        <f>AVERAGE(D31:L31)</f>
        <v>1.5416785098598309</v>
      </c>
      <c r="O31" s="690">
        <f>AVERAGE(D31:H31)</f>
        <v>1.9024989875768601</v>
      </c>
      <c r="P31" s="754">
        <f>AVERAGE(D31:F31)</f>
        <v>1.7601806483300317</v>
      </c>
      <c r="R31" s="753"/>
      <c r="S31" s="753"/>
      <c r="U31" s="556" t="s">
        <v>572</v>
      </c>
      <c r="Z31" s="684"/>
      <c r="AA31" s="685"/>
      <c r="AB31" s="686"/>
      <c r="AC31" s="686"/>
      <c r="AD31" s="686"/>
      <c r="AE31" s="686"/>
      <c r="AF31" s="686"/>
      <c r="AG31" s="686"/>
      <c r="AH31" s="686"/>
      <c r="AI31" s="686"/>
    </row>
    <row r="34" spans="2:12" s="526" customFormat="1" ht="14.1">
      <c r="B34" s="533" t="s">
        <v>573</v>
      </c>
      <c r="C34" s="533"/>
      <c r="H34" s="634"/>
    </row>
    <row r="36" spans="2:12" ht="12.6" customHeight="1">
      <c r="B36" s="664" t="s">
        <v>574</v>
      </c>
      <c r="C36" s="664"/>
    </row>
    <row r="37" spans="2:12" ht="12.75" customHeight="1" thickBot="1"/>
    <row r="38" spans="2:12" ht="12.6" customHeight="1" thickBot="1">
      <c r="B38" s="2"/>
      <c r="C38" s="2"/>
      <c r="D38" s="621" t="s">
        <v>575</v>
      </c>
      <c r="E38" s="621" t="s">
        <v>204</v>
      </c>
    </row>
    <row r="39" spans="2:12" ht="12.75" customHeight="1">
      <c r="B39" s="622"/>
      <c r="C39" s="622" t="s">
        <v>576</v>
      </c>
      <c r="D39" s="623">
        <f>AVERAGE(DCF!G5:L5)</f>
        <v>4.8544308972282645E-2</v>
      </c>
      <c r="E39" s="623">
        <v>3.2800000000000003E-2</v>
      </c>
    </row>
    <row r="40" spans="2:12" ht="12.75" customHeight="1" thickBot="1">
      <c r="B40" s="624" t="s">
        <v>577</v>
      </c>
      <c r="C40" s="624" t="s">
        <v>578</v>
      </c>
      <c r="D40" s="625">
        <v>7.9100000000000004E-2</v>
      </c>
      <c r="E40" s="625">
        <v>0.18060000000000001</v>
      </c>
      <c r="F40" s="527" t="s">
        <v>579</v>
      </c>
    </row>
    <row r="43" spans="2:12" ht="12.6" customHeight="1"/>
    <row r="44" spans="2:12" ht="12.75" customHeight="1">
      <c r="B44" s="1494" t="s">
        <v>580</v>
      </c>
      <c r="C44" s="1494"/>
    </row>
    <row r="45" spans="2:12" ht="12.75" customHeight="1" thickBot="1"/>
    <row r="46" spans="2:12" ht="12.75" customHeight="1" thickBot="1">
      <c r="B46" s="2"/>
      <c r="C46" s="631">
        <v>2023</v>
      </c>
      <c r="D46" s="626">
        <v>2022</v>
      </c>
      <c r="E46" s="626">
        <v>2021</v>
      </c>
      <c r="F46" s="626">
        <v>2020</v>
      </c>
      <c r="G46" s="626">
        <v>2019</v>
      </c>
      <c r="H46" s="626">
        <v>2018</v>
      </c>
      <c r="I46" s="626">
        <v>2017</v>
      </c>
      <c r="K46" s="1044" t="s">
        <v>581</v>
      </c>
      <c r="L46" s="1045">
        <f>AVERAGE(C47:I47)</f>
        <v>0.17967142857142857</v>
      </c>
    </row>
    <row r="47" spans="2:12" ht="12.75" customHeight="1" thickBot="1">
      <c r="B47" s="627" t="s">
        <v>580</v>
      </c>
      <c r="C47" s="628">
        <v>0.16</v>
      </c>
      <c r="D47" s="628">
        <v>0.187</v>
      </c>
      <c r="E47" s="628">
        <v>0.1956</v>
      </c>
      <c r="F47" s="628">
        <v>0.12590000000000001</v>
      </c>
      <c r="G47" s="628">
        <v>0.2</v>
      </c>
      <c r="H47" s="628">
        <v>0.20180000000000001</v>
      </c>
      <c r="I47" s="628">
        <v>0.18740000000000001</v>
      </c>
      <c r="K47" s="1046" t="s">
        <v>582</v>
      </c>
      <c r="L47" s="1047">
        <f>AVERAGE(C47:E47)</f>
        <v>0.18086666666666665</v>
      </c>
    </row>
    <row r="48" spans="2:12" ht="12.75" customHeight="1" thickBot="1">
      <c r="E48" s="628"/>
    </row>
    <row r="49" spans="2:29" ht="12.75" customHeight="1" thickBot="1">
      <c r="B49" s="2"/>
      <c r="C49" s="2"/>
      <c r="D49" s="614">
        <v>2024</v>
      </c>
      <c r="E49" s="614">
        <v>2025</v>
      </c>
      <c r="F49" s="614">
        <v>2026</v>
      </c>
      <c r="G49" s="614">
        <v>2027</v>
      </c>
      <c r="H49" s="614">
        <v>2028</v>
      </c>
      <c r="I49" s="614">
        <v>2029</v>
      </c>
      <c r="J49" s="614">
        <v>2030</v>
      </c>
      <c r="K49" s="614">
        <v>2031</v>
      </c>
      <c r="L49" s="614">
        <v>2032</v>
      </c>
      <c r="M49" s="614">
        <v>2033</v>
      </c>
      <c r="N49" s="614">
        <v>2034</v>
      </c>
      <c r="O49" s="614">
        <v>2035</v>
      </c>
      <c r="P49" s="614">
        <v>2036</v>
      </c>
      <c r="Q49" s="614">
        <v>2037</v>
      </c>
      <c r="R49" s="614">
        <v>2038</v>
      </c>
      <c r="S49" s="614">
        <v>2039</v>
      </c>
      <c r="T49" s="614">
        <v>2040</v>
      </c>
      <c r="U49" s="614">
        <v>2041</v>
      </c>
      <c r="V49" s="614">
        <v>2042</v>
      </c>
      <c r="W49" s="614">
        <v>2043</v>
      </c>
      <c r="X49" s="614">
        <v>2044</v>
      </c>
      <c r="Y49" s="614">
        <v>2045</v>
      </c>
      <c r="Z49" s="614">
        <v>2046</v>
      </c>
      <c r="AA49" s="614">
        <v>2047</v>
      </c>
      <c r="AB49" s="615">
        <v>2048</v>
      </c>
      <c r="AC49" s="615">
        <v>2049</v>
      </c>
    </row>
    <row r="50" spans="2:29" ht="12.75" customHeight="1" thickBot="1">
      <c r="B50" s="630" t="s">
        <v>583</v>
      </c>
      <c r="C50" s="632"/>
      <c r="D50" s="628">
        <v>0.18</v>
      </c>
      <c r="E50" s="628">
        <v>0.18</v>
      </c>
      <c r="F50" s="628">
        <v>0.18</v>
      </c>
      <c r="G50" s="628">
        <v>0.18</v>
      </c>
      <c r="H50" s="628">
        <v>0.18</v>
      </c>
      <c r="I50" s="628">
        <v>0.18</v>
      </c>
      <c r="J50" s="628">
        <v>0.18</v>
      </c>
      <c r="K50" s="628">
        <v>0.18</v>
      </c>
      <c r="L50" s="628">
        <v>0.18</v>
      </c>
      <c r="M50" s="628">
        <v>0.18</v>
      </c>
      <c r="N50" s="628">
        <v>0.18</v>
      </c>
      <c r="O50" s="628">
        <v>0.18</v>
      </c>
      <c r="P50" s="628">
        <v>0.18</v>
      </c>
      <c r="Q50" s="628">
        <v>0.18</v>
      </c>
      <c r="R50" s="628">
        <v>0.18</v>
      </c>
      <c r="S50" s="628">
        <v>0.18</v>
      </c>
      <c r="T50" s="628">
        <v>0.18</v>
      </c>
      <c r="U50" s="628">
        <v>0.18</v>
      </c>
      <c r="V50" s="628">
        <v>0.18</v>
      </c>
      <c r="W50" s="628">
        <v>0.18</v>
      </c>
      <c r="X50" s="628">
        <v>0.18</v>
      </c>
      <c r="Y50" s="628">
        <v>0.18</v>
      </c>
      <c r="Z50" s="628">
        <v>0.18</v>
      </c>
      <c r="AA50" s="628">
        <v>0.18</v>
      </c>
      <c r="AB50" s="628">
        <v>0.18</v>
      </c>
      <c r="AC50" s="628">
        <v>0.18</v>
      </c>
    </row>
    <row r="52" spans="2:29" ht="12.75" hidden="1" customHeight="1"/>
    <row r="53" spans="2:29" ht="12.75" hidden="1" customHeight="1"/>
    <row r="54" spans="2:29" ht="12.75" hidden="1" customHeight="1"/>
    <row r="55" spans="2:29" ht="12.75" hidden="1" customHeight="1"/>
    <row r="56" spans="2:29" ht="12.75" hidden="1" customHeight="1"/>
    <row r="57" spans="2:29" ht="12.75" hidden="1" customHeight="1"/>
    <row r="58" spans="2:29" ht="12.75" hidden="1" customHeight="1"/>
    <row r="59" spans="2:29" ht="12.75" hidden="1" customHeight="1"/>
    <row r="60" spans="2:29" ht="12.75" hidden="1" customHeight="1"/>
    <row r="61" spans="2:29" ht="12.75" hidden="1" customHeight="1"/>
    <row r="62" spans="2:29" ht="12.75" hidden="1" customHeight="1"/>
    <row r="64" spans="2:29" s="773" customFormat="1" ht="14.1">
      <c r="B64" s="1470" t="s">
        <v>584</v>
      </c>
      <c r="C64" s="1470"/>
      <c r="D64" s="1470"/>
      <c r="E64" s="1470"/>
      <c r="H64" s="774"/>
    </row>
    <row r="65" spans="2:29" ht="12.75" customHeight="1" thickBot="1"/>
    <row r="66" spans="2:29" ht="12.75" customHeight="1" thickBot="1">
      <c r="B66" s="1492" t="s">
        <v>585</v>
      </c>
      <c r="C66" s="761" t="s">
        <v>586</v>
      </c>
      <c r="D66" s="762">
        <v>2024</v>
      </c>
      <c r="E66" s="763">
        <v>2025</v>
      </c>
      <c r="F66" s="763">
        <v>2026</v>
      </c>
      <c r="G66" s="763">
        <v>2027</v>
      </c>
      <c r="H66" s="763">
        <v>2028</v>
      </c>
      <c r="I66" s="763">
        <v>2029</v>
      </c>
      <c r="J66" s="763">
        <v>2030</v>
      </c>
      <c r="K66" s="763">
        <v>2031</v>
      </c>
      <c r="L66" s="763">
        <v>2032</v>
      </c>
      <c r="M66" s="763">
        <v>2033</v>
      </c>
      <c r="N66" s="763">
        <v>2034</v>
      </c>
      <c r="O66" s="763">
        <v>2035</v>
      </c>
      <c r="P66" s="763">
        <v>2036</v>
      </c>
      <c r="Q66" s="763">
        <v>2037</v>
      </c>
      <c r="R66" s="763">
        <v>2038</v>
      </c>
      <c r="S66" s="763">
        <v>2039</v>
      </c>
      <c r="T66" s="763">
        <v>2040</v>
      </c>
      <c r="U66" s="763">
        <v>2041</v>
      </c>
      <c r="V66" s="763">
        <v>2042</v>
      </c>
      <c r="W66" s="763">
        <v>2043</v>
      </c>
      <c r="X66" s="763">
        <v>2044</v>
      </c>
      <c r="Y66" s="763">
        <v>2045</v>
      </c>
      <c r="Z66" s="763">
        <v>2046</v>
      </c>
      <c r="AA66" s="763">
        <v>2047</v>
      </c>
      <c r="AB66" s="763">
        <v>2048</v>
      </c>
      <c r="AC66" s="764">
        <v>2049</v>
      </c>
    </row>
    <row r="67" spans="2:29" ht="12.75" customHeight="1" thickBot="1">
      <c r="B67" s="1492"/>
      <c r="C67" s="765" t="s">
        <v>587</v>
      </c>
      <c r="D67" s="766">
        <f>C92</f>
        <v>6.5336914951739322E-2</v>
      </c>
      <c r="E67" s="766">
        <f>D92</f>
        <v>8.4694021896606131E-2</v>
      </c>
      <c r="F67" s="766">
        <f>E92</f>
        <v>5.3161280471606398E-2</v>
      </c>
      <c r="G67" s="766">
        <f>F92</f>
        <v>3.7566939679383626E-2</v>
      </c>
      <c r="H67" s="767">
        <f>H92</f>
        <v>2.807937837157648E-2</v>
      </c>
      <c r="I67" s="767">
        <f t="shared" ref="I67:AC67" si="10">I92</f>
        <v>2.2427318462783896E-2</v>
      </c>
      <c r="J67" s="767">
        <f t="shared" si="10"/>
        <v>2.2482329431660508E-2</v>
      </c>
      <c r="K67" s="767">
        <f t="shared" si="10"/>
        <v>2.2537342301938601E-2</v>
      </c>
      <c r="L67" s="767">
        <f t="shared" si="10"/>
        <v>2.2592351154159029E-2</v>
      </c>
      <c r="M67" s="767">
        <f t="shared" si="10"/>
        <v>2.2647350070590155E-2</v>
      </c>
      <c r="N67" s="767">
        <f t="shared" si="10"/>
        <v>2.2702333137776698E-2</v>
      </c>
      <c r="O67" s="767">
        <f t="shared" si="10"/>
        <v>2.2757294449078813E-2</v>
      </c>
      <c r="P67" s="767">
        <f t="shared" si="10"/>
        <v>1.5208152071474634E-2</v>
      </c>
      <c r="Q67" s="767">
        <f t="shared" si="10"/>
        <v>1.5232734885023191E-2</v>
      </c>
      <c r="R67" s="767">
        <f t="shared" si="10"/>
        <v>1.5257306427700845E-2</v>
      </c>
      <c r="S67" s="767">
        <f t="shared" si="10"/>
        <v>1.52818655155742E-2</v>
      </c>
      <c r="T67" s="767">
        <f t="shared" si="10"/>
        <v>1.5306410967115713E-2</v>
      </c>
      <c r="U67" s="767">
        <f t="shared" si="10"/>
        <v>1.5330941603434178E-2</v>
      </c>
      <c r="V67" s="767">
        <f t="shared" si="10"/>
        <v>1.5355456248497434E-2</v>
      </c>
      <c r="W67" s="767">
        <f t="shared" si="10"/>
        <v>1.5379953729357299E-2</v>
      </c>
      <c r="X67" s="767">
        <f t="shared" si="10"/>
        <v>1.5404432876372276E-2</v>
      </c>
      <c r="Y67" s="767">
        <f t="shared" si="10"/>
        <v>1.5428892523429605E-2</v>
      </c>
      <c r="Z67" s="767">
        <f t="shared" si="10"/>
        <v>1.5453331508164192E-2</v>
      </c>
      <c r="AA67" s="767">
        <f t="shared" si="10"/>
        <v>1.5477748672177993E-2</v>
      </c>
      <c r="AB67" s="767">
        <f t="shared" si="10"/>
        <v>1.5502142861256507E-2</v>
      </c>
      <c r="AC67" s="786">
        <f t="shared" si="10"/>
        <v>1.5526512925584601E-2</v>
      </c>
    </row>
    <row r="68" spans="2:29" ht="12.75" customHeight="1" thickBot="1">
      <c r="B68" s="1492"/>
      <c r="C68" s="765" t="s">
        <v>588</v>
      </c>
      <c r="D68" s="768">
        <f>C91</f>
        <v>5849.7650000000003</v>
      </c>
      <c r="E68" s="768">
        <f>D91</f>
        <v>6345.2051250000004</v>
      </c>
      <c r="F68" s="768">
        <f>E91</f>
        <v>6682.5243542999997</v>
      </c>
      <c r="G68" s="768">
        <f>F91</f>
        <v>6933.5663436240002</v>
      </c>
      <c r="H68" s="769">
        <f>H91</f>
        <v>7128.2565764510473</v>
      </c>
      <c r="I68" s="769">
        <f t="shared" ref="I68:AC68" si="11">I91</f>
        <v>7288.1242567755489</v>
      </c>
      <c r="J68" s="769">
        <f t="shared" si="11"/>
        <v>7451.9782672552519</v>
      </c>
      <c r="K68" s="769">
        <f t="shared" si="11"/>
        <v>7619.9260522909908</v>
      </c>
      <c r="L68" s="769">
        <f t="shared" si="11"/>
        <v>7792.0780974330728</v>
      </c>
      <c r="M68" s="769">
        <f t="shared" si="11"/>
        <v>7968.5480178830185</v>
      </c>
      <c r="N68" s="769">
        <f t="shared" si="11"/>
        <v>8149.4526496093695</v>
      </c>
      <c r="O68" s="769">
        <f t="shared" si="11"/>
        <v>8334.9121431553558</v>
      </c>
      <c r="P68" s="769">
        <f t="shared" si="11"/>
        <v>8461.6707545308436</v>
      </c>
      <c r="Q68" s="769">
        <f t="shared" si="11"/>
        <v>8590.5651418189664</v>
      </c>
      <c r="R68" s="769">
        <f t="shared" si="11"/>
        <v>8721.634026574824</v>
      </c>
      <c r="S68" s="769">
        <f t="shared" si="11"/>
        <v>8854.9168648449959</v>
      </c>
      <c r="T68" s="769">
        <f t="shared" si="11"/>
        <v>8990.4538614579578</v>
      </c>
      <c r="U68" s="769">
        <f t="shared" si="11"/>
        <v>9128.2859845963394</v>
      </c>
      <c r="V68" s="769">
        <f t="shared" si="11"/>
        <v>9268.454980656581</v>
      </c>
      <c r="W68" s="769">
        <f t="shared" si="11"/>
        <v>9411.0033894017106</v>
      </c>
      <c r="X68" s="769">
        <f t="shared" si="11"/>
        <v>9555.9745594130618</v>
      </c>
      <c r="Y68" s="769">
        <f t="shared" si="11"/>
        <v>9703.4126638468733</v>
      </c>
      <c r="Z68" s="769">
        <f t="shared" si="11"/>
        <v>9853.362716501817</v>
      </c>
      <c r="AA68" s="769">
        <f t="shared" si="11"/>
        <v>10005.870588203641</v>
      </c>
      <c r="AB68" s="769">
        <f t="shared" si="11"/>
        <v>10160.983023513219</v>
      </c>
      <c r="AC68" s="787">
        <f t="shared" si="11"/>
        <v>10318.747657764443</v>
      </c>
    </row>
    <row r="69" spans="2:29" ht="12.75" customHeight="1" thickBot="1">
      <c r="B69" s="1493"/>
      <c r="C69" s="770" t="s">
        <v>589</v>
      </c>
      <c r="D69" s="771">
        <v>0.18</v>
      </c>
      <c r="E69" s="772">
        <v>0.18</v>
      </c>
      <c r="F69" s="772">
        <v>0.18</v>
      </c>
      <c r="G69" s="772">
        <v>0.18</v>
      </c>
      <c r="H69" s="772">
        <v>0.18</v>
      </c>
      <c r="I69" s="772">
        <v>0.18</v>
      </c>
      <c r="J69" s="772">
        <v>0.18</v>
      </c>
      <c r="K69" s="772">
        <v>0.18</v>
      </c>
      <c r="L69" s="772">
        <v>0.18</v>
      </c>
      <c r="M69" s="772">
        <v>0.18</v>
      </c>
      <c r="N69" s="772">
        <v>0.18</v>
      </c>
      <c r="O69" s="772">
        <v>0.18</v>
      </c>
      <c r="P69" s="772">
        <v>0.18</v>
      </c>
      <c r="Q69" s="772">
        <v>0.18</v>
      </c>
      <c r="R69" s="772">
        <v>0.18</v>
      </c>
      <c r="S69" s="772">
        <v>0.18</v>
      </c>
      <c r="T69" s="772">
        <v>0.18</v>
      </c>
      <c r="U69" s="772">
        <v>0.18</v>
      </c>
      <c r="V69" s="772">
        <v>0.18</v>
      </c>
      <c r="W69" s="772">
        <v>0.18</v>
      </c>
      <c r="X69" s="772">
        <v>0.18</v>
      </c>
      <c r="Y69" s="772">
        <v>0.18</v>
      </c>
      <c r="Z69" s="772">
        <v>0.18</v>
      </c>
      <c r="AA69" s="772">
        <v>0.18</v>
      </c>
      <c r="AB69" s="772">
        <v>0.18</v>
      </c>
      <c r="AC69" s="788">
        <v>0.18</v>
      </c>
    </row>
    <row r="70" spans="2:29" ht="12.75" customHeight="1">
      <c r="B70" s="546"/>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2" spans="2:29" ht="12.75" customHeight="1">
      <c r="B72" s="1469" t="s">
        <v>590</v>
      </c>
      <c r="C72" s="1469"/>
      <c r="D72" s="1469"/>
      <c r="E72" s="1469"/>
      <c r="F72" s="1469"/>
      <c r="H72" s="1469" t="s">
        <v>591</v>
      </c>
      <c r="I72" s="1469"/>
      <c r="J72" s="1469"/>
      <c r="K72" s="1469"/>
    </row>
    <row r="73" spans="2:29" ht="12.75" customHeight="1" thickBot="1"/>
    <row r="74" spans="2:29" ht="12.75" customHeight="1" thickBot="1">
      <c r="B74" s="2"/>
      <c r="C74" s="810">
        <v>2024</v>
      </c>
      <c r="D74" s="614">
        <v>2025</v>
      </c>
      <c r="E74" s="614">
        <v>2026</v>
      </c>
      <c r="F74" s="615">
        <v>2027</v>
      </c>
      <c r="G74" s="798"/>
      <c r="H74" s="1488" t="s">
        <v>592</v>
      </c>
      <c r="I74" s="1489"/>
      <c r="J74" s="1488" t="s">
        <v>593</v>
      </c>
      <c r="K74" s="1489"/>
      <c r="P74" s="785"/>
    </row>
    <row r="75" spans="2:29" ht="12.75" customHeight="1">
      <c r="B75" s="803" t="s">
        <v>193</v>
      </c>
      <c r="C75" s="811">
        <v>0.05</v>
      </c>
      <c r="D75" s="812">
        <v>4.4999999999999998E-2</v>
      </c>
      <c r="E75" s="812">
        <v>0.04</v>
      </c>
      <c r="F75" s="813">
        <v>3.5000000000000003E-2</v>
      </c>
      <c r="G75" s="798"/>
      <c r="H75" s="1490">
        <v>0.03</v>
      </c>
      <c r="I75" s="1491"/>
      <c r="J75" s="1490">
        <v>0.02</v>
      </c>
      <c r="K75" s="1491"/>
    </row>
    <row r="76" spans="2:29" ht="12.75" customHeight="1">
      <c r="B76" s="804" t="s">
        <v>594</v>
      </c>
      <c r="C76" s="814">
        <v>0.03</v>
      </c>
      <c r="D76" s="815">
        <v>2.5000000000000001E-2</v>
      </c>
      <c r="E76" s="815">
        <v>0.02</v>
      </c>
      <c r="F76" s="816">
        <v>1.4999999999999999E-2</v>
      </c>
      <c r="G76" s="798"/>
      <c r="H76" s="1483">
        <v>1.4999999999999999E-2</v>
      </c>
      <c r="I76" s="1484"/>
      <c r="J76" s="1483">
        <v>0.01</v>
      </c>
      <c r="K76" s="1484"/>
    </row>
    <row r="77" spans="2:29" ht="12.75" customHeight="1">
      <c r="B77" s="804" t="s">
        <v>195</v>
      </c>
      <c r="C77" s="814">
        <v>0.02</v>
      </c>
      <c r="D77" s="815">
        <v>0.02</v>
      </c>
      <c r="E77" s="815">
        <v>0.02</v>
      </c>
      <c r="F77" s="816">
        <v>0.02</v>
      </c>
      <c r="G77" s="798"/>
      <c r="H77" s="1483">
        <v>0.02</v>
      </c>
      <c r="I77" s="1484"/>
      <c r="J77" s="1483">
        <v>0.02</v>
      </c>
      <c r="K77" s="1484"/>
    </row>
    <row r="78" spans="2:29" ht="12.75" customHeight="1">
      <c r="B78" s="804" t="s">
        <v>595</v>
      </c>
      <c r="C78" s="814">
        <v>0.6</v>
      </c>
      <c r="D78" s="815">
        <v>0.4</v>
      </c>
      <c r="E78" s="815">
        <v>0.2</v>
      </c>
      <c r="F78" s="816">
        <v>0.1</v>
      </c>
      <c r="G78" s="798"/>
      <c r="H78" s="1483">
        <v>0.05</v>
      </c>
      <c r="I78" s="1484"/>
      <c r="J78" s="1483">
        <v>0.02</v>
      </c>
      <c r="K78" s="1484"/>
    </row>
    <row r="79" spans="2:29" ht="12.75" customHeight="1">
      <c r="B79" s="804" t="s">
        <v>596</v>
      </c>
      <c r="C79" s="814">
        <v>0.1</v>
      </c>
      <c r="D79" s="815">
        <v>7.4999999999999997E-2</v>
      </c>
      <c r="E79" s="815">
        <v>0.05</v>
      </c>
      <c r="F79" s="816">
        <v>2.5000000000000001E-2</v>
      </c>
      <c r="G79" s="798"/>
      <c r="H79" s="1483">
        <v>0.03</v>
      </c>
      <c r="I79" s="1484"/>
      <c r="J79" s="1483">
        <v>0.02</v>
      </c>
      <c r="K79" s="1484"/>
    </row>
    <row r="80" spans="2:29" ht="12.75" customHeight="1" thickBot="1">
      <c r="B80" s="805" t="s">
        <v>597</v>
      </c>
      <c r="C80" s="782">
        <v>0.02</v>
      </c>
      <c r="D80" s="783">
        <v>1.4999999999999999E-2</v>
      </c>
      <c r="E80" s="783">
        <v>0.01</v>
      </c>
      <c r="F80" s="625">
        <v>0.01</v>
      </c>
      <c r="G80" s="798"/>
      <c r="H80" s="1485">
        <v>0.01</v>
      </c>
      <c r="I80" s="1486"/>
      <c r="J80" s="1485">
        <v>0.01</v>
      </c>
      <c r="K80" s="1486"/>
    </row>
    <row r="82" spans="2:29" ht="12.75" customHeight="1">
      <c r="B82" s="1469" t="s">
        <v>598</v>
      </c>
      <c r="C82" s="1469"/>
      <c r="D82" s="1469"/>
      <c r="E82" s="1469"/>
      <c r="F82" s="1469"/>
      <c r="H82" s="527"/>
    </row>
    <row r="83" spans="2:29" ht="12.75" customHeight="1" thickBot="1">
      <c r="D83" s="633"/>
      <c r="H83" s="527"/>
    </row>
    <row r="84" spans="2:29" ht="12.75" customHeight="1" thickBot="1">
      <c r="B84" s="2"/>
      <c r="C84" s="806">
        <v>2024</v>
      </c>
      <c r="D84" s="807">
        <v>2025</v>
      </c>
      <c r="E84" s="807">
        <v>2026</v>
      </c>
      <c r="F84" s="784">
        <v>2027</v>
      </c>
      <c r="G84" s="798"/>
      <c r="H84" s="614">
        <v>2028</v>
      </c>
      <c r="I84" s="614">
        <f>H84+1</f>
        <v>2029</v>
      </c>
      <c r="J84" s="614">
        <f t="shared" ref="J84:K84" si="12">I84+1</f>
        <v>2030</v>
      </c>
      <c r="K84" s="614">
        <f t="shared" si="12"/>
        <v>2031</v>
      </c>
      <c r="L84" s="614">
        <f t="shared" ref="L84:AB84" si="13">K84+1</f>
        <v>2032</v>
      </c>
      <c r="M84" s="614">
        <f t="shared" si="13"/>
        <v>2033</v>
      </c>
      <c r="N84" s="614">
        <f t="shared" si="13"/>
        <v>2034</v>
      </c>
      <c r="O84" s="614">
        <f t="shared" si="13"/>
        <v>2035</v>
      </c>
      <c r="P84" s="614">
        <f t="shared" si="13"/>
        <v>2036</v>
      </c>
      <c r="Q84" s="614">
        <f t="shared" si="13"/>
        <v>2037</v>
      </c>
      <c r="R84" s="614">
        <f t="shared" si="13"/>
        <v>2038</v>
      </c>
      <c r="S84" s="614">
        <f t="shared" si="13"/>
        <v>2039</v>
      </c>
      <c r="T84" s="614">
        <f t="shared" si="13"/>
        <v>2040</v>
      </c>
      <c r="U84" s="614">
        <f t="shared" si="13"/>
        <v>2041</v>
      </c>
      <c r="V84" s="614">
        <f t="shared" si="13"/>
        <v>2042</v>
      </c>
      <c r="W84" s="614">
        <f t="shared" si="13"/>
        <v>2043</v>
      </c>
      <c r="X84" s="614">
        <f t="shared" si="13"/>
        <v>2044</v>
      </c>
      <c r="Y84" s="614">
        <f t="shared" si="13"/>
        <v>2045</v>
      </c>
      <c r="Z84" s="614">
        <f t="shared" si="13"/>
        <v>2046</v>
      </c>
      <c r="AA84" s="614">
        <f t="shared" si="13"/>
        <v>2047</v>
      </c>
      <c r="AB84" s="614">
        <f t="shared" si="13"/>
        <v>2048</v>
      </c>
      <c r="AC84" s="784">
        <f t="shared" ref="AC84" si="14">AB84+1</f>
        <v>2049</v>
      </c>
    </row>
    <row r="85" spans="2:29" ht="12.75" customHeight="1">
      <c r="B85" s="803" t="s">
        <v>193</v>
      </c>
      <c r="C85" s="800">
        <f t="shared" ref="C85:C90" si="15">C222*(1+C75)</f>
        <v>3046.4700000000003</v>
      </c>
      <c r="D85" s="777">
        <f>3046.47*(1+D75)</f>
        <v>3183.5611499999995</v>
      </c>
      <c r="E85" s="777">
        <f t="shared" ref="E85:F90" si="16">D85*(1+E75)</f>
        <v>3310.9035959999997</v>
      </c>
      <c r="F85" s="778">
        <f t="shared" si="16"/>
        <v>3426.7852218599992</v>
      </c>
      <c r="G85" s="798"/>
      <c r="H85" s="776">
        <f>F85*($H$75+1)</f>
        <v>3529.5887785157993</v>
      </c>
      <c r="I85" s="777">
        <f t="shared" ref="I85:O85" si="17">H85*($H$75+1)</f>
        <v>3635.4764418712734</v>
      </c>
      <c r="J85" s="777">
        <f t="shared" si="17"/>
        <v>3744.5407351274116</v>
      </c>
      <c r="K85" s="777">
        <f t="shared" si="17"/>
        <v>3856.876957181234</v>
      </c>
      <c r="L85" s="777">
        <f t="shared" si="17"/>
        <v>3972.583265896671</v>
      </c>
      <c r="M85" s="777">
        <f t="shared" si="17"/>
        <v>4091.7607638735712</v>
      </c>
      <c r="N85" s="777">
        <f t="shared" si="17"/>
        <v>4214.5135867897789</v>
      </c>
      <c r="O85" s="777">
        <f t="shared" si="17"/>
        <v>4340.9489943934723</v>
      </c>
      <c r="P85" s="777">
        <f t="shared" ref="P85:AC85" si="18">O85*($J$75+1)</f>
        <v>4427.7679742813416</v>
      </c>
      <c r="Q85" s="777">
        <f t="shared" si="18"/>
        <v>4516.3233337669681</v>
      </c>
      <c r="R85" s="777">
        <f t="shared" si="18"/>
        <v>4606.6498004423074</v>
      </c>
      <c r="S85" s="777">
        <f t="shared" si="18"/>
        <v>4698.7827964511534</v>
      </c>
      <c r="T85" s="777">
        <f t="shared" si="18"/>
        <v>4792.758452380177</v>
      </c>
      <c r="U85" s="777">
        <f t="shared" si="18"/>
        <v>4888.6136214277803</v>
      </c>
      <c r="V85" s="777">
        <f t="shared" si="18"/>
        <v>4986.3858938563362</v>
      </c>
      <c r="W85" s="777">
        <f t="shared" si="18"/>
        <v>5086.1136117334627</v>
      </c>
      <c r="X85" s="777">
        <f t="shared" si="18"/>
        <v>5187.8358839681323</v>
      </c>
      <c r="Y85" s="777">
        <f t="shared" si="18"/>
        <v>5291.592601647495</v>
      </c>
      <c r="Z85" s="777">
        <f t="shared" si="18"/>
        <v>5397.4244536804454</v>
      </c>
      <c r="AA85" s="777">
        <f t="shared" si="18"/>
        <v>5505.3729427540547</v>
      </c>
      <c r="AB85" s="777">
        <f t="shared" si="18"/>
        <v>5615.4804016091357</v>
      </c>
      <c r="AC85" s="778">
        <f t="shared" si="18"/>
        <v>5727.7900096413186</v>
      </c>
    </row>
    <row r="86" spans="2:29" ht="12.75" customHeight="1">
      <c r="B86" s="804" t="s">
        <v>594</v>
      </c>
      <c r="C86" s="801">
        <f t="shared" si="15"/>
        <v>1899.0110000000002</v>
      </c>
      <c r="D86" s="780">
        <f>C86*(1+D76)</f>
        <v>1946.486275</v>
      </c>
      <c r="E86" s="780">
        <f t="shared" si="16"/>
        <v>1985.4160005000001</v>
      </c>
      <c r="F86" s="781">
        <f t="shared" si="16"/>
        <v>2015.1972405074998</v>
      </c>
      <c r="G86" s="798"/>
      <c r="H86" s="779">
        <f>F86*(1+H76)</f>
        <v>2045.425199115112</v>
      </c>
      <c r="I86" s="780">
        <f t="shared" ref="I86:O90" si="19">H86*(1+$H$76)</f>
        <v>2076.1065771018384</v>
      </c>
      <c r="J86" s="780">
        <f t="shared" si="19"/>
        <v>2107.248175758366</v>
      </c>
      <c r="K86" s="780">
        <f t="shared" si="19"/>
        <v>2138.8568983947412</v>
      </c>
      <c r="L86" s="780">
        <f t="shared" si="19"/>
        <v>2170.9397518706619</v>
      </c>
      <c r="M86" s="780">
        <f t="shared" si="19"/>
        <v>2203.5038481487218</v>
      </c>
      <c r="N86" s="780">
        <f t="shared" si="19"/>
        <v>2236.5564058709524</v>
      </c>
      <c r="O86" s="780">
        <f t="shared" si="19"/>
        <v>2270.1047519590165</v>
      </c>
      <c r="P86" s="780">
        <f t="shared" ref="P86:AC86" si="20">O86*(1+$J$76)</f>
        <v>2292.8057994786068</v>
      </c>
      <c r="Q86" s="780">
        <f t="shared" si="20"/>
        <v>2315.7338574733931</v>
      </c>
      <c r="R86" s="780">
        <f t="shared" si="20"/>
        <v>2338.8911960481269</v>
      </c>
      <c r="S86" s="780">
        <f t="shared" si="20"/>
        <v>2362.2801080086083</v>
      </c>
      <c r="T86" s="780">
        <f t="shared" si="20"/>
        <v>2385.9029090886943</v>
      </c>
      <c r="U86" s="780">
        <f t="shared" si="20"/>
        <v>2409.7619381795812</v>
      </c>
      <c r="V86" s="780">
        <f t="shared" si="20"/>
        <v>2433.8595575613772</v>
      </c>
      <c r="W86" s="780">
        <f t="shared" si="20"/>
        <v>2458.1981531369911</v>
      </c>
      <c r="X86" s="780">
        <f t="shared" si="20"/>
        <v>2482.7801346683609</v>
      </c>
      <c r="Y86" s="780">
        <f t="shared" si="20"/>
        <v>2507.6079360150447</v>
      </c>
      <c r="Z86" s="780">
        <f t="shared" si="20"/>
        <v>2532.684015375195</v>
      </c>
      <c r="AA86" s="780">
        <f t="shared" si="20"/>
        <v>2558.0108555289471</v>
      </c>
      <c r="AB86" s="780">
        <f t="shared" si="20"/>
        <v>2583.5909640842365</v>
      </c>
      <c r="AC86" s="781">
        <f t="shared" si="20"/>
        <v>2609.4268737250791</v>
      </c>
    </row>
    <row r="87" spans="2:29" ht="12.75" customHeight="1">
      <c r="B87" s="804" t="s">
        <v>195</v>
      </c>
      <c r="C87" s="801">
        <f t="shared" si="15"/>
        <v>298.55399999999997</v>
      </c>
      <c r="D87" s="780">
        <f>C87*(1+D77)</f>
        <v>304.52508</v>
      </c>
      <c r="E87" s="780">
        <f t="shared" si="16"/>
        <v>310.61558159999998</v>
      </c>
      <c r="F87" s="781">
        <f t="shared" si="16"/>
        <v>316.82789323200001</v>
      </c>
      <c r="G87" s="798"/>
      <c r="H87" s="779">
        <f>F87*(1+H77)</f>
        <v>323.16445109663999</v>
      </c>
      <c r="I87" s="780">
        <f t="shared" si="19"/>
        <v>328.01191786308954</v>
      </c>
      <c r="J87" s="780">
        <f t="shared" si="19"/>
        <v>332.93209663103585</v>
      </c>
      <c r="K87" s="780">
        <f t="shared" si="19"/>
        <v>337.92607808050133</v>
      </c>
      <c r="L87" s="780">
        <f t="shared" si="19"/>
        <v>342.99496925170882</v>
      </c>
      <c r="M87" s="780">
        <f t="shared" si="19"/>
        <v>348.13989379048445</v>
      </c>
      <c r="N87" s="780">
        <f t="shared" si="19"/>
        <v>353.36199219734169</v>
      </c>
      <c r="O87" s="780">
        <f t="shared" si="19"/>
        <v>358.66242208030178</v>
      </c>
      <c r="P87" s="780">
        <f t="shared" ref="P87:AC87" si="21">O87*(1+$J$76)</f>
        <v>362.24904630110478</v>
      </c>
      <c r="Q87" s="780">
        <f t="shared" si="21"/>
        <v>365.87153676411583</v>
      </c>
      <c r="R87" s="780">
        <f t="shared" si="21"/>
        <v>369.53025213175698</v>
      </c>
      <c r="S87" s="780">
        <f t="shared" si="21"/>
        <v>373.22555465307454</v>
      </c>
      <c r="T87" s="780">
        <f t="shared" si="21"/>
        <v>376.95781019960526</v>
      </c>
      <c r="U87" s="780">
        <f t="shared" si="21"/>
        <v>380.72738830160131</v>
      </c>
      <c r="V87" s="780">
        <f t="shared" si="21"/>
        <v>384.53466218461733</v>
      </c>
      <c r="W87" s="780">
        <f t="shared" si="21"/>
        <v>388.38000880646354</v>
      </c>
      <c r="X87" s="780">
        <f t="shared" si="21"/>
        <v>392.26380889452815</v>
      </c>
      <c r="Y87" s="780">
        <f t="shared" si="21"/>
        <v>396.18644698347345</v>
      </c>
      <c r="Z87" s="780">
        <f t="shared" si="21"/>
        <v>400.14831145330817</v>
      </c>
      <c r="AA87" s="780">
        <f t="shared" si="21"/>
        <v>404.14979456784124</v>
      </c>
      <c r="AB87" s="780">
        <f t="shared" si="21"/>
        <v>408.19129251351967</v>
      </c>
      <c r="AC87" s="781">
        <f t="shared" si="21"/>
        <v>412.27320543865488</v>
      </c>
    </row>
    <row r="88" spans="2:29" ht="12.75" customHeight="1">
      <c r="B88" s="804" t="s">
        <v>595</v>
      </c>
      <c r="C88" s="801">
        <f t="shared" si="15"/>
        <v>582.08000000000004</v>
      </c>
      <c r="D88" s="780">
        <f>C88*(1+D78)</f>
        <v>814.91200000000003</v>
      </c>
      <c r="E88" s="780">
        <f t="shared" si="16"/>
        <v>977.89440000000002</v>
      </c>
      <c r="F88" s="781">
        <f t="shared" si="16"/>
        <v>1075.6838400000001</v>
      </c>
      <c r="G88" s="798"/>
      <c r="H88" s="779">
        <f>F88*(1+H78)</f>
        <v>1129.4680320000002</v>
      </c>
      <c r="I88" s="780">
        <f t="shared" si="19"/>
        <v>1146.4100524800001</v>
      </c>
      <c r="J88" s="780">
        <f t="shared" si="19"/>
        <v>1163.6062032672</v>
      </c>
      <c r="K88" s="780">
        <f t="shared" si="19"/>
        <v>1181.060296316208</v>
      </c>
      <c r="L88" s="780">
        <f t="shared" si="19"/>
        <v>1198.776200760951</v>
      </c>
      <c r="M88" s="780">
        <f t="shared" si="19"/>
        <v>1216.7578437723653</v>
      </c>
      <c r="N88" s="780">
        <f t="shared" si="19"/>
        <v>1235.0092114289507</v>
      </c>
      <c r="O88" s="780">
        <f t="shared" si="19"/>
        <v>1253.5343496003848</v>
      </c>
      <c r="P88" s="780">
        <f t="shared" ref="P88:AC88" si="22">O88*(1+$J$76)</f>
        <v>1266.0696930963886</v>
      </c>
      <c r="Q88" s="780">
        <f t="shared" si="22"/>
        <v>1278.7303900273525</v>
      </c>
      <c r="R88" s="780">
        <f t="shared" si="22"/>
        <v>1291.5176939276262</v>
      </c>
      <c r="S88" s="780">
        <f t="shared" si="22"/>
        <v>1304.4328708669025</v>
      </c>
      <c r="T88" s="780">
        <f t="shared" si="22"/>
        <v>1317.4771995755716</v>
      </c>
      <c r="U88" s="780">
        <f t="shared" si="22"/>
        <v>1330.6519715713273</v>
      </c>
      <c r="V88" s="780">
        <f t="shared" si="22"/>
        <v>1343.9584912870405</v>
      </c>
      <c r="W88" s="780">
        <f t="shared" si="22"/>
        <v>1357.398076199911</v>
      </c>
      <c r="X88" s="780">
        <f t="shared" si="22"/>
        <v>1370.9720569619101</v>
      </c>
      <c r="Y88" s="780">
        <f t="shared" si="22"/>
        <v>1384.6817775315292</v>
      </c>
      <c r="Z88" s="780">
        <f t="shared" si="22"/>
        <v>1398.5285953068444</v>
      </c>
      <c r="AA88" s="780">
        <f t="shared" si="22"/>
        <v>1412.513881259913</v>
      </c>
      <c r="AB88" s="780">
        <f t="shared" si="22"/>
        <v>1426.639020072512</v>
      </c>
      <c r="AC88" s="781">
        <f t="shared" si="22"/>
        <v>1440.9054102732371</v>
      </c>
    </row>
    <row r="89" spans="2:29" ht="12.75" customHeight="1">
      <c r="B89" s="804" t="s">
        <v>596</v>
      </c>
      <c r="C89" s="801">
        <f t="shared" si="15"/>
        <v>23.650000000000002</v>
      </c>
      <c r="D89" s="780">
        <f>C89*(1+D79)</f>
        <v>25.423750000000002</v>
      </c>
      <c r="E89" s="780">
        <f t="shared" si="16"/>
        <v>26.694937500000002</v>
      </c>
      <c r="F89" s="781">
        <f t="shared" si="16"/>
        <v>27.362310937499998</v>
      </c>
      <c r="G89" s="798"/>
      <c r="H89" s="779">
        <f>F89*(1+H79)</f>
        <v>28.183180265624998</v>
      </c>
      <c r="I89" s="780">
        <f t="shared" si="19"/>
        <v>28.605927969609368</v>
      </c>
      <c r="J89" s="780">
        <f t="shared" si="19"/>
        <v>29.035016889153507</v>
      </c>
      <c r="K89" s="780">
        <f t="shared" si="19"/>
        <v>29.470542142490807</v>
      </c>
      <c r="L89" s="780">
        <f t="shared" si="19"/>
        <v>29.912600274628165</v>
      </c>
      <c r="M89" s="780">
        <f t="shared" si="19"/>
        <v>30.361289278747584</v>
      </c>
      <c r="N89" s="780">
        <f t="shared" si="19"/>
        <v>30.816708617928796</v>
      </c>
      <c r="O89" s="780">
        <f t="shared" si="19"/>
        <v>31.278959247197726</v>
      </c>
      <c r="P89" s="780">
        <f t="shared" ref="P89:AC89" si="23">O89*(1+$J$76)</f>
        <v>31.591748839669702</v>
      </c>
      <c r="Q89" s="780">
        <f t="shared" si="23"/>
        <v>31.907666328066398</v>
      </c>
      <c r="R89" s="780">
        <f t="shared" si="23"/>
        <v>32.226742991347059</v>
      </c>
      <c r="S89" s="780">
        <f t="shared" si="23"/>
        <v>32.549010421260533</v>
      </c>
      <c r="T89" s="780">
        <f t="shared" si="23"/>
        <v>32.874500525473138</v>
      </c>
      <c r="U89" s="780">
        <f t="shared" si="23"/>
        <v>33.20324553072787</v>
      </c>
      <c r="V89" s="780">
        <f t="shared" si="23"/>
        <v>33.535277986035148</v>
      </c>
      <c r="W89" s="780">
        <f t="shared" si="23"/>
        <v>33.870630765895498</v>
      </c>
      <c r="X89" s="780">
        <f t="shared" si="23"/>
        <v>34.209337073554451</v>
      </c>
      <c r="Y89" s="780">
        <f t="shared" si="23"/>
        <v>34.551430444289998</v>
      </c>
      <c r="Z89" s="780">
        <f t="shared" si="23"/>
        <v>34.896944748732899</v>
      </c>
      <c r="AA89" s="780">
        <f t="shared" si="23"/>
        <v>35.245914196220227</v>
      </c>
      <c r="AB89" s="780">
        <f t="shared" si="23"/>
        <v>35.598373338182427</v>
      </c>
      <c r="AC89" s="781">
        <f t="shared" si="23"/>
        <v>35.954357071564253</v>
      </c>
    </row>
    <row r="90" spans="2:29" ht="12.75" customHeight="1" thickBot="1">
      <c r="B90" s="808" t="s">
        <v>597</v>
      </c>
      <c r="C90" s="802">
        <f t="shared" si="15"/>
        <v>69.25800000000001</v>
      </c>
      <c r="D90" s="797">
        <f>C90*(1+D80)</f>
        <v>70.296869999999998</v>
      </c>
      <c r="E90" s="797">
        <f t="shared" si="16"/>
        <v>70.999838699999998</v>
      </c>
      <c r="F90" s="799">
        <f t="shared" si="16"/>
        <v>71.709837086999997</v>
      </c>
      <c r="G90" s="798"/>
      <c r="H90" s="817">
        <f>F90*(1+H80)</f>
        <v>72.426935457870002</v>
      </c>
      <c r="I90" s="818">
        <f t="shared" si="19"/>
        <v>73.513339489738044</v>
      </c>
      <c r="J90" s="818">
        <f t="shared" si="19"/>
        <v>74.616039582084113</v>
      </c>
      <c r="K90" s="818">
        <f t="shared" si="19"/>
        <v>75.735280175815362</v>
      </c>
      <c r="L90" s="818">
        <f t="shared" si="19"/>
        <v>76.87130937845258</v>
      </c>
      <c r="M90" s="818">
        <f t="shared" si="19"/>
        <v>78.024379019129356</v>
      </c>
      <c r="N90" s="818">
        <f t="shared" si="19"/>
        <v>79.194744704416294</v>
      </c>
      <c r="O90" s="818">
        <f t="shared" si="19"/>
        <v>80.382665874982536</v>
      </c>
      <c r="P90" s="818">
        <f t="shared" ref="P90:AC90" si="24">O90*(1+$J$76)</f>
        <v>81.186492533732363</v>
      </c>
      <c r="Q90" s="818">
        <f t="shared" si="24"/>
        <v>81.99835745906968</v>
      </c>
      <c r="R90" s="818">
        <f t="shared" si="24"/>
        <v>82.818341033660374</v>
      </c>
      <c r="S90" s="818">
        <f t="shared" si="24"/>
        <v>83.646524443996981</v>
      </c>
      <c r="T90" s="818">
        <f t="shared" si="24"/>
        <v>84.482989688436945</v>
      </c>
      <c r="U90" s="818">
        <f t="shared" si="24"/>
        <v>85.327819585321322</v>
      </c>
      <c r="V90" s="818">
        <f t="shared" si="24"/>
        <v>86.181097781174529</v>
      </c>
      <c r="W90" s="818">
        <f t="shared" si="24"/>
        <v>87.042908758986272</v>
      </c>
      <c r="X90" s="818">
        <f t="shared" si="24"/>
        <v>87.913337846576141</v>
      </c>
      <c r="Y90" s="818">
        <f t="shared" si="24"/>
        <v>88.792471225041908</v>
      </c>
      <c r="Z90" s="818">
        <f t="shared" si="24"/>
        <v>89.680395937292332</v>
      </c>
      <c r="AA90" s="818">
        <f t="shared" si="24"/>
        <v>90.577199896665249</v>
      </c>
      <c r="AB90" s="818">
        <f t="shared" si="24"/>
        <v>91.482971895631906</v>
      </c>
      <c r="AC90" s="819">
        <f t="shared" si="24"/>
        <v>92.397801614588232</v>
      </c>
    </row>
    <row r="91" spans="2:29" ht="12.75" customHeight="1" thickBot="1">
      <c r="B91" s="809" t="s">
        <v>511</v>
      </c>
      <c r="C91" s="820">
        <f>SUM(C85:C89)</f>
        <v>5849.7650000000003</v>
      </c>
      <c r="D91" s="820">
        <f>SUM(D85:D90)</f>
        <v>6345.2051250000004</v>
      </c>
      <c r="E91" s="820">
        <f t="shared" ref="E91:F91" si="25">SUM(E85:E90)</f>
        <v>6682.5243542999997</v>
      </c>
      <c r="F91" s="820">
        <f t="shared" si="25"/>
        <v>6933.5663436240002</v>
      </c>
      <c r="G91" s="798"/>
      <c r="H91" s="820">
        <f t="shared" ref="H91:AC91" si="26">SUM(H85:H90)</f>
        <v>7128.2565764510473</v>
      </c>
      <c r="I91" s="820">
        <f t="shared" si="26"/>
        <v>7288.1242567755489</v>
      </c>
      <c r="J91" s="820">
        <f t="shared" si="26"/>
        <v>7451.9782672552519</v>
      </c>
      <c r="K91" s="820">
        <f t="shared" si="26"/>
        <v>7619.9260522909908</v>
      </c>
      <c r="L91" s="820">
        <f t="shared" si="26"/>
        <v>7792.0780974330728</v>
      </c>
      <c r="M91" s="820">
        <f t="shared" si="26"/>
        <v>7968.5480178830185</v>
      </c>
      <c r="N91" s="820">
        <f t="shared" si="26"/>
        <v>8149.4526496093695</v>
      </c>
      <c r="O91" s="820">
        <f t="shared" si="26"/>
        <v>8334.9121431553558</v>
      </c>
      <c r="P91" s="820">
        <f t="shared" si="26"/>
        <v>8461.6707545308436</v>
      </c>
      <c r="Q91" s="820">
        <f t="shared" si="26"/>
        <v>8590.5651418189664</v>
      </c>
      <c r="R91" s="820">
        <f t="shared" si="26"/>
        <v>8721.634026574824</v>
      </c>
      <c r="S91" s="820">
        <f t="shared" si="26"/>
        <v>8854.9168648449959</v>
      </c>
      <c r="T91" s="820">
        <f t="shared" si="26"/>
        <v>8990.4538614579578</v>
      </c>
      <c r="U91" s="820">
        <f t="shared" si="26"/>
        <v>9128.2859845963394</v>
      </c>
      <c r="V91" s="820">
        <f t="shared" si="26"/>
        <v>9268.454980656581</v>
      </c>
      <c r="W91" s="820">
        <f t="shared" si="26"/>
        <v>9411.0033894017106</v>
      </c>
      <c r="X91" s="820">
        <f t="shared" si="26"/>
        <v>9555.9745594130618</v>
      </c>
      <c r="Y91" s="820">
        <f t="shared" si="26"/>
        <v>9703.4126638468733</v>
      </c>
      <c r="Z91" s="820">
        <f t="shared" si="26"/>
        <v>9853.362716501817</v>
      </c>
      <c r="AA91" s="820">
        <f t="shared" si="26"/>
        <v>10005.870588203641</v>
      </c>
      <c r="AB91" s="820">
        <f t="shared" si="26"/>
        <v>10160.983023513219</v>
      </c>
      <c r="AC91" s="820">
        <f t="shared" si="26"/>
        <v>10318.747657764443</v>
      </c>
    </row>
    <row r="92" spans="2:29" ht="12.75" customHeight="1" thickBot="1">
      <c r="B92" s="809" t="s">
        <v>599</v>
      </c>
      <c r="C92" s="821">
        <f>C91/C228-1</f>
        <v>6.5336914951739322E-2</v>
      </c>
      <c r="D92" s="821">
        <f>D91/C91-1</f>
        <v>8.4694021896606131E-2</v>
      </c>
      <c r="E92" s="821">
        <f>E91/D91-1</f>
        <v>5.3161280471606398E-2</v>
      </c>
      <c r="F92" s="821">
        <f>F91/E91-1</f>
        <v>3.7566939679383626E-2</v>
      </c>
      <c r="G92" s="798"/>
      <c r="H92" s="821">
        <f>H91/F91-1</f>
        <v>2.807937837157648E-2</v>
      </c>
      <c r="I92" s="821">
        <f>I91/H91-1</f>
        <v>2.2427318462783896E-2</v>
      </c>
      <c r="J92" s="821">
        <f t="shared" ref="J92:AC92" si="27">J91/I91-1</f>
        <v>2.2482329431660508E-2</v>
      </c>
      <c r="K92" s="821">
        <f t="shared" si="27"/>
        <v>2.2537342301938601E-2</v>
      </c>
      <c r="L92" s="821">
        <f t="shared" si="27"/>
        <v>2.2592351154159029E-2</v>
      </c>
      <c r="M92" s="821">
        <f t="shared" si="27"/>
        <v>2.2647350070590155E-2</v>
      </c>
      <c r="N92" s="821">
        <f t="shared" si="27"/>
        <v>2.2702333137776698E-2</v>
      </c>
      <c r="O92" s="821">
        <f t="shared" si="27"/>
        <v>2.2757294449078813E-2</v>
      </c>
      <c r="P92" s="821">
        <f t="shared" si="27"/>
        <v>1.5208152071474634E-2</v>
      </c>
      <c r="Q92" s="821">
        <f t="shared" si="27"/>
        <v>1.5232734885023191E-2</v>
      </c>
      <c r="R92" s="821">
        <f t="shared" si="27"/>
        <v>1.5257306427700845E-2</v>
      </c>
      <c r="S92" s="821">
        <f t="shared" si="27"/>
        <v>1.52818655155742E-2</v>
      </c>
      <c r="T92" s="821">
        <f t="shared" si="27"/>
        <v>1.5306410967115713E-2</v>
      </c>
      <c r="U92" s="821">
        <f t="shared" si="27"/>
        <v>1.5330941603434178E-2</v>
      </c>
      <c r="V92" s="821">
        <f t="shared" si="27"/>
        <v>1.5355456248497434E-2</v>
      </c>
      <c r="W92" s="821">
        <f t="shared" si="27"/>
        <v>1.5379953729357299E-2</v>
      </c>
      <c r="X92" s="821">
        <f t="shared" si="27"/>
        <v>1.5404432876372276E-2</v>
      </c>
      <c r="Y92" s="821">
        <f t="shared" si="27"/>
        <v>1.5428892523429605E-2</v>
      </c>
      <c r="Z92" s="821">
        <f t="shared" si="27"/>
        <v>1.5453331508164192E-2</v>
      </c>
      <c r="AA92" s="821">
        <f t="shared" si="27"/>
        <v>1.5477748672177993E-2</v>
      </c>
      <c r="AB92" s="821">
        <f t="shared" si="27"/>
        <v>1.5502142861256507E-2</v>
      </c>
      <c r="AC92" s="821">
        <f t="shared" si="27"/>
        <v>1.5526512925584601E-2</v>
      </c>
    </row>
    <row r="96" spans="2:29" ht="16.5" customHeight="1">
      <c r="B96" s="1471" t="s">
        <v>600</v>
      </c>
      <c r="C96" s="1471"/>
      <c r="D96" s="1471"/>
      <c r="E96" s="1471"/>
      <c r="F96" s="1471"/>
    </row>
    <row r="97" spans="2:29" ht="12.6">
      <c r="B97" s="1472" t="s">
        <v>601</v>
      </c>
      <c r="C97" s="1473"/>
      <c r="D97" s="1473"/>
      <c r="E97" s="1473"/>
      <c r="F97" s="1474"/>
      <c r="L97" s="785"/>
    </row>
    <row r="98" spans="2:29" ht="12.6">
      <c r="B98" s="1475"/>
      <c r="C98" s="1476"/>
      <c r="D98" s="1476"/>
      <c r="E98" s="1476"/>
      <c r="F98" s="1477"/>
      <c r="H98" s="527"/>
    </row>
    <row r="99" spans="2:29" ht="12.75" customHeight="1">
      <c r="B99" s="1475"/>
      <c r="C99" s="1476"/>
      <c r="D99" s="1476"/>
      <c r="E99" s="1476"/>
      <c r="F99" s="1477"/>
      <c r="H99" s="527"/>
    </row>
    <row r="100" spans="2:29" ht="12.75" customHeight="1">
      <c r="B100" s="1475"/>
      <c r="C100" s="1476"/>
      <c r="D100" s="1476"/>
      <c r="E100" s="1476"/>
      <c r="F100" s="1477"/>
      <c r="H100" s="527"/>
    </row>
    <row r="101" spans="2:29" ht="12.75" customHeight="1">
      <c r="B101" s="1478"/>
      <c r="C101" s="1479"/>
      <c r="D101" s="1479"/>
      <c r="E101" s="1479"/>
      <c r="F101" s="1480"/>
      <c r="H101" s="527"/>
    </row>
    <row r="102" spans="2:29" ht="12.75" customHeight="1">
      <c r="H102" s="527"/>
    </row>
    <row r="103" spans="2:29" ht="12.75" customHeight="1">
      <c r="B103"/>
      <c r="C103"/>
      <c r="D103"/>
      <c r="E103"/>
      <c r="F103"/>
    </row>
    <row r="108" spans="2:29" s="789" customFormat="1" ht="14.1">
      <c r="B108" s="1481" t="s">
        <v>602</v>
      </c>
      <c r="C108" s="1481"/>
      <c r="D108" s="1481"/>
      <c r="E108" s="1481"/>
      <c r="H108" s="790"/>
    </row>
    <row r="109" spans="2:29" ht="12.75" customHeight="1" thickBot="1"/>
    <row r="110" spans="2:29" ht="12.75" customHeight="1" thickBot="1">
      <c r="B110" s="1467" t="s">
        <v>603</v>
      </c>
      <c r="C110" s="791" t="s">
        <v>586</v>
      </c>
      <c r="D110" s="792">
        <v>2024</v>
      </c>
      <c r="E110" s="793">
        <v>2025</v>
      </c>
      <c r="F110" s="793">
        <v>2026</v>
      </c>
      <c r="G110" s="793">
        <v>2027</v>
      </c>
      <c r="H110" s="793">
        <v>2028</v>
      </c>
      <c r="I110" s="793">
        <v>2029</v>
      </c>
      <c r="J110" s="793">
        <v>2030</v>
      </c>
      <c r="K110" s="793">
        <v>2031</v>
      </c>
      <c r="L110" s="793">
        <v>2032</v>
      </c>
      <c r="M110" s="793">
        <v>2033</v>
      </c>
      <c r="N110" s="793">
        <v>2034</v>
      </c>
      <c r="O110" s="793">
        <v>2035</v>
      </c>
      <c r="P110" s="793">
        <v>2036</v>
      </c>
      <c r="Q110" s="793">
        <v>2037</v>
      </c>
      <c r="R110" s="793">
        <v>2038</v>
      </c>
      <c r="S110" s="793">
        <v>2039</v>
      </c>
      <c r="T110" s="793">
        <v>2040</v>
      </c>
      <c r="U110" s="793">
        <v>2041</v>
      </c>
      <c r="V110" s="793">
        <v>2042</v>
      </c>
      <c r="W110" s="793">
        <v>2043</v>
      </c>
      <c r="X110" s="793">
        <v>2044</v>
      </c>
      <c r="Y110" s="793">
        <v>2045</v>
      </c>
      <c r="Z110" s="793">
        <v>2046</v>
      </c>
      <c r="AA110" s="793">
        <v>2047</v>
      </c>
      <c r="AB110" s="793">
        <v>2048</v>
      </c>
      <c r="AC110" s="794">
        <v>2049</v>
      </c>
    </row>
    <row r="111" spans="2:29" ht="12.75" customHeight="1" thickBot="1">
      <c r="B111" s="1467"/>
      <c r="C111" s="795" t="s">
        <v>587</v>
      </c>
      <c r="D111" s="822">
        <f>C136</f>
        <v>0.11039774175924255</v>
      </c>
      <c r="E111" s="822">
        <f>D136</f>
        <v>0.10201523848511296</v>
      </c>
      <c r="F111" s="822">
        <f>E136</f>
        <v>7.8739220291484946E-2</v>
      </c>
      <c r="G111" s="822">
        <f>F136</f>
        <v>6.2724876739311597E-2</v>
      </c>
      <c r="H111" s="823">
        <f>H136</f>
        <v>3.9493330276121563E-2</v>
      </c>
      <c r="I111" s="823">
        <f t="shared" ref="I111:AC111" si="28">I136</f>
        <v>3.9587864545021834E-2</v>
      </c>
      <c r="J111" s="823">
        <f t="shared" si="28"/>
        <v>3.9681824465165771E-2</v>
      </c>
      <c r="K111" s="823">
        <f t="shared" si="28"/>
        <v>3.9775198431886372E-2</v>
      </c>
      <c r="L111" s="823">
        <f t="shared" si="28"/>
        <v>3.986797522634955E-2</v>
      </c>
      <c r="M111" s="823">
        <f t="shared" si="28"/>
        <v>3.9960144018491572E-2</v>
      </c>
      <c r="N111" s="823">
        <f t="shared" si="28"/>
        <v>4.0051694369488411E-2</v>
      </c>
      <c r="O111" s="823">
        <f t="shared" si="28"/>
        <v>4.0142616233731498E-2</v>
      </c>
      <c r="P111" s="823">
        <f t="shared" si="28"/>
        <v>2.7746156459181215E-2</v>
      </c>
      <c r="Q111" s="823">
        <f t="shared" si="28"/>
        <v>2.7873076298419397E-2</v>
      </c>
      <c r="R111" s="823">
        <f t="shared" si="28"/>
        <v>2.8001809492651297E-2</v>
      </c>
      <c r="S111" s="823">
        <f t="shared" si="28"/>
        <v>2.8132353435757151E-2</v>
      </c>
      <c r="T111" s="823">
        <f t="shared" si="28"/>
        <v>2.8264704166050203E-2</v>
      </c>
      <c r="U111" s="823">
        <f t="shared" si="28"/>
        <v>2.8398856330712041E-2</v>
      </c>
      <c r="V111" s="823">
        <f t="shared" si="28"/>
        <v>2.8534803151567978E-2</v>
      </c>
      <c r="W111" s="823">
        <f t="shared" si="28"/>
        <v>2.8672536392359005E-2</v>
      </c>
      <c r="X111" s="823">
        <f t="shared" si="28"/>
        <v>2.8812046327643337E-2</v>
      </c>
      <c r="Y111" s="823">
        <f t="shared" si="28"/>
        <v>2.8953321713481195E-2</v>
      </c>
      <c r="Z111" s="823">
        <f t="shared" si="28"/>
        <v>2.909634976004738E-2</v>
      </c>
      <c r="AA111" s="823">
        <f t="shared" si="28"/>
        <v>2.9241116106318632E-2</v>
      </c>
      <c r="AB111" s="823">
        <f t="shared" si="28"/>
        <v>2.9387604796978772E-2</v>
      </c>
      <c r="AC111" s="824">
        <f t="shared" si="28"/>
        <v>2.9535798261686397E-2</v>
      </c>
    </row>
    <row r="112" spans="2:29" ht="12.75" customHeight="1" thickBot="1">
      <c r="B112" s="1467"/>
      <c r="C112" s="795" t="s">
        <v>588</v>
      </c>
      <c r="D112" s="825">
        <f>C135</f>
        <v>6097.1940000000004</v>
      </c>
      <c r="E112" s="825">
        <f>D135</f>
        <v>6719.2007000000003</v>
      </c>
      <c r="F112" s="825">
        <f>E135</f>
        <v>7248.2653241000007</v>
      </c>
      <c r="G112" s="825">
        <f>F135</f>
        <v>7702.9118731280005</v>
      </c>
      <c r="H112" s="826">
        <f>H135</f>
        <v>8007.1255158213035</v>
      </c>
      <c r="I112" s="826">
        <f t="shared" ref="I112:AC112" si="29">I135</f>
        <v>8324.1105161366249</v>
      </c>
      <c r="J112" s="826">
        <f t="shared" si="29"/>
        <v>8654.4264084665992</v>
      </c>
      <c r="K112" s="826">
        <f t="shared" si="29"/>
        <v>8998.6579361775166</v>
      </c>
      <c r="L112" s="826">
        <f t="shared" si="29"/>
        <v>9357.4162078474346</v>
      </c>
      <c r="M112" s="826">
        <f t="shared" si="29"/>
        <v>9731.3399071539861</v>
      </c>
      <c r="N112" s="826">
        <f t="shared" si="29"/>
        <v>10121.096558920923</v>
      </c>
      <c r="O112" s="826">
        <f t="shared" si="29"/>
        <v>10527.383853950225</v>
      </c>
      <c r="P112" s="826">
        <f t="shared" si="29"/>
        <v>10819.478293467786</v>
      </c>
      <c r="Q112" s="826">
        <f t="shared" si="29"/>
        <v>11121.050437450705</v>
      </c>
      <c r="R112" s="826">
        <f t="shared" si="29"/>
        <v>11432.459973158366</v>
      </c>
      <c r="S112" s="826">
        <f t="shared" si="29"/>
        <v>11754.081977763402</v>
      </c>
      <c r="T112" s="826">
        <f t="shared" si="29"/>
        <v>12086.307627608388</v>
      </c>
      <c r="U112" s="826">
        <f t="shared" si="29"/>
        <v>12429.544941493628</v>
      </c>
      <c r="V112" s="826">
        <f t="shared" si="29"/>
        <v>12784.219559662715</v>
      </c>
      <c r="W112" s="826">
        <f t="shared" si="29"/>
        <v>13150.775560235053</v>
      </c>
      <c r="X112" s="826">
        <f t="shared" si="29"/>
        <v>13529.676314920986</v>
      </c>
      <c r="Y112" s="826">
        <f t="shared" si="29"/>
        <v>13921.40538594616</v>
      </c>
      <c r="Z112" s="826">
        <f t="shared" si="29"/>
        <v>14326.467466207056</v>
      </c>
      <c r="AA112" s="826">
        <f t="shared" si="29"/>
        <v>14745.389364779814</v>
      </c>
      <c r="AB112" s="826">
        <f t="shared" si="29"/>
        <v>15178.721040009537</v>
      </c>
      <c r="AC112" s="827">
        <f t="shared" si="29"/>
        <v>15627.036682517675</v>
      </c>
    </row>
    <row r="113" spans="2:29" ht="12.75" customHeight="1" thickBot="1">
      <c r="B113" s="1468"/>
      <c r="C113" s="796" t="s">
        <v>589</v>
      </c>
      <c r="D113" s="828">
        <v>0.18</v>
      </c>
      <c r="E113" s="829">
        <v>0.18</v>
      </c>
      <c r="F113" s="829">
        <v>0.18</v>
      </c>
      <c r="G113" s="829">
        <v>0.18</v>
      </c>
      <c r="H113" s="829">
        <v>0.18</v>
      </c>
      <c r="I113" s="829">
        <v>0.18</v>
      </c>
      <c r="J113" s="829">
        <v>0.18</v>
      </c>
      <c r="K113" s="829">
        <v>0.18</v>
      </c>
      <c r="L113" s="829">
        <v>0.18</v>
      </c>
      <c r="M113" s="829">
        <v>0.18</v>
      </c>
      <c r="N113" s="829">
        <v>0.18</v>
      </c>
      <c r="O113" s="829">
        <v>0.18</v>
      </c>
      <c r="P113" s="829">
        <v>0.18</v>
      </c>
      <c r="Q113" s="829">
        <v>0.18</v>
      </c>
      <c r="R113" s="829">
        <v>0.18</v>
      </c>
      <c r="S113" s="829">
        <v>0.18</v>
      </c>
      <c r="T113" s="829">
        <v>0.18</v>
      </c>
      <c r="U113" s="829">
        <v>0.18</v>
      </c>
      <c r="V113" s="829">
        <v>0.18</v>
      </c>
      <c r="W113" s="829">
        <v>0.18</v>
      </c>
      <c r="X113" s="829">
        <v>0.18</v>
      </c>
      <c r="Y113" s="829">
        <v>0.18</v>
      </c>
      <c r="Z113" s="829">
        <v>0.18</v>
      </c>
      <c r="AA113" s="829">
        <v>0.18</v>
      </c>
      <c r="AB113" s="829">
        <v>0.18</v>
      </c>
      <c r="AC113" s="830">
        <v>0.18</v>
      </c>
    </row>
    <row r="114" spans="2:29" ht="12.75" customHeight="1">
      <c r="B114" s="546"/>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6" spans="2:29" ht="12.75" customHeight="1">
      <c r="B116" s="1469" t="s">
        <v>590</v>
      </c>
      <c r="C116" s="1469"/>
      <c r="D116" s="1469"/>
      <c r="E116" s="1469"/>
      <c r="F116" s="1469"/>
      <c r="H116" s="1469" t="s">
        <v>591</v>
      </c>
      <c r="I116" s="1469"/>
      <c r="J116" s="1469"/>
      <c r="K116" s="1469"/>
    </row>
    <row r="117" spans="2:29" ht="12.75" customHeight="1" thickBot="1"/>
    <row r="118" spans="2:29" ht="12.75" customHeight="1" thickBot="1">
      <c r="B118" s="2"/>
      <c r="C118" s="810">
        <v>2024</v>
      </c>
      <c r="D118" s="614">
        <v>2025</v>
      </c>
      <c r="E118" s="614">
        <v>2026</v>
      </c>
      <c r="F118" s="615">
        <v>2027</v>
      </c>
      <c r="G118" s="775"/>
      <c r="H118" s="1488" t="s">
        <v>592</v>
      </c>
      <c r="I118" s="1489"/>
      <c r="J118" s="1488" t="s">
        <v>593</v>
      </c>
      <c r="K118" s="1489"/>
      <c r="P118" s="785"/>
    </row>
    <row r="119" spans="2:29" ht="12.75" customHeight="1">
      <c r="B119" s="803" t="s">
        <v>193</v>
      </c>
      <c r="C119" s="811">
        <v>7.0000000000000007E-2</v>
      </c>
      <c r="D119" s="812">
        <v>6.5000000000000002E-2</v>
      </c>
      <c r="E119" s="812">
        <v>0.06</v>
      </c>
      <c r="F119" s="813">
        <v>5.5E-2</v>
      </c>
      <c r="G119" s="775"/>
      <c r="H119" s="1490">
        <v>4.4999999999999998E-2</v>
      </c>
      <c r="I119" s="1491"/>
      <c r="J119" s="1490">
        <v>0.02</v>
      </c>
      <c r="K119" s="1491"/>
    </row>
    <row r="120" spans="2:29" ht="12.75" customHeight="1">
      <c r="B120" s="804" t="s">
        <v>594</v>
      </c>
      <c r="C120" s="814">
        <v>0.05</v>
      </c>
      <c r="D120" s="815">
        <v>0.04</v>
      </c>
      <c r="E120" s="815">
        <v>3.5000000000000003E-2</v>
      </c>
      <c r="F120" s="816">
        <v>0.03</v>
      </c>
      <c r="G120" s="775"/>
      <c r="H120" s="1483">
        <v>2.5000000000000001E-2</v>
      </c>
      <c r="I120" s="1484"/>
      <c r="J120" s="1483">
        <v>0.02</v>
      </c>
      <c r="K120" s="1484"/>
    </row>
    <row r="121" spans="2:29" ht="12.75" customHeight="1">
      <c r="B121" s="804" t="s">
        <v>195</v>
      </c>
      <c r="C121" s="814">
        <v>0.03</v>
      </c>
      <c r="D121" s="815">
        <v>0.03</v>
      </c>
      <c r="E121" s="815">
        <v>0.03</v>
      </c>
      <c r="F121" s="816">
        <v>0.03</v>
      </c>
      <c r="G121" s="775"/>
      <c r="H121" s="1483">
        <v>0.03</v>
      </c>
      <c r="I121" s="1484"/>
      <c r="J121" s="1483">
        <v>0.02</v>
      </c>
      <c r="K121" s="1484"/>
    </row>
    <row r="122" spans="2:29" ht="12.75" customHeight="1">
      <c r="B122" s="804" t="s">
        <v>595</v>
      </c>
      <c r="C122" s="814">
        <v>0.8</v>
      </c>
      <c r="D122" s="815">
        <v>0.5</v>
      </c>
      <c r="E122" s="815">
        <v>0.25</v>
      </c>
      <c r="F122" s="816">
        <v>0.15</v>
      </c>
      <c r="G122" s="775"/>
      <c r="H122" s="1483">
        <v>0.05</v>
      </c>
      <c r="I122" s="1484"/>
      <c r="J122" s="1483">
        <v>0.02</v>
      </c>
      <c r="K122" s="1484"/>
    </row>
    <row r="123" spans="2:29" ht="12.75" customHeight="1">
      <c r="B123" s="804" t="s">
        <v>596</v>
      </c>
      <c r="C123" s="814">
        <v>0.2</v>
      </c>
      <c r="D123" s="815">
        <v>0.1</v>
      </c>
      <c r="E123" s="815">
        <v>0.05</v>
      </c>
      <c r="F123" s="816">
        <v>0.05</v>
      </c>
      <c r="G123" s="775"/>
      <c r="H123" s="1483">
        <v>3.5000000000000003E-2</v>
      </c>
      <c r="I123" s="1484"/>
      <c r="J123" s="1483">
        <v>0.02</v>
      </c>
      <c r="K123" s="1484"/>
    </row>
    <row r="124" spans="2:29" ht="12.75" customHeight="1" thickBot="1">
      <c r="B124" s="805" t="s">
        <v>597</v>
      </c>
      <c r="C124" s="782">
        <v>0.1</v>
      </c>
      <c r="D124" s="783">
        <v>0.05</v>
      </c>
      <c r="E124" s="783">
        <v>0.05</v>
      </c>
      <c r="F124" s="625">
        <v>0.05</v>
      </c>
      <c r="G124" s="775"/>
      <c r="H124" s="1485">
        <v>0.03</v>
      </c>
      <c r="I124" s="1486"/>
      <c r="J124" s="1485">
        <v>0.02</v>
      </c>
      <c r="K124" s="1486"/>
    </row>
    <row r="126" spans="2:29" ht="12.75" customHeight="1">
      <c r="B126" s="1469" t="s">
        <v>598</v>
      </c>
      <c r="C126" s="1469"/>
      <c r="D126" s="1469"/>
      <c r="E126" s="1469"/>
      <c r="F126" s="1469"/>
      <c r="H126" s="527"/>
    </row>
    <row r="127" spans="2:29" ht="12.75" customHeight="1">
      <c r="D127" s="633"/>
      <c r="H127" s="527"/>
    </row>
    <row r="128" spans="2:29" ht="12.75" customHeight="1">
      <c r="B128" s="2"/>
      <c r="C128" s="806">
        <v>2024</v>
      </c>
      <c r="D128" s="807">
        <v>2025</v>
      </c>
      <c r="E128" s="807">
        <v>2026</v>
      </c>
      <c r="F128" s="784">
        <v>2027</v>
      </c>
      <c r="G128" s="831"/>
      <c r="H128" s="614">
        <v>2028</v>
      </c>
      <c r="I128" s="614">
        <f>H128+1</f>
        <v>2029</v>
      </c>
      <c r="J128" s="614">
        <f t="shared" ref="J128:AC128" si="30">I128+1</f>
        <v>2030</v>
      </c>
      <c r="K128" s="614">
        <f t="shared" si="30"/>
        <v>2031</v>
      </c>
      <c r="L128" s="614">
        <f t="shared" si="30"/>
        <v>2032</v>
      </c>
      <c r="M128" s="614">
        <f t="shared" si="30"/>
        <v>2033</v>
      </c>
      <c r="N128" s="614">
        <f t="shared" si="30"/>
        <v>2034</v>
      </c>
      <c r="O128" s="614">
        <f t="shared" si="30"/>
        <v>2035</v>
      </c>
      <c r="P128" s="614">
        <f t="shared" si="30"/>
        <v>2036</v>
      </c>
      <c r="Q128" s="614">
        <f t="shared" si="30"/>
        <v>2037</v>
      </c>
      <c r="R128" s="614">
        <f t="shared" si="30"/>
        <v>2038</v>
      </c>
      <c r="S128" s="614">
        <f t="shared" si="30"/>
        <v>2039</v>
      </c>
      <c r="T128" s="614">
        <f t="shared" si="30"/>
        <v>2040</v>
      </c>
      <c r="U128" s="614">
        <f t="shared" si="30"/>
        <v>2041</v>
      </c>
      <c r="V128" s="614">
        <f t="shared" si="30"/>
        <v>2042</v>
      </c>
      <c r="W128" s="614">
        <f t="shared" si="30"/>
        <v>2043</v>
      </c>
      <c r="X128" s="614">
        <f t="shared" si="30"/>
        <v>2044</v>
      </c>
      <c r="Y128" s="614">
        <f t="shared" si="30"/>
        <v>2045</v>
      </c>
      <c r="Z128" s="614">
        <f t="shared" si="30"/>
        <v>2046</v>
      </c>
      <c r="AA128" s="614">
        <f t="shared" si="30"/>
        <v>2047</v>
      </c>
      <c r="AB128" s="614">
        <f t="shared" si="30"/>
        <v>2048</v>
      </c>
      <c r="AC128" s="615">
        <f t="shared" si="30"/>
        <v>2049</v>
      </c>
    </row>
    <row r="129" spans="2:29" ht="12.75" customHeight="1">
      <c r="B129" s="803" t="s">
        <v>193</v>
      </c>
      <c r="C129" s="800">
        <f>2901.4*(1+C119)</f>
        <v>3104.4980000000005</v>
      </c>
      <c r="D129" s="777">
        <f t="shared" ref="D129:F134" si="31">C129*(1+D119)</f>
        <v>3306.2903700000002</v>
      </c>
      <c r="E129" s="777">
        <f t="shared" si="31"/>
        <v>3504.6677922000003</v>
      </c>
      <c r="F129" s="778">
        <f t="shared" si="31"/>
        <v>3697.4245207710001</v>
      </c>
      <c r="G129" s="840"/>
      <c r="H129" s="776">
        <f>F129*(1+$H$119)</f>
        <v>3863.8086242056947</v>
      </c>
      <c r="I129" s="777">
        <f>H129*(1+H119)</f>
        <v>4037.6800122949508</v>
      </c>
      <c r="J129" s="777">
        <f t="shared" ref="J129:O129" si="32">I129*(1+$H$119)</f>
        <v>4219.3756128482237</v>
      </c>
      <c r="K129" s="777">
        <f t="shared" si="32"/>
        <v>4409.2475154263939</v>
      </c>
      <c r="L129" s="777">
        <f t="shared" si="32"/>
        <v>4607.6636536205815</v>
      </c>
      <c r="M129" s="777">
        <f t="shared" si="32"/>
        <v>4815.0085180335072</v>
      </c>
      <c r="N129" s="777">
        <f t="shared" si="32"/>
        <v>5031.6839013450144</v>
      </c>
      <c r="O129" s="777">
        <f t="shared" si="32"/>
        <v>5258.1096769055393</v>
      </c>
      <c r="P129" s="777">
        <f t="shared" ref="P129:AC129" si="33">O129*(1+$J$119)</f>
        <v>5363.2718704436502</v>
      </c>
      <c r="Q129" s="777">
        <f t="shared" si="33"/>
        <v>5470.5373078525236</v>
      </c>
      <c r="R129" s="777">
        <f t="shared" si="33"/>
        <v>5579.9480540095738</v>
      </c>
      <c r="S129" s="777">
        <f t="shared" si="33"/>
        <v>5691.5470150897654</v>
      </c>
      <c r="T129" s="777">
        <f t="shared" si="33"/>
        <v>5805.377955391561</v>
      </c>
      <c r="U129" s="777">
        <f t="shared" si="33"/>
        <v>5921.4855144993926</v>
      </c>
      <c r="V129" s="777">
        <f t="shared" si="33"/>
        <v>6039.9152247893808</v>
      </c>
      <c r="W129" s="777">
        <f t="shared" si="33"/>
        <v>6160.7135292851681</v>
      </c>
      <c r="X129" s="777">
        <f t="shared" si="33"/>
        <v>6283.9277998708712</v>
      </c>
      <c r="Y129" s="777">
        <f t="shared" si="33"/>
        <v>6409.606355868289</v>
      </c>
      <c r="Z129" s="777">
        <f t="shared" si="33"/>
        <v>6537.798482985655</v>
      </c>
      <c r="AA129" s="777">
        <f t="shared" si="33"/>
        <v>6668.5544526453687</v>
      </c>
      <c r="AB129" s="777">
        <f t="shared" si="33"/>
        <v>6801.925541698276</v>
      </c>
      <c r="AC129" s="778">
        <f t="shared" si="33"/>
        <v>6937.964052532242</v>
      </c>
    </row>
    <row r="130" spans="2:29" ht="12.75" customHeight="1">
      <c r="B130" s="804" t="s">
        <v>594</v>
      </c>
      <c r="C130" s="801">
        <f>1843.7*(1+C120)</f>
        <v>1935.8850000000002</v>
      </c>
      <c r="D130" s="780">
        <f t="shared" si="31"/>
        <v>2013.3204000000003</v>
      </c>
      <c r="E130" s="780">
        <f t="shared" si="31"/>
        <v>2083.7866140000001</v>
      </c>
      <c r="F130" s="781">
        <f t="shared" si="31"/>
        <v>2146.3002124200002</v>
      </c>
      <c r="G130" s="840"/>
      <c r="H130" s="779">
        <f>F130*(1+$H$120)</f>
        <v>2199.9577177305</v>
      </c>
      <c r="I130" s="780">
        <f t="shared" ref="I130:AC130" si="34">H130*(1+$H$120)</f>
        <v>2254.9566606737621</v>
      </c>
      <c r="J130" s="780">
        <f t="shared" si="34"/>
        <v>2311.3305771906062</v>
      </c>
      <c r="K130" s="780">
        <f t="shared" si="34"/>
        <v>2369.1138416203712</v>
      </c>
      <c r="L130" s="780">
        <f t="shared" si="34"/>
        <v>2428.3416876608803</v>
      </c>
      <c r="M130" s="780">
        <f t="shared" si="34"/>
        <v>2489.050229852402</v>
      </c>
      <c r="N130" s="780">
        <f t="shared" si="34"/>
        <v>2551.276485598712</v>
      </c>
      <c r="O130" s="780">
        <f t="shared" si="34"/>
        <v>2615.0583977386796</v>
      </c>
      <c r="P130" s="780">
        <f t="shared" si="34"/>
        <v>2680.4348576821462</v>
      </c>
      <c r="Q130" s="780">
        <f t="shared" si="34"/>
        <v>2747.4457291241997</v>
      </c>
      <c r="R130" s="780">
        <f t="shared" si="34"/>
        <v>2816.1318723523045</v>
      </c>
      <c r="S130" s="780">
        <f t="shared" si="34"/>
        <v>2886.5351691611118</v>
      </c>
      <c r="T130" s="780">
        <f t="shared" si="34"/>
        <v>2958.6985483901394</v>
      </c>
      <c r="U130" s="780">
        <f t="shared" si="34"/>
        <v>3032.6660120998927</v>
      </c>
      <c r="V130" s="780">
        <f t="shared" si="34"/>
        <v>3108.4826624023899</v>
      </c>
      <c r="W130" s="780">
        <f t="shared" si="34"/>
        <v>3186.1947289624495</v>
      </c>
      <c r="X130" s="780">
        <f t="shared" si="34"/>
        <v>3265.8495971865104</v>
      </c>
      <c r="Y130" s="780">
        <f t="shared" si="34"/>
        <v>3347.4958371161729</v>
      </c>
      <c r="Z130" s="780">
        <f t="shared" si="34"/>
        <v>3431.183233044077</v>
      </c>
      <c r="AA130" s="780">
        <f t="shared" si="34"/>
        <v>3516.9628138701787</v>
      </c>
      <c r="AB130" s="780">
        <f t="shared" si="34"/>
        <v>3604.8868842169327</v>
      </c>
      <c r="AC130" s="781">
        <f t="shared" si="34"/>
        <v>3695.0090563223557</v>
      </c>
    </row>
    <row r="131" spans="2:29" ht="12.75" customHeight="1">
      <c r="B131" s="804" t="s">
        <v>195</v>
      </c>
      <c r="C131" s="801">
        <f>292.7*(1+C121)</f>
        <v>301.48099999999999</v>
      </c>
      <c r="D131" s="780">
        <f t="shared" si="31"/>
        <v>310.52543000000003</v>
      </c>
      <c r="E131" s="780">
        <f t="shared" si="31"/>
        <v>319.84119290000001</v>
      </c>
      <c r="F131" s="781">
        <f t="shared" si="31"/>
        <v>329.43642868700005</v>
      </c>
      <c r="G131" s="840"/>
      <c r="H131" s="779">
        <f>F131*(1+$H$121)</f>
        <v>339.31952154761007</v>
      </c>
      <c r="I131" s="780">
        <f t="shared" ref="I131:AC131" si="35">H131*(1+$H$121)</f>
        <v>349.4991071940384</v>
      </c>
      <c r="J131" s="780">
        <f t="shared" si="35"/>
        <v>359.98408040985959</v>
      </c>
      <c r="K131" s="780">
        <f t="shared" si="35"/>
        <v>370.78360282215539</v>
      </c>
      <c r="L131" s="780">
        <f t="shared" si="35"/>
        <v>381.90711090682004</v>
      </c>
      <c r="M131" s="780">
        <f t="shared" si="35"/>
        <v>393.36432423402465</v>
      </c>
      <c r="N131" s="780">
        <f t="shared" si="35"/>
        <v>405.16525396104538</v>
      </c>
      <c r="O131" s="780">
        <f t="shared" si="35"/>
        <v>417.32021157987674</v>
      </c>
      <c r="P131" s="780">
        <f t="shared" si="35"/>
        <v>429.83981792727303</v>
      </c>
      <c r="Q131" s="780">
        <f t="shared" si="35"/>
        <v>442.73501246509124</v>
      </c>
      <c r="R131" s="780">
        <f t="shared" si="35"/>
        <v>456.017062839044</v>
      </c>
      <c r="S131" s="780">
        <f t="shared" si="35"/>
        <v>469.69757472421531</v>
      </c>
      <c r="T131" s="780">
        <f t="shared" si="35"/>
        <v>483.7885019659418</v>
      </c>
      <c r="U131" s="780">
        <f t="shared" si="35"/>
        <v>498.30215702492006</v>
      </c>
      <c r="V131" s="780">
        <f t="shared" si="35"/>
        <v>513.25122173566763</v>
      </c>
      <c r="W131" s="780">
        <f t="shared" si="35"/>
        <v>528.64875838773764</v>
      </c>
      <c r="X131" s="780">
        <f t="shared" si="35"/>
        <v>544.50822113936977</v>
      </c>
      <c r="Y131" s="780">
        <f t="shared" si="35"/>
        <v>560.84346777355086</v>
      </c>
      <c r="Z131" s="780">
        <f t="shared" si="35"/>
        <v>577.66877180675738</v>
      </c>
      <c r="AA131" s="780">
        <f t="shared" si="35"/>
        <v>594.99883496096015</v>
      </c>
      <c r="AB131" s="780">
        <f t="shared" si="35"/>
        <v>612.84880000978899</v>
      </c>
      <c r="AC131" s="781">
        <f t="shared" si="35"/>
        <v>631.23426401008271</v>
      </c>
    </row>
    <row r="132" spans="2:29" ht="12.75" customHeight="1">
      <c r="B132" s="804" t="s">
        <v>595</v>
      </c>
      <c r="C132" s="801">
        <f>363.8*(1+C122)</f>
        <v>654.84</v>
      </c>
      <c r="D132" s="780">
        <f t="shared" si="31"/>
        <v>982.26</v>
      </c>
      <c r="E132" s="780">
        <f t="shared" si="31"/>
        <v>1227.825</v>
      </c>
      <c r="F132" s="781">
        <f t="shared" si="31"/>
        <v>1411.99875</v>
      </c>
      <c r="G132" s="840"/>
      <c r="H132" s="779">
        <f>F132*(1+$H$122)</f>
        <v>1482.5986875000001</v>
      </c>
      <c r="I132" s="780">
        <f t="shared" ref="I132:AC132" si="36">H132*(1+$H$122)</f>
        <v>1556.7286218750003</v>
      </c>
      <c r="J132" s="780">
        <f t="shared" si="36"/>
        <v>1634.5650529687503</v>
      </c>
      <c r="K132" s="780">
        <f t="shared" si="36"/>
        <v>1716.2933056171878</v>
      </c>
      <c r="L132" s="780">
        <f t="shared" si="36"/>
        <v>1802.1079708980474</v>
      </c>
      <c r="M132" s="780">
        <f t="shared" si="36"/>
        <v>1892.2133694429499</v>
      </c>
      <c r="N132" s="780">
        <f t="shared" si="36"/>
        <v>1986.8240379150975</v>
      </c>
      <c r="O132" s="780">
        <f t="shared" si="36"/>
        <v>2086.1652398108527</v>
      </c>
      <c r="P132" s="780">
        <f t="shared" si="36"/>
        <v>2190.4735018013953</v>
      </c>
      <c r="Q132" s="780">
        <f t="shared" si="36"/>
        <v>2299.9971768914652</v>
      </c>
      <c r="R132" s="780">
        <f t="shared" si="36"/>
        <v>2414.9970357360385</v>
      </c>
      <c r="S132" s="780">
        <f t="shared" si="36"/>
        <v>2535.7468875228406</v>
      </c>
      <c r="T132" s="780">
        <f t="shared" si="36"/>
        <v>2662.5342318989829</v>
      </c>
      <c r="U132" s="780">
        <f t="shared" si="36"/>
        <v>2795.6609434939323</v>
      </c>
      <c r="V132" s="780">
        <f t="shared" si="36"/>
        <v>2935.4439906686289</v>
      </c>
      <c r="W132" s="780">
        <f t="shared" si="36"/>
        <v>3082.2161902020603</v>
      </c>
      <c r="X132" s="780">
        <f t="shared" si="36"/>
        <v>3236.3269997121633</v>
      </c>
      <c r="Y132" s="780">
        <f t="shared" si="36"/>
        <v>3398.1433496977716</v>
      </c>
      <c r="Z132" s="780">
        <f t="shared" si="36"/>
        <v>3568.0505171826603</v>
      </c>
      <c r="AA132" s="780">
        <f t="shared" si="36"/>
        <v>3746.4530430417935</v>
      </c>
      <c r="AB132" s="780">
        <f t="shared" si="36"/>
        <v>3933.7756951938832</v>
      </c>
      <c r="AC132" s="781">
        <f t="shared" si="36"/>
        <v>4130.4644799535772</v>
      </c>
    </row>
    <row r="133" spans="2:29" ht="12.75" customHeight="1">
      <c r="B133" s="804" t="s">
        <v>596</v>
      </c>
      <c r="C133" s="801">
        <f>21.5*(1+C123)</f>
        <v>25.8</v>
      </c>
      <c r="D133" s="780">
        <f t="shared" si="31"/>
        <v>28.380000000000003</v>
      </c>
      <c r="E133" s="780">
        <f t="shared" si="31"/>
        <v>29.799000000000003</v>
      </c>
      <c r="F133" s="781">
        <f t="shared" si="31"/>
        <v>31.288950000000003</v>
      </c>
      <c r="G133" s="840"/>
      <c r="H133" s="779">
        <f>F133*(1+$H$123)</f>
        <v>32.384063250000004</v>
      </c>
      <c r="I133" s="780">
        <f t="shared" ref="I133:AC133" si="37">H133*(1+$H$123)</f>
        <v>33.517505463749998</v>
      </c>
      <c r="J133" s="780">
        <f t="shared" si="37"/>
        <v>34.690618154981244</v>
      </c>
      <c r="K133" s="780">
        <f t="shared" si="37"/>
        <v>35.904789790405587</v>
      </c>
      <c r="L133" s="780">
        <f t="shared" si="37"/>
        <v>37.161457433069778</v>
      </c>
      <c r="M133" s="780">
        <f t="shared" si="37"/>
        <v>38.462108443227216</v>
      </c>
      <c r="N133" s="780">
        <f t="shared" si="37"/>
        <v>39.808282238740162</v>
      </c>
      <c r="O133" s="780">
        <f t="shared" si="37"/>
        <v>41.201572117096063</v>
      </c>
      <c r="P133" s="780">
        <f t="shared" si="37"/>
        <v>42.643627141194422</v>
      </c>
      <c r="Q133" s="780">
        <f t="shared" si="37"/>
        <v>44.13615409113622</v>
      </c>
      <c r="R133" s="780">
        <f t="shared" si="37"/>
        <v>45.680919484325983</v>
      </c>
      <c r="S133" s="780">
        <f t="shared" si="37"/>
        <v>47.279751666277392</v>
      </c>
      <c r="T133" s="780">
        <f t="shared" si="37"/>
        <v>48.934542974597093</v>
      </c>
      <c r="U133" s="780">
        <f t="shared" si="37"/>
        <v>50.647251978707985</v>
      </c>
      <c r="V133" s="780">
        <f t="shared" si="37"/>
        <v>52.419905797962763</v>
      </c>
      <c r="W133" s="780">
        <f t="shared" si="37"/>
        <v>54.254602500891458</v>
      </c>
      <c r="X133" s="780">
        <f t="shared" si="37"/>
        <v>56.153513588422655</v>
      </c>
      <c r="Y133" s="780">
        <f t="shared" si="37"/>
        <v>58.118886564017444</v>
      </c>
      <c r="Z133" s="780">
        <f t="shared" si="37"/>
        <v>60.153047593758053</v>
      </c>
      <c r="AA133" s="780">
        <f t="shared" si="37"/>
        <v>62.258404259539581</v>
      </c>
      <c r="AB133" s="780">
        <f t="shared" si="37"/>
        <v>64.437448408623467</v>
      </c>
      <c r="AC133" s="781">
        <f t="shared" si="37"/>
        <v>66.69275910292528</v>
      </c>
    </row>
    <row r="134" spans="2:29" ht="12.75" customHeight="1">
      <c r="B134" s="808" t="s">
        <v>597</v>
      </c>
      <c r="C134" s="802">
        <f>67.9*(1+C124)</f>
        <v>74.690000000000012</v>
      </c>
      <c r="D134" s="797">
        <f t="shared" si="31"/>
        <v>78.424500000000009</v>
      </c>
      <c r="E134" s="797">
        <f t="shared" si="31"/>
        <v>82.345725000000016</v>
      </c>
      <c r="F134" s="799">
        <f t="shared" si="31"/>
        <v>86.463011250000022</v>
      </c>
      <c r="G134" s="840"/>
      <c r="H134" s="839">
        <f>F134*(1+$H$124)</f>
        <v>89.056901587500022</v>
      </c>
      <c r="I134" s="797">
        <f t="shared" ref="I134:AC134" si="38">H134*(1+$H$124)</f>
        <v>91.728608635125028</v>
      </c>
      <c r="J134" s="797">
        <f t="shared" si="38"/>
        <v>94.480466894178775</v>
      </c>
      <c r="K134" s="797">
        <f t="shared" si="38"/>
        <v>97.314880901004145</v>
      </c>
      <c r="L134" s="797">
        <f t="shared" si="38"/>
        <v>100.23432732803427</v>
      </c>
      <c r="M134" s="797">
        <f t="shared" si="38"/>
        <v>103.24135714787531</v>
      </c>
      <c r="N134" s="797">
        <f t="shared" si="38"/>
        <v>106.33859786231157</v>
      </c>
      <c r="O134" s="797">
        <f t="shared" si="38"/>
        <v>109.52875579818092</v>
      </c>
      <c r="P134" s="797">
        <f t="shared" si="38"/>
        <v>112.81461847212636</v>
      </c>
      <c r="Q134" s="797">
        <f t="shared" si="38"/>
        <v>116.19905702629015</v>
      </c>
      <c r="R134" s="797">
        <f t="shared" si="38"/>
        <v>119.68502873707885</v>
      </c>
      <c r="S134" s="797">
        <f t="shared" si="38"/>
        <v>123.27557959919122</v>
      </c>
      <c r="T134" s="797">
        <f t="shared" si="38"/>
        <v>126.97384698716695</v>
      </c>
      <c r="U134" s="797">
        <f t="shared" si="38"/>
        <v>130.78306239678196</v>
      </c>
      <c r="V134" s="797">
        <f t="shared" si="38"/>
        <v>134.70655426868541</v>
      </c>
      <c r="W134" s="797">
        <f t="shared" si="38"/>
        <v>138.74775089674597</v>
      </c>
      <c r="X134" s="797">
        <f t="shared" si="38"/>
        <v>142.91018342364836</v>
      </c>
      <c r="Y134" s="797">
        <f t="shared" si="38"/>
        <v>147.19748892635781</v>
      </c>
      <c r="Z134" s="797">
        <f t="shared" si="38"/>
        <v>151.61341359414854</v>
      </c>
      <c r="AA134" s="797">
        <f t="shared" si="38"/>
        <v>156.16181600197299</v>
      </c>
      <c r="AB134" s="797">
        <f t="shared" si="38"/>
        <v>160.84667048203218</v>
      </c>
      <c r="AC134" s="799">
        <f t="shared" si="38"/>
        <v>165.67207059649314</v>
      </c>
    </row>
    <row r="135" spans="2:29" ht="12.75" customHeight="1">
      <c r="B135" s="809" t="s">
        <v>511</v>
      </c>
      <c r="C135" s="820">
        <f>SUM(C129:C134)</f>
        <v>6097.1940000000004</v>
      </c>
      <c r="D135" s="820">
        <f>SUM(D129:D134)</f>
        <v>6719.2007000000003</v>
      </c>
      <c r="E135" s="820">
        <f>SUM(E129:E134)</f>
        <v>7248.2653241000007</v>
      </c>
      <c r="F135" s="820">
        <f>SUM(F129:F134)</f>
        <v>7702.9118731280005</v>
      </c>
      <c r="G135" s="831"/>
      <c r="H135" s="841">
        <f t="shared" ref="H135:AC135" si="39">SUM(H129:H134)</f>
        <v>8007.1255158213035</v>
      </c>
      <c r="I135" s="841">
        <f t="shared" si="39"/>
        <v>8324.1105161366249</v>
      </c>
      <c r="J135" s="841">
        <f t="shared" si="39"/>
        <v>8654.4264084665992</v>
      </c>
      <c r="K135" s="841">
        <f t="shared" si="39"/>
        <v>8998.6579361775166</v>
      </c>
      <c r="L135" s="841">
        <f t="shared" si="39"/>
        <v>9357.4162078474346</v>
      </c>
      <c r="M135" s="841">
        <f t="shared" si="39"/>
        <v>9731.3399071539861</v>
      </c>
      <c r="N135" s="841">
        <f t="shared" si="39"/>
        <v>10121.096558920923</v>
      </c>
      <c r="O135" s="841">
        <f t="shared" si="39"/>
        <v>10527.383853950225</v>
      </c>
      <c r="P135" s="841">
        <f t="shared" si="39"/>
        <v>10819.478293467786</v>
      </c>
      <c r="Q135" s="841">
        <f t="shared" si="39"/>
        <v>11121.050437450705</v>
      </c>
      <c r="R135" s="841">
        <f t="shared" si="39"/>
        <v>11432.459973158366</v>
      </c>
      <c r="S135" s="841">
        <f t="shared" si="39"/>
        <v>11754.081977763402</v>
      </c>
      <c r="T135" s="841">
        <f t="shared" si="39"/>
        <v>12086.307627608388</v>
      </c>
      <c r="U135" s="841">
        <f t="shared" si="39"/>
        <v>12429.544941493628</v>
      </c>
      <c r="V135" s="841">
        <f t="shared" si="39"/>
        <v>12784.219559662715</v>
      </c>
      <c r="W135" s="841">
        <f t="shared" si="39"/>
        <v>13150.775560235053</v>
      </c>
      <c r="X135" s="841">
        <f t="shared" si="39"/>
        <v>13529.676314920986</v>
      </c>
      <c r="Y135" s="841">
        <f t="shared" si="39"/>
        <v>13921.40538594616</v>
      </c>
      <c r="Z135" s="841">
        <f t="shared" si="39"/>
        <v>14326.467466207056</v>
      </c>
      <c r="AA135" s="841">
        <f t="shared" si="39"/>
        <v>14745.389364779814</v>
      </c>
      <c r="AB135" s="841">
        <f t="shared" si="39"/>
        <v>15178.721040009537</v>
      </c>
      <c r="AC135" s="841">
        <f t="shared" si="39"/>
        <v>15627.036682517675</v>
      </c>
    </row>
    <row r="136" spans="2:29" ht="12.75" customHeight="1">
      <c r="B136" s="809" t="s">
        <v>599</v>
      </c>
      <c r="C136" s="821">
        <f>C135/5491-1</f>
        <v>0.11039774175924255</v>
      </c>
      <c r="D136" s="821">
        <f>D135/C135-1</f>
        <v>0.10201523848511296</v>
      </c>
      <c r="E136" s="821">
        <f>E135/D135-1</f>
        <v>7.8739220291484946E-2</v>
      </c>
      <c r="F136" s="821">
        <f>F135/E135-1</f>
        <v>6.2724876739311597E-2</v>
      </c>
      <c r="G136" s="775"/>
      <c r="H136" s="821">
        <f>H135/F135-1</f>
        <v>3.9493330276121563E-2</v>
      </c>
      <c r="I136" s="821">
        <f>I135/H135-1</f>
        <v>3.9587864545021834E-2</v>
      </c>
      <c r="J136" s="821">
        <f t="shared" ref="J136" si="40">J135/I135-1</f>
        <v>3.9681824465165771E-2</v>
      </c>
      <c r="K136" s="821">
        <f t="shared" ref="K136" si="41">K135/J135-1</f>
        <v>3.9775198431886372E-2</v>
      </c>
      <c r="L136" s="821">
        <f t="shared" ref="L136" si="42">L135/K135-1</f>
        <v>3.986797522634955E-2</v>
      </c>
      <c r="M136" s="821">
        <f t="shared" ref="M136" si="43">M135/L135-1</f>
        <v>3.9960144018491572E-2</v>
      </c>
      <c r="N136" s="821">
        <f t="shared" ref="N136" si="44">N135/M135-1</f>
        <v>4.0051694369488411E-2</v>
      </c>
      <c r="O136" s="821">
        <f t="shared" ref="O136" si="45">O135/N135-1</f>
        <v>4.0142616233731498E-2</v>
      </c>
      <c r="P136" s="821">
        <f t="shared" ref="P136" si="46">P135/O135-1</f>
        <v>2.7746156459181215E-2</v>
      </c>
      <c r="Q136" s="821">
        <f t="shared" ref="Q136" si="47">Q135/P135-1</f>
        <v>2.7873076298419397E-2</v>
      </c>
      <c r="R136" s="821">
        <f t="shared" ref="R136" si="48">R135/Q135-1</f>
        <v>2.8001809492651297E-2</v>
      </c>
      <c r="S136" s="821">
        <f t="shared" ref="S136" si="49">S135/R135-1</f>
        <v>2.8132353435757151E-2</v>
      </c>
      <c r="T136" s="821">
        <f t="shared" ref="T136" si="50">T135/S135-1</f>
        <v>2.8264704166050203E-2</v>
      </c>
      <c r="U136" s="821">
        <f t="shared" ref="U136" si="51">U135/T135-1</f>
        <v>2.8398856330712041E-2</v>
      </c>
      <c r="V136" s="821">
        <f t="shared" ref="V136" si="52">V135/U135-1</f>
        <v>2.8534803151567978E-2</v>
      </c>
      <c r="W136" s="821">
        <f t="shared" ref="W136" si="53">W135/V135-1</f>
        <v>2.8672536392359005E-2</v>
      </c>
      <c r="X136" s="821">
        <f t="shared" ref="X136" si="54">X135/W135-1</f>
        <v>2.8812046327643337E-2</v>
      </c>
      <c r="Y136" s="821">
        <f t="shared" ref="Y136" si="55">Y135/X135-1</f>
        <v>2.8953321713481195E-2</v>
      </c>
      <c r="Z136" s="821">
        <f t="shared" ref="Z136" si="56">Z135/Y135-1</f>
        <v>2.909634976004738E-2</v>
      </c>
      <c r="AA136" s="821">
        <f t="shared" ref="AA136" si="57">AA135/Z135-1</f>
        <v>2.9241116106318632E-2</v>
      </c>
      <c r="AB136" s="821">
        <f t="shared" ref="AB136" si="58">AB135/AA135-1</f>
        <v>2.9387604796978772E-2</v>
      </c>
      <c r="AC136" s="821">
        <f t="shared" ref="AC136" si="59">AC135/AB135-1</f>
        <v>2.9535798261686397E-2</v>
      </c>
    </row>
    <row r="138" spans="2:29" ht="12.75" customHeight="1">
      <c r="G138"/>
      <c r="H138"/>
      <c r="I138"/>
    </row>
    <row r="139" spans="2:29" ht="12.75" customHeight="1">
      <c r="G139"/>
      <c r="H139"/>
      <c r="I139"/>
    </row>
    <row r="140" spans="2:29" ht="12.75" customHeight="1">
      <c r="B140" s="1471" t="s">
        <v>604</v>
      </c>
      <c r="C140" s="1471"/>
      <c r="D140" s="1471"/>
      <c r="E140" s="1471"/>
      <c r="F140" s="1471"/>
      <c r="G140"/>
      <c r="H140"/>
      <c r="I140"/>
    </row>
    <row r="141" spans="2:29" ht="12.75" customHeight="1">
      <c r="B141" s="1472" t="s">
        <v>605</v>
      </c>
      <c r="C141" s="1473"/>
      <c r="D141" s="1473"/>
      <c r="E141" s="1473"/>
      <c r="F141" s="1474"/>
      <c r="G141"/>
      <c r="H141"/>
      <c r="I141"/>
      <c r="L141" s="785"/>
    </row>
    <row r="142" spans="2:29" ht="12.75" customHeight="1">
      <c r="B142" s="1475"/>
      <c r="C142" s="1476"/>
      <c r="D142" s="1476"/>
      <c r="E142" s="1476"/>
      <c r="F142" s="1477"/>
      <c r="G142"/>
      <c r="H142"/>
      <c r="I142"/>
    </row>
    <row r="143" spans="2:29" ht="12.75" customHeight="1">
      <c r="B143" s="1475"/>
      <c r="C143" s="1476"/>
      <c r="D143" s="1476"/>
      <c r="E143" s="1476"/>
      <c r="F143" s="1477"/>
      <c r="G143"/>
      <c r="H143"/>
      <c r="I143"/>
    </row>
    <row r="144" spans="2:29" ht="12.75" customHeight="1">
      <c r="B144" s="1475"/>
      <c r="C144" s="1476"/>
      <c r="D144" s="1476"/>
      <c r="E144" s="1476"/>
      <c r="F144" s="1477"/>
      <c r="G144"/>
      <c r="H144"/>
      <c r="I144"/>
    </row>
    <row r="145" spans="2:30" ht="12.75" customHeight="1">
      <c r="B145" s="1478"/>
      <c r="C145" s="1479"/>
      <c r="D145" s="1479"/>
      <c r="E145" s="1479"/>
      <c r="F145" s="1480"/>
      <c r="G145"/>
      <c r="H145"/>
      <c r="I145"/>
    </row>
    <row r="146" spans="2:30" ht="12.75" customHeight="1">
      <c r="B146"/>
      <c r="C146"/>
      <c r="D146"/>
      <c r="E146"/>
      <c r="F146"/>
      <c r="H146" s="527"/>
    </row>
    <row r="152" spans="2:30" s="842" customFormat="1" ht="14.1">
      <c r="B152" s="1495" t="s">
        <v>606</v>
      </c>
      <c r="C152" s="1495"/>
      <c r="D152" s="1495"/>
      <c r="E152" s="1495"/>
      <c r="H152" s="838"/>
    </row>
    <row r="153" spans="2:30" ht="12.75" customHeight="1" thickBot="1">
      <c r="I153" s="633"/>
    </row>
    <row r="154" spans="2:30" ht="12.75" customHeight="1">
      <c r="B154" s="1496" t="s">
        <v>607</v>
      </c>
      <c r="C154" s="843" t="s">
        <v>586</v>
      </c>
      <c r="D154" s="844">
        <v>2024</v>
      </c>
      <c r="E154" s="845">
        <v>2025</v>
      </c>
      <c r="F154" s="845">
        <v>2026</v>
      </c>
      <c r="G154" s="845">
        <v>2027</v>
      </c>
      <c r="H154" s="845">
        <v>2028</v>
      </c>
      <c r="I154" s="845">
        <v>2029</v>
      </c>
      <c r="J154" s="845">
        <v>2030</v>
      </c>
      <c r="K154" s="845">
        <v>2031</v>
      </c>
      <c r="L154" s="845">
        <v>2032</v>
      </c>
      <c r="M154" s="845">
        <v>2033</v>
      </c>
      <c r="N154" s="845">
        <v>2034</v>
      </c>
      <c r="O154" s="845">
        <v>2035</v>
      </c>
      <c r="P154" s="845">
        <v>2036</v>
      </c>
      <c r="Q154" s="845">
        <v>2037</v>
      </c>
      <c r="R154" s="845">
        <v>2038</v>
      </c>
      <c r="S154" s="845">
        <v>2039</v>
      </c>
      <c r="T154" s="845">
        <v>2040</v>
      </c>
      <c r="U154" s="845">
        <v>2041</v>
      </c>
      <c r="V154" s="845">
        <v>2042</v>
      </c>
      <c r="W154" s="845">
        <v>2043</v>
      </c>
      <c r="X154" s="845">
        <v>2044</v>
      </c>
      <c r="Y154" s="845">
        <v>2045</v>
      </c>
      <c r="Z154" s="845">
        <v>2046</v>
      </c>
      <c r="AA154" s="845">
        <v>2047</v>
      </c>
      <c r="AB154" s="845">
        <v>2048</v>
      </c>
      <c r="AC154" s="846">
        <v>2049</v>
      </c>
    </row>
    <row r="155" spans="2:30" ht="12.75" customHeight="1">
      <c r="B155" s="1497"/>
      <c r="C155" s="847" t="s">
        <v>587</v>
      </c>
      <c r="D155" s="848">
        <f>C180</f>
        <v>4.8456018940084E-2</v>
      </c>
      <c r="E155" s="848">
        <f>D180</f>
        <v>3.4564657172951652E-2</v>
      </c>
      <c r="F155" s="848">
        <f>E180</f>
        <v>2.676510230191953E-2</v>
      </c>
      <c r="G155" s="848">
        <f>F180</f>
        <v>2.1601811252940584E-2</v>
      </c>
      <c r="H155" s="849">
        <f t="shared" ref="H155:AC155" si="60">H180</f>
        <v>1.5573180231345018E-2</v>
      </c>
      <c r="I155" s="849">
        <f t="shared" si="60"/>
        <v>1.5642766180846923E-2</v>
      </c>
      <c r="J155" s="849">
        <f t="shared" si="60"/>
        <v>1.5711736795569919E-2</v>
      </c>
      <c r="K155" s="849">
        <f t="shared" si="60"/>
        <v>1.5780616626256405E-2</v>
      </c>
      <c r="L155" s="849">
        <f t="shared" si="60"/>
        <v>1.5849400382088819E-2</v>
      </c>
      <c r="M155" s="849">
        <f t="shared" si="60"/>
        <v>1.5918082841829051E-2</v>
      </c>
      <c r="N155" s="849">
        <f t="shared" si="60"/>
        <v>1.598665885566608E-2</v>
      </c>
      <c r="O155" s="849">
        <f t="shared" si="60"/>
        <v>1.6055123346997657E-2</v>
      </c>
      <c r="P155" s="849">
        <f t="shared" si="60"/>
        <v>1.6123471314141602E-2</v>
      </c>
      <c r="Q155" s="849">
        <f t="shared" si="60"/>
        <v>1.6191697831980933E-2</v>
      </c>
      <c r="R155" s="849">
        <f t="shared" si="60"/>
        <v>1.6259798053535501E-2</v>
      </c>
      <c r="S155" s="849">
        <f t="shared" si="60"/>
        <v>1.632776721146123E-2</v>
      </c>
      <c r="T155" s="849">
        <f t="shared" si="60"/>
        <v>1.6395600619481643E-2</v>
      </c>
      <c r="U155" s="849">
        <f t="shared" si="60"/>
        <v>1.6463293673741441E-2</v>
      </c>
      <c r="V155" s="849">
        <f t="shared" si="60"/>
        <v>1.6530841854090594E-2</v>
      </c>
      <c r="W155" s="849">
        <f t="shared" si="60"/>
        <v>1.6598240725293145E-2</v>
      </c>
      <c r="X155" s="849">
        <f t="shared" si="60"/>
        <v>1.6665485938160307E-2</v>
      </c>
      <c r="Y155" s="849">
        <f t="shared" si="60"/>
        <v>1.6732573230613834E-2</v>
      </c>
      <c r="Z155" s="849">
        <f t="shared" si="60"/>
        <v>1.6799498428671233E-2</v>
      </c>
      <c r="AA155" s="849">
        <f t="shared" si="60"/>
        <v>1.6866257447354815E-2</v>
      </c>
      <c r="AB155" s="849">
        <f t="shared" si="60"/>
        <v>1.6932846291533021E-2</v>
      </c>
      <c r="AC155" s="850">
        <f t="shared" si="60"/>
        <v>1.699926105668248E-2</v>
      </c>
    </row>
    <row r="156" spans="2:30" ht="12.75" customHeight="1">
      <c r="B156" s="1497"/>
      <c r="C156" s="847" t="s">
        <v>588</v>
      </c>
      <c r="D156" s="851">
        <f>C179</f>
        <v>5757.072000000001</v>
      </c>
      <c r="E156" s="851">
        <f>D179</f>
        <v>5956.06322</v>
      </c>
      <c r="F156" s="851">
        <f>E179</f>
        <v>6115.4778614000006</v>
      </c>
      <c r="G156" s="851">
        <f>F179</f>
        <v>6247.5832598834995</v>
      </c>
      <c r="H156" s="852">
        <f t="shared" ref="H156:AC156" si="61">H179</f>
        <v>6344.8779999999997</v>
      </c>
      <c r="I156" s="852">
        <f t="shared" si="61"/>
        <v>6444.1294429999989</v>
      </c>
      <c r="J156" s="852">
        <f t="shared" si="61"/>
        <v>6545.3779086849981</v>
      </c>
      <c r="K156" s="852">
        <f t="shared" si="61"/>
        <v>6648.6680081359236</v>
      </c>
      <c r="L156" s="852">
        <f t="shared" si="61"/>
        <v>6754.0454094044544</v>
      </c>
      <c r="M156" s="852">
        <f t="shared" si="61"/>
        <v>6861.5568637488304</v>
      </c>
      <c r="N156" s="852">
        <f t="shared" si="61"/>
        <v>6971.2502325483374</v>
      </c>
      <c r="O156" s="852">
        <f t="shared" si="61"/>
        <v>7083.1745149146873</v>
      </c>
      <c r="P156" s="852">
        <f t="shared" si="61"/>
        <v>7197.3798760189738</v>
      </c>
      <c r="Q156" s="852">
        <f t="shared" si="61"/>
        <v>7313.9176761534527</v>
      </c>
      <c r="R156" s="852">
        <f t="shared" si="61"/>
        <v>7432.8405005478908</v>
      </c>
      <c r="S156" s="852">
        <f t="shared" si="61"/>
        <v>7554.2021899607571</v>
      </c>
      <c r="T156" s="852">
        <f t="shared" si="61"/>
        <v>7678.057872066167</v>
      </c>
      <c r="U156" s="852">
        <f t="shared" si="61"/>
        <v>7804.4639936579742</v>
      </c>
      <c r="V156" s="852">
        <f t="shared" si="61"/>
        <v>7933.4783536930781</v>
      </c>
      <c r="W156" s="852">
        <f t="shared" si="61"/>
        <v>8065.160137196578</v>
      </c>
      <c r="X156" s="852">
        <f t="shared" si="61"/>
        <v>8199.5699500520386</v>
      </c>
      <c r="Y156" s="852">
        <f t="shared" si="61"/>
        <v>8336.7698547008258</v>
      </c>
      <c r="Z156" s="852">
        <f t="shared" si="61"/>
        <v>8476.8234067750655</v>
      </c>
      <c r="AA156" s="852">
        <f t="shared" si="61"/>
        <v>8619.7956926894967</v>
      </c>
      <c r="AB156" s="852">
        <f t="shared" si="61"/>
        <v>8765.7533682182257</v>
      </c>
      <c r="AC156" s="853">
        <f t="shared" si="61"/>
        <v>8914.7646980830614</v>
      </c>
    </row>
    <row r="157" spans="2:30" ht="12.75" customHeight="1" thickBot="1">
      <c r="B157" s="1498"/>
      <c r="C157" s="854" t="s">
        <v>589</v>
      </c>
      <c r="D157" s="855">
        <v>0.18</v>
      </c>
      <c r="E157" s="856">
        <v>0.18</v>
      </c>
      <c r="F157" s="856">
        <v>0.18</v>
      </c>
      <c r="G157" s="856">
        <v>0.18</v>
      </c>
      <c r="H157" s="856">
        <v>0.18</v>
      </c>
      <c r="I157" s="856">
        <v>0.18</v>
      </c>
      <c r="J157" s="856">
        <v>0.18</v>
      </c>
      <c r="K157" s="856">
        <v>0.18</v>
      </c>
      <c r="L157" s="856">
        <v>0.18</v>
      </c>
      <c r="M157" s="856">
        <v>0.18</v>
      </c>
      <c r="N157" s="856">
        <v>0.18</v>
      </c>
      <c r="O157" s="856">
        <v>0.18</v>
      </c>
      <c r="P157" s="856">
        <v>0.18</v>
      </c>
      <c r="Q157" s="856">
        <v>0.18</v>
      </c>
      <c r="R157" s="856">
        <v>0.18</v>
      </c>
      <c r="S157" s="856">
        <v>0.18</v>
      </c>
      <c r="T157" s="856">
        <v>0.18</v>
      </c>
      <c r="U157" s="856">
        <v>0.18</v>
      </c>
      <c r="V157" s="856">
        <v>0.18</v>
      </c>
      <c r="W157" s="856">
        <v>0.18</v>
      </c>
      <c r="X157" s="856">
        <v>0.18</v>
      </c>
      <c r="Y157" s="856">
        <v>0.18</v>
      </c>
      <c r="Z157" s="856">
        <v>0.18</v>
      </c>
      <c r="AA157" s="856">
        <v>0.18</v>
      </c>
      <c r="AB157" s="856">
        <v>0.18</v>
      </c>
      <c r="AC157" s="857">
        <v>0.18</v>
      </c>
    </row>
    <row r="158" spans="2:30" ht="12.75" customHeight="1">
      <c r="C158" s="546"/>
      <c r="D158"/>
      <c r="E158"/>
      <c r="F158"/>
      <c r="G158"/>
      <c r="H158"/>
      <c r="I158"/>
      <c r="J158"/>
      <c r="K158"/>
      <c r="L158"/>
      <c r="M158"/>
      <c r="N158"/>
      <c r="O158"/>
      <c r="P158"/>
      <c r="Q158"/>
      <c r="R158"/>
      <c r="S158"/>
      <c r="T158"/>
      <c r="U158"/>
      <c r="V158"/>
      <c r="W158"/>
      <c r="X158"/>
      <c r="Y158"/>
      <c r="Z158"/>
      <c r="AA158"/>
      <c r="AB158"/>
      <c r="AC158"/>
      <c r="AD158"/>
    </row>
    <row r="160" spans="2:30" ht="12.75" customHeight="1">
      <c r="B160" s="1469" t="s">
        <v>590</v>
      </c>
      <c r="C160" s="1469"/>
      <c r="D160" s="1469"/>
      <c r="E160" s="1469"/>
      <c r="F160" s="1469"/>
      <c r="H160" s="1469" t="s">
        <v>591</v>
      </c>
      <c r="I160" s="1469"/>
      <c r="J160" s="1469"/>
      <c r="K160" s="1469"/>
      <c r="L160"/>
      <c r="M160"/>
    </row>
    <row r="161" spans="2:29" ht="12.75" customHeight="1" thickBot="1">
      <c r="L161"/>
      <c r="M161"/>
    </row>
    <row r="162" spans="2:29" ht="12.75" customHeight="1" thickBot="1">
      <c r="B162" s="2"/>
      <c r="C162" s="810">
        <v>2024</v>
      </c>
      <c r="D162" s="614">
        <v>2025</v>
      </c>
      <c r="E162" s="614">
        <v>2026</v>
      </c>
      <c r="F162" s="615">
        <v>2027</v>
      </c>
      <c r="G162" s="775"/>
      <c r="H162" s="1488" t="s">
        <v>592</v>
      </c>
      <c r="I162" s="1489"/>
      <c r="J162" s="1488" t="s">
        <v>593</v>
      </c>
      <c r="K162" s="1489"/>
      <c r="L162"/>
      <c r="M162"/>
      <c r="P162" s="837"/>
    </row>
    <row r="163" spans="2:29" ht="12.75" customHeight="1">
      <c r="B163" s="803" t="s">
        <v>193</v>
      </c>
      <c r="C163" s="811">
        <v>0.04</v>
      </c>
      <c r="D163" s="812">
        <v>3.5000000000000003E-2</v>
      </c>
      <c r="E163" s="812">
        <v>0.03</v>
      </c>
      <c r="F163" s="813">
        <v>2.5000000000000001E-2</v>
      </c>
      <c r="G163" s="775"/>
      <c r="H163" s="1490">
        <v>0.02</v>
      </c>
      <c r="I163" s="1491"/>
      <c r="J163" s="1490">
        <v>0.01</v>
      </c>
      <c r="K163" s="1491"/>
      <c r="L163"/>
      <c r="M163"/>
    </row>
    <row r="164" spans="2:29" ht="12.75" customHeight="1">
      <c r="B164" s="804" t="s">
        <v>594</v>
      </c>
      <c r="C164" s="814">
        <v>0.02</v>
      </c>
      <c r="D164" s="815">
        <v>0.01</v>
      </c>
      <c r="E164" s="815">
        <v>0.01</v>
      </c>
      <c r="F164" s="816">
        <v>0.01</v>
      </c>
      <c r="G164" s="775"/>
      <c r="H164" s="1483">
        <v>5.0000000000000001E-3</v>
      </c>
      <c r="I164" s="1484"/>
      <c r="J164" s="1483">
        <v>2.5000000000000001E-3</v>
      </c>
      <c r="K164" s="1484"/>
      <c r="L164"/>
      <c r="M164"/>
    </row>
    <row r="165" spans="2:29" ht="12.75" customHeight="1">
      <c r="B165" s="804" t="s">
        <v>195</v>
      </c>
      <c r="C165" s="814">
        <v>0.01</v>
      </c>
      <c r="D165" s="815">
        <v>0.01</v>
      </c>
      <c r="E165" s="815">
        <v>0.01</v>
      </c>
      <c r="F165" s="816">
        <v>0.01</v>
      </c>
      <c r="G165" s="775"/>
      <c r="H165" s="1483">
        <v>0.01</v>
      </c>
      <c r="I165" s="1484"/>
      <c r="J165" s="1483">
        <v>5.0000000000000001E-3</v>
      </c>
      <c r="K165" s="1484"/>
      <c r="L165"/>
      <c r="M165"/>
    </row>
    <row r="166" spans="2:29" ht="12.75" customHeight="1">
      <c r="B166" s="804" t="s">
        <v>595</v>
      </c>
      <c r="C166" s="814">
        <v>0.3</v>
      </c>
      <c r="D166" s="815">
        <v>0.15</v>
      </c>
      <c r="E166" s="815">
        <v>0.08</v>
      </c>
      <c r="F166" s="816">
        <v>0.05</v>
      </c>
      <c r="G166" s="775"/>
      <c r="H166" s="1483">
        <v>0.03</v>
      </c>
      <c r="I166" s="1484"/>
      <c r="J166" s="1483">
        <v>0.02</v>
      </c>
      <c r="K166" s="1484"/>
      <c r="L166"/>
      <c r="M166"/>
    </row>
    <row r="167" spans="2:29" ht="12.75" customHeight="1">
      <c r="B167" s="804" t="s">
        <v>596</v>
      </c>
      <c r="C167" s="814">
        <v>0.05</v>
      </c>
      <c r="D167" s="815">
        <v>0.03</v>
      </c>
      <c r="E167" s="815">
        <v>0.01</v>
      </c>
      <c r="F167" s="816">
        <v>5.0000000000000001E-3</v>
      </c>
      <c r="G167" s="775"/>
      <c r="H167" s="1483">
        <v>5.0000000000000001E-3</v>
      </c>
      <c r="I167" s="1484"/>
      <c r="J167" s="1483">
        <v>5.0000000000000001E-3</v>
      </c>
      <c r="K167" s="1484"/>
      <c r="L167"/>
      <c r="M167"/>
    </row>
    <row r="168" spans="2:29" ht="12.75" customHeight="1" thickBot="1">
      <c r="B168" s="805" t="s">
        <v>597</v>
      </c>
      <c r="C168" s="782">
        <v>0</v>
      </c>
      <c r="D168" s="783">
        <v>0</v>
      </c>
      <c r="E168" s="783">
        <v>0</v>
      </c>
      <c r="F168" s="625">
        <v>0</v>
      </c>
      <c r="G168" s="775"/>
      <c r="H168" s="1485">
        <v>0</v>
      </c>
      <c r="I168" s="1486"/>
      <c r="J168" s="1485">
        <v>0</v>
      </c>
      <c r="K168" s="1486"/>
      <c r="L168"/>
      <c r="M168"/>
    </row>
    <row r="169" spans="2:29" ht="12.75" customHeight="1">
      <c r="L169"/>
      <c r="M169"/>
    </row>
    <row r="170" spans="2:29" ht="12.75" customHeight="1">
      <c r="B170" s="1469" t="s">
        <v>608</v>
      </c>
      <c r="C170" s="1469"/>
      <c r="D170" s="1469"/>
      <c r="E170" s="1469"/>
      <c r="F170" s="1469"/>
    </row>
    <row r="171" spans="2:29" ht="12.75" customHeight="1" thickBot="1">
      <c r="D171" s="633"/>
    </row>
    <row r="172" spans="2:29" ht="12.75" customHeight="1" thickBot="1">
      <c r="B172" s="2"/>
      <c r="C172" s="806">
        <v>2024</v>
      </c>
      <c r="D172" s="807">
        <v>2025</v>
      </c>
      <c r="E172" s="807">
        <v>2026</v>
      </c>
      <c r="F172" s="784">
        <v>2027</v>
      </c>
      <c r="G172" s="798"/>
      <c r="H172" s="614">
        <v>2028</v>
      </c>
      <c r="I172" s="614">
        <f t="shared" ref="I172:AC172" si="62">H172+1</f>
        <v>2029</v>
      </c>
      <c r="J172" s="614">
        <f t="shared" si="62"/>
        <v>2030</v>
      </c>
      <c r="K172" s="614">
        <f t="shared" si="62"/>
        <v>2031</v>
      </c>
      <c r="L172" s="614">
        <f t="shared" si="62"/>
        <v>2032</v>
      </c>
      <c r="M172" s="614">
        <f t="shared" si="62"/>
        <v>2033</v>
      </c>
      <c r="N172" s="614">
        <f t="shared" si="62"/>
        <v>2034</v>
      </c>
      <c r="O172" s="614">
        <f t="shared" si="62"/>
        <v>2035</v>
      </c>
      <c r="P172" s="614">
        <f t="shared" si="62"/>
        <v>2036</v>
      </c>
      <c r="Q172" s="614">
        <f t="shared" si="62"/>
        <v>2037</v>
      </c>
      <c r="R172" s="614">
        <f t="shared" si="62"/>
        <v>2038</v>
      </c>
      <c r="S172" s="614">
        <f t="shared" si="62"/>
        <v>2039</v>
      </c>
      <c r="T172" s="614">
        <f t="shared" si="62"/>
        <v>2040</v>
      </c>
      <c r="U172" s="614">
        <f t="shared" si="62"/>
        <v>2041</v>
      </c>
      <c r="V172" s="614">
        <f t="shared" si="62"/>
        <v>2042</v>
      </c>
      <c r="W172" s="614">
        <f t="shared" si="62"/>
        <v>2043</v>
      </c>
      <c r="X172" s="614">
        <f t="shared" si="62"/>
        <v>2044</v>
      </c>
      <c r="Y172" s="614">
        <f t="shared" si="62"/>
        <v>2045</v>
      </c>
      <c r="Z172" s="614">
        <f t="shared" si="62"/>
        <v>2046</v>
      </c>
      <c r="AA172" s="614">
        <f t="shared" si="62"/>
        <v>2047</v>
      </c>
      <c r="AB172" s="614">
        <f t="shared" si="62"/>
        <v>2048</v>
      </c>
      <c r="AC172" s="784">
        <f t="shared" si="62"/>
        <v>2049</v>
      </c>
    </row>
    <row r="173" spans="2:29" ht="12.75" customHeight="1">
      <c r="B173" s="803" t="s">
        <v>193</v>
      </c>
      <c r="C173" s="800">
        <f>2901.4*(1+C163)</f>
        <v>3017.4560000000001</v>
      </c>
      <c r="D173" s="777">
        <f t="shared" ref="D173:F177" si="63">C173*(1+D163)</f>
        <v>3123.0669600000001</v>
      </c>
      <c r="E173" s="777">
        <f t="shared" si="63"/>
        <v>3216.7589688000003</v>
      </c>
      <c r="F173" s="778">
        <f t="shared" si="63"/>
        <v>3297.1779430199999</v>
      </c>
      <c r="G173" s="798"/>
      <c r="H173" s="776">
        <f>3297.18*(1+$H$163)</f>
        <v>3363.1235999999999</v>
      </c>
      <c r="I173" s="777">
        <f t="shared" ref="I173:AC173" si="64">H173*(1+$H$163)</f>
        <v>3430.3860719999998</v>
      </c>
      <c r="J173" s="777">
        <f t="shared" si="64"/>
        <v>3498.99379344</v>
      </c>
      <c r="K173" s="777">
        <f t="shared" si="64"/>
        <v>3568.9736693088003</v>
      </c>
      <c r="L173" s="777">
        <f t="shared" si="64"/>
        <v>3640.3531426949762</v>
      </c>
      <c r="M173" s="777">
        <f t="shared" si="64"/>
        <v>3713.1602055488756</v>
      </c>
      <c r="N173" s="777">
        <f t="shared" si="64"/>
        <v>3787.4234096598534</v>
      </c>
      <c r="O173" s="777">
        <f t="shared" si="64"/>
        <v>3863.1718778530503</v>
      </c>
      <c r="P173" s="777">
        <f t="shared" si="64"/>
        <v>3940.4353154101113</v>
      </c>
      <c r="Q173" s="777">
        <f t="shared" si="64"/>
        <v>4019.2440217183134</v>
      </c>
      <c r="R173" s="777">
        <f t="shared" si="64"/>
        <v>4099.62890215268</v>
      </c>
      <c r="S173" s="777">
        <f t="shared" si="64"/>
        <v>4181.621480195734</v>
      </c>
      <c r="T173" s="777">
        <f t="shared" si="64"/>
        <v>4265.2539097996487</v>
      </c>
      <c r="U173" s="777">
        <f t="shared" si="64"/>
        <v>4350.5589879956415</v>
      </c>
      <c r="V173" s="777">
        <f t="shared" si="64"/>
        <v>4437.5701677555544</v>
      </c>
      <c r="W173" s="777">
        <f t="shared" si="64"/>
        <v>4526.3215711106659</v>
      </c>
      <c r="X173" s="777">
        <f t="shared" si="64"/>
        <v>4616.848002532879</v>
      </c>
      <c r="Y173" s="777">
        <f t="shared" si="64"/>
        <v>4709.1849625835366</v>
      </c>
      <c r="Z173" s="777">
        <f t="shared" si="64"/>
        <v>4803.3686618352076</v>
      </c>
      <c r="AA173" s="777">
        <f t="shared" si="64"/>
        <v>4899.4360350719116</v>
      </c>
      <c r="AB173" s="777">
        <f t="shared" si="64"/>
        <v>4997.4247557733497</v>
      </c>
      <c r="AC173" s="778">
        <f t="shared" si="64"/>
        <v>5097.373250888817</v>
      </c>
    </row>
    <row r="174" spans="2:29" ht="12.75" customHeight="1">
      <c r="B174" s="804" t="s">
        <v>594</v>
      </c>
      <c r="C174" s="801">
        <f>1843.7*(1+C164)</f>
        <v>1880.5740000000001</v>
      </c>
      <c r="D174" s="780">
        <f t="shared" si="63"/>
        <v>1899.3797400000001</v>
      </c>
      <c r="E174" s="780">
        <f t="shared" si="63"/>
        <v>1918.3735374</v>
      </c>
      <c r="F174" s="781">
        <f t="shared" si="63"/>
        <v>1937.557272774</v>
      </c>
      <c r="G174" s="798"/>
      <c r="H174" s="779">
        <f>1937.56*(1+$H$164)</f>
        <v>1947.2477999999996</v>
      </c>
      <c r="I174" s="780">
        <f t="shared" ref="I174:AC174" si="65">H174*(1+$H$164)</f>
        <v>1956.9840389999995</v>
      </c>
      <c r="J174" s="780">
        <f t="shared" si="65"/>
        <v>1966.7689591949993</v>
      </c>
      <c r="K174" s="780">
        <f t="shared" si="65"/>
        <v>1976.6028039909741</v>
      </c>
      <c r="L174" s="780">
        <f t="shared" si="65"/>
        <v>1986.4858180109288</v>
      </c>
      <c r="M174" s="780">
        <f t="shared" si="65"/>
        <v>1996.4182471009833</v>
      </c>
      <c r="N174" s="780">
        <f t="shared" si="65"/>
        <v>2006.4003383364879</v>
      </c>
      <c r="O174" s="780">
        <f t="shared" si="65"/>
        <v>2016.4323400281701</v>
      </c>
      <c r="P174" s="780">
        <f t="shared" si="65"/>
        <v>2026.5145017283107</v>
      </c>
      <c r="Q174" s="780">
        <f t="shared" si="65"/>
        <v>2036.647074236952</v>
      </c>
      <c r="R174" s="780">
        <f t="shared" si="65"/>
        <v>2046.8303096081365</v>
      </c>
      <c r="S174" s="780">
        <f t="shared" si="65"/>
        <v>2057.064461156177</v>
      </c>
      <c r="T174" s="780">
        <f t="shared" si="65"/>
        <v>2067.3497834619575</v>
      </c>
      <c r="U174" s="780">
        <f t="shared" si="65"/>
        <v>2077.6865323792672</v>
      </c>
      <c r="V174" s="780">
        <f t="shared" si="65"/>
        <v>2088.0749650411635</v>
      </c>
      <c r="W174" s="780">
        <f t="shared" si="65"/>
        <v>2098.5153398663692</v>
      </c>
      <c r="X174" s="780">
        <f t="shared" si="65"/>
        <v>2109.0079165657007</v>
      </c>
      <c r="Y174" s="780">
        <f t="shared" si="65"/>
        <v>2119.5529561485291</v>
      </c>
      <c r="Z174" s="780">
        <f t="shared" si="65"/>
        <v>2130.1507209292718</v>
      </c>
      <c r="AA174" s="780">
        <f t="shared" si="65"/>
        <v>2140.8014745339178</v>
      </c>
      <c r="AB174" s="780">
        <f t="shared" si="65"/>
        <v>2151.5054819065872</v>
      </c>
      <c r="AC174" s="781">
        <f t="shared" si="65"/>
        <v>2162.2630093161197</v>
      </c>
    </row>
    <row r="175" spans="2:29" ht="12.75" customHeight="1">
      <c r="B175" s="804" t="s">
        <v>195</v>
      </c>
      <c r="C175" s="801">
        <f>292.7*(1+C165)</f>
        <v>295.62700000000001</v>
      </c>
      <c r="D175" s="780">
        <f t="shared" si="63"/>
        <v>298.58327000000003</v>
      </c>
      <c r="E175" s="780">
        <f t="shared" si="63"/>
        <v>301.56910270000003</v>
      </c>
      <c r="F175" s="781">
        <f t="shared" si="63"/>
        <v>304.58479372700003</v>
      </c>
      <c r="G175" s="798"/>
      <c r="H175" s="779">
        <f>304.58*(1+$H$165)</f>
        <v>307.62579999999997</v>
      </c>
      <c r="I175" s="780">
        <f t="shared" ref="I175:AC175" si="66">H175*(1+$H$165)</f>
        <v>310.70205799999997</v>
      </c>
      <c r="J175" s="780">
        <f t="shared" si="66"/>
        <v>313.80907857999995</v>
      </c>
      <c r="K175" s="780">
        <f t="shared" si="66"/>
        <v>316.94716936579994</v>
      </c>
      <c r="L175" s="780">
        <f t="shared" si="66"/>
        <v>320.11664105945795</v>
      </c>
      <c r="M175" s="780">
        <f t="shared" si="66"/>
        <v>323.31780747005251</v>
      </c>
      <c r="N175" s="780">
        <f t="shared" si="66"/>
        <v>326.55098554475302</v>
      </c>
      <c r="O175" s="780">
        <f t="shared" si="66"/>
        <v>329.81649540020055</v>
      </c>
      <c r="P175" s="780">
        <f t="shared" si="66"/>
        <v>333.11466035420256</v>
      </c>
      <c r="Q175" s="780">
        <f t="shared" si="66"/>
        <v>336.44580695774459</v>
      </c>
      <c r="R175" s="780">
        <f t="shared" si="66"/>
        <v>339.81026502732203</v>
      </c>
      <c r="S175" s="780">
        <f t="shared" si="66"/>
        <v>343.20836767759528</v>
      </c>
      <c r="T175" s="780">
        <f t="shared" si="66"/>
        <v>346.64045135437124</v>
      </c>
      <c r="U175" s="780">
        <f t="shared" si="66"/>
        <v>350.10685586791493</v>
      </c>
      <c r="V175" s="780">
        <f t="shared" si="66"/>
        <v>353.60792442659408</v>
      </c>
      <c r="W175" s="780">
        <f t="shared" si="66"/>
        <v>357.14400367086</v>
      </c>
      <c r="X175" s="780">
        <f t="shared" si="66"/>
        <v>360.71544370756862</v>
      </c>
      <c r="Y175" s="780">
        <f t="shared" si="66"/>
        <v>364.3225981446443</v>
      </c>
      <c r="Z175" s="780">
        <f t="shared" si="66"/>
        <v>367.96582412609075</v>
      </c>
      <c r="AA175" s="780">
        <f t="shared" si="66"/>
        <v>371.64548236735169</v>
      </c>
      <c r="AB175" s="780">
        <f t="shared" si="66"/>
        <v>375.36193719102522</v>
      </c>
      <c r="AC175" s="781">
        <f t="shared" si="66"/>
        <v>379.11555656293547</v>
      </c>
    </row>
    <row r="176" spans="2:29" ht="12.75" customHeight="1">
      <c r="B176" s="804" t="s">
        <v>595</v>
      </c>
      <c r="C176" s="801">
        <f>363.8*(1+C166)</f>
        <v>472.94000000000005</v>
      </c>
      <c r="D176" s="780">
        <f t="shared" si="63"/>
        <v>543.88099999999997</v>
      </c>
      <c r="E176" s="780">
        <f t="shared" si="63"/>
        <v>587.39148</v>
      </c>
      <c r="F176" s="781">
        <f t="shared" si="63"/>
        <v>616.76105400000006</v>
      </c>
      <c r="G176" s="798"/>
      <c r="H176" s="779">
        <f>616.76*(1+$H$166)</f>
        <v>635.26279999999997</v>
      </c>
      <c r="I176" s="780">
        <f t="shared" ref="I176:AC176" si="67">H176*(1+$H$166)</f>
        <v>654.32068400000003</v>
      </c>
      <c r="J176" s="780">
        <f t="shared" si="67"/>
        <v>673.95030452000003</v>
      </c>
      <c r="K176" s="780">
        <f t="shared" si="67"/>
        <v>694.16881365560005</v>
      </c>
      <c r="L176" s="780">
        <f t="shared" si="67"/>
        <v>714.99387806526806</v>
      </c>
      <c r="M176" s="780">
        <f t="shared" si="67"/>
        <v>736.44369440722608</v>
      </c>
      <c r="N176" s="780">
        <f t="shared" si="67"/>
        <v>758.53700523944292</v>
      </c>
      <c r="O176" s="780">
        <f t="shared" si="67"/>
        <v>781.29311539662626</v>
      </c>
      <c r="P176" s="780">
        <f t="shared" si="67"/>
        <v>804.73190885852512</v>
      </c>
      <c r="Q176" s="780">
        <f t="shared" si="67"/>
        <v>828.87386612428088</v>
      </c>
      <c r="R176" s="780">
        <f t="shared" si="67"/>
        <v>853.74008210800935</v>
      </c>
      <c r="S176" s="780">
        <f t="shared" si="67"/>
        <v>879.3522845712497</v>
      </c>
      <c r="T176" s="780">
        <f t="shared" si="67"/>
        <v>905.73285310838719</v>
      </c>
      <c r="U176" s="780">
        <f t="shared" si="67"/>
        <v>932.90483870163882</v>
      </c>
      <c r="V176" s="780">
        <f t="shared" si="67"/>
        <v>960.89198386268799</v>
      </c>
      <c r="W176" s="780">
        <f t="shared" si="67"/>
        <v>989.71874337856866</v>
      </c>
      <c r="X176" s="780">
        <f t="shared" si="67"/>
        <v>1019.4103056799257</v>
      </c>
      <c r="Y176" s="780">
        <f t="shared" si="67"/>
        <v>1049.9926148503234</v>
      </c>
      <c r="Z176" s="780">
        <f t="shared" si="67"/>
        <v>1081.4923932958332</v>
      </c>
      <c r="AA176" s="780">
        <f t="shared" si="67"/>
        <v>1113.9371650947082</v>
      </c>
      <c r="AB176" s="780">
        <f t="shared" si="67"/>
        <v>1147.3552800475495</v>
      </c>
      <c r="AC176" s="781">
        <f t="shared" si="67"/>
        <v>1181.7759384489759</v>
      </c>
    </row>
    <row r="177" spans="2:29" ht="12.75" customHeight="1">
      <c r="B177" s="804" t="s">
        <v>596</v>
      </c>
      <c r="C177" s="801">
        <f>21.5*(1+C167)</f>
        <v>22.574999999999999</v>
      </c>
      <c r="D177" s="780">
        <f t="shared" si="63"/>
        <v>23.25225</v>
      </c>
      <c r="E177" s="780">
        <f t="shared" si="63"/>
        <v>23.484772500000002</v>
      </c>
      <c r="F177" s="781">
        <f t="shared" si="63"/>
        <v>23.602196362499999</v>
      </c>
      <c r="G177" s="798"/>
      <c r="H177" s="779">
        <f>23.6*(1+$H$167)</f>
        <v>23.718</v>
      </c>
      <c r="I177" s="780">
        <f t="shared" ref="I177:AC177" si="68">H177*(1+$H$167)</f>
        <v>23.836589999999998</v>
      </c>
      <c r="J177" s="780">
        <f t="shared" si="68"/>
        <v>23.955772949999997</v>
      </c>
      <c r="K177" s="780">
        <f t="shared" si="68"/>
        <v>24.075551814749993</v>
      </c>
      <c r="L177" s="780">
        <f t="shared" si="68"/>
        <v>24.19592957382374</v>
      </c>
      <c r="M177" s="780">
        <f t="shared" si="68"/>
        <v>24.316909221692857</v>
      </c>
      <c r="N177" s="780">
        <f t="shared" si="68"/>
        <v>24.438493767801319</v>
      </c>
      <c r="O177" s="780">
        <f t="shared" si="68"/>
        <v>24.560686236640322</v>
      </c>
      <c r="P177" s="780">
        <f t="shared" si="68"/>
        <v>24.683489667823522</v>
      </c>
      <c r="Q177" s="780">
        <f t="shared" si="68"/>
        <v>24.806907116162638</v>
      </c>
      <c r="R177" s="780">
        <f t="shared" si="68"/>
        <v>24.930941651743449</v>
      </c>
      <c r="S177" s="780">
        <f t="shared" si="68"/>
        <v>25.055596360002163</v>
      </c>
      <c r="T177" s="780">
        <f t="shared" si="68"/>
        <v>25.18087434180217</v>
      </c>
      <c r="U177" s="780">
        <f t="shared" si="68"/>
        <v>25.306778713511179</v>
      </c>
      <c r="V177" s="780">
        <f t="shared" si="68"/>
        <v>25.433312607078733</v>
      </c>
      <c r="W177" s="780">
        <f t="shared" si="68"/>
        <v>25.560479170114125</v>
      </c>
      <c r="X177" s="780">
        <f t="shared" si="68"/>
        <v>25.688281565964694</v>
      </c>
      <c r="Y177" s="780">
        <f t="shared" si="68"/>
        <v>25.816722973794516</v>
      </c>
      <c r="Z177" s="780">
        <f t="shared" si="68"/>
        <v>25.945806588663487</v>
      </c>
      <c r="AA177" s="780">
        <f t="shared" si="68"/>
        <v>26.0755356216068</v>
      </c>
      <c r="AB177" s="780">
        <f t="shared" si="68"/>
        <v>26.20591329971483</v>
      </c>
      <c r="AC177" s="781">
        <f t="shared" si="68"/>
        <v>26.336942866213402</v>
      </c>
    </row>
    <row r="178" spans="2:29" ht="12.75" customHeight="1" thickBot="1">
      <c r="B178" s="808" t="s">
        <v>597</v>
      </c>
      <c r="C178" s="802">
        <f>67.9*(1+C168)</f>
        <v>67.900000000000006</v>
      </c>
      <c r="D178" s="797">
        <f>67.9*(1+D168)</f>
        <v>67.900000000000006</v>
      </c>
      <c r="E178" s="797">
        <f>67.9*(1+E168)</f>
        <v>67.900000000000006</v>
      </c>
      <c r="F178" s="799">
        <f>67.9*(1+F168)</f>
        <v>67.900000000000006</v>
      </c>
      <c r="G178" s="798"/>
      <c r="H178" s="817">
        <f t="shared" ref="H178:AC178" si="69">67.9*(1+E168)</f>
        <v>67.900000000000006</v>
      </c>
      <c r="I178" s="818">
        <f t="shared" si="69"/>
        <v>67.900000000000006</v>
      </c>
      <c r="J178" s="818">
        <f t="shared" si="69"/>
        <v>67.900000000000006</v>
      </c>
      <c r="K178" s="818">
        <f t="shared" si="69"/>
        <v>67.900000000000006</v>
      </c>
      <c r="L178" s="818">
        <f t="shared" si="69"/>
        <v>67.900000000000006</v>
      </c>
      <c r="M178" s="818">
        <f t="shared" si="69"/>
        <v>67.900000000000006</v>
      </c>
      <c r="N178" s="818">
        <f t="shared" si="69"/>
        <v>67.900000000000006</v>
      </c>
      <c r="O178" s="818">
        <f t="shared" si="69"/>
        <v>67.900000000000006</v>
      </c>
      <c r="P178" s="818">
        <f t="shared" si="69"/>
        <v>67.900000000000006</v>
      </c>
      <c r="Q178" s="818">
        <f t="shared" si="69"/>
        <v>67.900000000000006</v>
      </c>
      <c r="R178" s="818">
        <f t="shared" si="69"/>
        <v>67.900000000000006</v>
      </c>
      <c r="S178" s="818">
        <f t="shared" si="69"/>
        <v>67.900000000000006</v>
      </c>
      <c r="T178" s="818">
        <f t="shared" si="69"/>
        <v>67.900000000000006</v>
      </c>
      <c r="U178" s="818">
        <f t="shared" si="69"/>
        <v>67.900000000000006</v>
      </c>
      <c r="V178" s="818">
        <f t="shared" si="69"/>
        <v>67.900000000000006</v>
      </c>
      <c r="W178" s="818">
        <f t="shared" si="69"/>
        <v>67.900000000000006</v>
      </c>
      <c r="X178" s="818">
        <f t="shared" si="69"/>
        <v>67.900000000000006</v>
      </c>
      <c r="Y178" s="818">
        <f t="shared" si="69"/>
        <v>67.900000000000006</v>
      </c>
      <c r="Z178" s="818">
        <f t="shared" si="69"/>
        <v>67.900000000000006</v>
      </c>
      <c r="AA178" s="818">
        <f t="shared" si="69"/>
        <v>67.900000000000006</v>
      </c>
      <c r="AB178" s="818">
        <f t="shared" si="69"/>
        <v>67.900000000000006</v>
      </c>
      <c r="AC178" s="819">
        <f t="shared" si="69"/>
        <v>67.900000000000006</v>
      </c>
    </row>
    <row r="179" spans="2:29" ht="12.75" customHeight="1" thickBot="1">
      <c r="B179" s="809" t="s">
        <v>511</v>
      </c>
      <c r="C179" s="820">
        <f>SUM(C173:C178)</f>
        <v>5757.072000000001</v>
      </c>
      <c r="D179" s="820">
        <f>SUM(D173:D178)</f>
        <v>5956.06322</v>
      </c>
      <c r="E179" s="820">
        <f>SUM(E173:E178)</f>
        <v>6115.4778614000006</v>
      </c>
      <c r="F179" s="820">
        <f>SUM(F173:F178)</f>
        <v>6247.5832598834995</v>
      </c>
      <c r="G179" s="798"/>
      <c r="H179" s="820">
        <f t="shared" ref="H179:AC179" si="70">SUM(H173:H178)</f>
        <v>6344.8779999999997</v>
      </c>
      <c r="I179" s="820">
        <f t="shared" si="70"/>
        <v>6444.1294429999989</v>
      </c>
      <c r="J179" s="820">
        <f t="shared" si="70"/>
        <v>6545.3779086849981</v>
      </c>
      <c r="K179" s="820">
        <f t="shared" si="70"/>
        <v>6648.6680081359236</v>
      </c>
      <c r="L179" s="820">
        <f t="shared" si="70"/>
        <v>6754.0454094044544</v>
      </c>
      <c r="M179" s="820">
        <f t="shared" si="70"/>
        <v>6861.5568637488304</v>
      </c>
      <c r="N179" s="820">
        <f t="shared" si="70"/>
        <v>6971.2502325483374</v>
      </c>
      <c r="O179" s="820">
        <f t="shared" si="70"/>
        <v>7083.1745149146873</v>
      </c>
      <c r="P179" s="820">
        <f t="shared" si="70"/>
        <v>7197.3798760189738</v>
      </c>
      <c r="Q179" s="820">
        <f t="shared" si="70"/>
        <v>7313.9176761534527</v>
      </c>
      <c r="R179" s="820">
        <f t="shared" si="70"/>
        <v>7432.8405005478908</v>
      </c>
      <c r="S179" s="820">
        <f t="shared" si="70"/>
        <v>7554.2021899607571</v>
      </c>
      <c r="T179" s="820">
        <f t="shared" si="70"/>
        <v>7678.057872066167</v>
      </c>
      <c r="U179" s="820">
        <f t="shared" si="70"/>
        <v>7804.4639936579742</v>
      </c>
      <c r="V179" s="820">
        <f t="shared" si="70"/>
        <v>7933.4783536930781</v>
      </c>
      <c r="W179" s="820">
        <f t="shared" si="70"/>
        <v>8065.160137196578</v>
      </c>
      <c r="X179" s="820">
        <f t="shared" si="70"/>
        <v>8199.5699500520386</v>
      </c>
      <c r="Y179" s="820">
        <f t="shared" si="70"/>
        <v>8336.7698547008258</v>
      </c>
      <c r="Z179" s="820">
        <f t="shared" si="70"/>
        <v>8476.8234067750655</v>
      </c>
      <c r="AA179" s="820">
        <f t="shared" si="70"/>
        <v>8619.7956926894967</v>
      </c>
      <c r="AB179" s="820">
        <f t="shared" si="70"/>
        <v>8765.7533682182257</v>
      </c>
      <c r="AC179" s="820">
        <f t="shared" si="70"/>
        <v>8914.7646980830614</v>
      </c>
    </row>
    <row r="180" spans="2:29" ht="12.75" customHeight="1" thickBot="1">
      <c r="B180" s="809" t="s">
        <v>599</v>
      </c>
      <c r="C180" s="821">
        <f>C179/5491-1</f>
        <v>4.8456018940084E-2</v>
      </c>
      <c r="D180" s="821">
        <f>D179/C179-1</f>
        <v>3.4564657172951652E-2</v>
      </c>
      <c r="E180" s="821">
        <f>E179/D179-1</f>
        <v>2.676510230191953E-2</v>
      </c>
      <c r="F180" s="821">
        <f>F179/E179-1</f>
        <v>2.1601811252940584E-2</v>
      </c>
      <c r="G180" s="798"/>
      <c r="H180" s="821">
        <f>H179/F179-1</f>
        <v>1.5573180231345018E-2</v>
      </c>
      <c r="I180" s="821">
        <f t="shared" ref="I180:AC180" si="71">I179/H179-1</f>
        <v>1.5642766180846923E-2</v>
      </c>
      <c r="J180" s="821">
        <f t="shared" si="71"/>
        <v>1.5711736795569919E-2</v>
      </c>
      <c r="K180" s="821">
        <f t="shared" si="71"/>
        <v>1.5780616626256405E-2</v>
      </c>
      <c r="L180" s="821">
        <f t="shared" si="71"/>
        <v>1.5849400382088819E-2</v>
      </c>
      <c r="M180" s="821">
        <f t="shared" si="71"/>
        <v>1.5918082841829051E-2</v>
      </c>
      <c r="N180" s="821">
        <f t="shared" si="71"/>
        <v>1.598665885566608E-2</v>
      </c>
      <c r="O180" s="821">
        <f t="shared" si="71"/>
        <v>1.6055123346997657E-2</v>
      </c>
      <c r="P180" s="821">
        <f t="shared" si="71"/>
        <v>1.6123471314141602E-2</v>
      </c>
      <c r="Q180" s="821">
        <f t="shared" si="71"/>
        <v>1.6191697831980933E-2</v>
      </c>
      <c r="R180" s="821">
        <f t="shared" si="71"/>
        <v>1.6259798053535501E-2</v>
      </c>
      <c r="S180" s="821">
        <f t="shared" si="71"/>
        <v>1.632776721146123E-2</v>
      </c>
      <c r="T180" s="821">
        <f t="shared" si="71"/>
        <v>1.6395600619481643E-2</v>
      </c>
      <c r="U180" s="821">
        <f t="shared" si="71"/>
        <v>1.6463293673741441E-2</v>
      </c>
      <c r="V180" s="821">
        <f t="shared" si="71"/>
        <v>1.6530841854090594E-2</v>
      </c>
      <c r="W180" s="821">
        <f t="shared" si="71"/>
        <v>1.6598240725293145E-2</v>
      </c>
      <c r="X180" s="821">
        <f t="shared" si="71"/>
        <v>1.6665485938160307E-2</v>
      </c>
      <c r="Y180" s="821">
        <f t="shared" si="71"/>
        <v>1.6732573230613834E-2</v>
      </c>
      <c r="Z180" s="821">
        <f t="shared" si="71"/>
        <v>1.6799498428671233E-2</v>
      </c>
      <c r="AA180" s="821">
        <f t="shared" si="71"/>
        <v>1.6866257447354815E-2</v>
      </c>
      <c r="AB180" s="821">
        <f t="shared" si="71"/>
        <v>1.6932846291533021E-2</v>
      </c>
      <c r="AC180" s="821">
        <f t="shared" si="71"/>
        <v>1.699926105668248E-2</v>
      </c>
    </row>
    <row r="184" spans="2:29" ht="12.75" customHeight="1">
      <c r="B184" s="1471" t="s">
        <v>609</v>
      </c>
      <c r="C184" s="1471"/>
      <c r="D184" s="1471"/>
      <c r="E184" s="1471"/>
      <c r="F184" s="1471"/>
    </row>
    <row r="185" spans="2:29" ht="12.75" customHeight="1">
      <c r="B185" s="1472"/>
      <c r="C185" s="1473"/>
      <c r="D185" s="1473"/>
      <c r="E185" s="1473"/>
      <c r="F185" s="1474"/>
    </row>
    <row r="186" spans="2:29" ht="12.75" customHeight="1">
      <c r="B186" s="1475"/>
      <c r="C186" s="1476"/>
      <c r="D186" s="1476"/>
      <c r="E186" s="1476"/>
      <c r="F186" s="1477"/>
    </row>
    <row r="187" spans="2:29" ht="12.75" customHeight="1">
      <c r="B187" s="1475"/>
      <c r="C187" s="1476"/>
      <c r="D187" s="1476"/>
      <c r="E187" s="1476"/>
      <c r="F187" s="1477"/>
    </row>
    <row r="188" spans="2:29" ht="12.75" customHeight="1">
      <c r="B188" s="1475"/>
      <c r="C188" s="1476"/>
      <c r="D188" s="1476"/>
      <c r="E188" s="1476"/>
      <c r="F188" s="1477"/>
    </row>
    <row r="189" spans="2:29" ht="12.75" customHeight="1">
      <c r="B189" s="1478"/>
      <c r="C189" s="1479"/>
      <c r="D189" s="1479"/>
      <c r="E189" s="1479"/>
      <c r="F189" s="1480"/>
    </row>
    <row r="196" spans="2:25" s="526" customFormat="1" ht="14.1">
      <c r="B196" s="533" t="s">
        <v>610</v>
      </c>
      <c r="C196" s="533"/>
      <c r="H196" s="634"/>
    </row>
    <row r="198" spans="2:25" ht="15.75" customHeight="1">
      <c r="B198" s="1471" t="s">
        <v>611</v>
      </c>
      <c r="C198" s="1471"/>
      <c r="D198" s="1471"/>
      <c r="E198" s="1471"/>
      <c r="F198" s="1471"/>
    </row>
    <row r="199" spans="2:25" ht="12.75" customHeight="1">
      <c r="B199" s="1472" t="s">
        <v>612</v>
      </c>
      <c r="C199" s="1473"/>
      <c r="D199" s="1473"/>
      <c r="E199" s="1473"/>
      <c r="F199" s="1474"/>
      <c r="P199" s="664" t="s">
        <v>613</v>
      </c>
      <c r="Q199" s="1499" t="s">
        <v>614</v>
      </c>
      <c r="R199" s="1499"/>
    </row>
    <row r="200" spans="2:25" ht="12.75" customHeight="1" thickBot="1">
      <c r="B200" s="1475"/>
      <c r="C200" s="1476"/>
      <c r="D200" s="1476"/>
      <c r="E200" s="1476"/>
      <c r="F200" s="1477"/>
    </row>
    <row r="201" spans="2:25" ht="12.75" customHeight="1" thickBot="1">
      <c r="B201" s="1478"/>
      <c r="C201" s="1479"/>
      <c r="D201" s="1479"/>
      <c r="E201" s="1479"/>
      <c r="F201" s="1480"/>
      <c r="P201" s="2"/>
      <c r="Q201" s="758">
        <v>2024</v>
      </c>
      <c r="R201" s="758">
        <v>2025</v>
      </c>
      <c r="S201" s="758">
        <v>2026</v>
      </c>
      <c r="T201" s="758">
        <v>2027</v>
      </c>
      <c r="U201" s="758">
        <v>2028</v>
      </c>
      <c r="V201" s="758">
        <v>2029</v>
      </c>
      <c r="W201" s="758">
        <v>2030</v>
      </c>
      <c r="X201" s="758">
        <v>2031</v>
      </c>
      <c r="Y201" s="758">
        <v>2032</v>
      </c>
    </row>
    <row r="202" spans="2:25" ht="12.75" customHeight="1" thickBot="1">
      <c r="B202" s="1472" t="s">
        <v>615</v>
      </c>
      <c r="C202" s="1473"/>
      <c r="D202" s="1473"/>
      <c r="E202" s="1473"/>
      <c r="F202" s="1474"/>
      <c r="P202" s="755" t="s">
        <v>193</v>
      </c>
      <c r="Q202" s="617">
        <v>3.5000000000000003E-2</v>
      </c>
      <c r="R202" s="617">
        <v>0.03</v>
      </c>
      <c r="S202" s="617">
        <v>2.5000000000000001E-2</v>
      </c>
      <c r="T202" s="617">
        <v>0.02</v>
      </c>
      <c r="U202" s="617">
        <v>0.02</v>
      </c>
      <c r="V202" s="617">
        <v>0.02</v>
      </c>
      <c r="W202" s="617">
        <v>0.02</v>
      </c>
      <c r="X202" s="617">
        <v>0.02</v>
      </c>
      <c r="Y202" s="617">
        <v>0.02</v>
      </c>
    </row>
    <row r="203" spans="2:25" ht="12.75" customHeight="1" thickBot="1">
      <c r="B203" s="1475"/>
      <c r="C203" s="1476"/>
      <c r="D203" s="1476"/>
      <c r="E203" s="1476"/>
      <c r="F203" s="1477"/>
      <c r="P203" s="756" t="s">
        <v>594</v>
      </c>
      <c r="Q203" s="617">
        <v>0.02</v>
      </c>
      <c r="R203" s="617">
        <v>0.01</v>
      </c>
      <c r="S203" s="617">
        <v>0</v>
      </c>
      <c r="T203" s="617">
        <v>-1E-3</v>
      </c>
      <c r="U203" s="617">
        <v>-1E-3</v>
      </c>
      <c r="V203" s="617">
        <v>-1E-3</v>
      </c>
      <c r="W203" s="617">
        <v>-1E-3</v>
      </c>
      <c r="X203" s="617">
        <v>0</v>
      </c>
      <c r="Y203" s="617">
        <v>0</v>
      </c>
    </row>
    <row r="204" spans="2:25" ht="12.75" customHeight="1" thickBot="1">
      <c r="B204" s="1475"/>
      <c r="C204" s="1476"/>
      <c r="D204" s="1476"/>
      <c r="E204" s="1476"/>
      <c r="F204" s="1477"/>
      <c r="P204" s="757" t="s">
        <v>195</v>
      </c>
      <c r="Q204" s="617">
        <v>0</v>
      </c>
      <c r="R204" s="617">
        <v>0</v>
      </c>
      <c r="S204" s="617">
        <v>0</v>
      </c>
      <c r="T204" s="617">
        <v>0</v>
      </c>
      <c r="U204" s="617">
        <v>0</v>
      </c>
      <c r="V204" s="617">
        <v>0</v>
      </c>
      <c r="W204" s="617">
        <v>0</v>
      </c>
      <c r="X204" s="617">
        <v>0</v>
      </c>
      <c r="Y204" s="617">
        <v>0</v>
      </c>
    </row>
    <row r="205" spans="2:25" ht="12.75" customHeight="1" thickBot="1">
      <c r="B205" s="1478"/>
      <c r="C205" s="1479"/>
      <c r="D205" s="1479"/>
      <c r="E205" s="1479"/>
      <c r="F205" s="1480"/>
      <c r="P205" s="757" t="s">
        <v>595</v>
      </c>
      <c r="Q205" s="617">
        <v>0.3</v>
      </c>
      <c r="R205" s="617">
        <v>0.1</v>
      </c>
      <c r="S205" s="617">
        <v>0.05</v>
      </c>
      <c r="T205" s="617">
        <v>0.05</v>
      </c>
      <c r="U205" s="617">
        <v>0.04</v>
      </c>
      <c r="V205" s="617">
        <v>0.03</v>
      </c>
      <c r="W205" s="617">
        <v>0.02</v>
      </c>
      <c r="X205" s="617">
        <v>0.02</v>
      </c>
      <c r="Y205" s="617">
        <v>0.02</v>
      </c>
    </row>
    <row r="206" spans="2:25" ht="12.75" customHeight="1" thickBot="1">
      <c r="P206" s="757" t="s">
        <v>596</v>
      </c>
      <c r="Q206" s="617">
        <v>0.02</v>
      </c>
      <c r="R206" s="617">
        <v>0.02</v>
      </c>
      <c r="S206" s="617">
        <v>0.02</v>
      </c>
      <c r="T206" s="617">
        <v>0.02</v>
      </c>
      <c r="U206" s="617">
        <v>0.02</v>
      </c>
      <c r="V206" s="617">
        <v>0.02</v>
      </c>
      <c r="W206" s="617">
        <v>0.02</v>
      </c>
      <c r="X206" s="617">
        <v>0.02</v>
      </c>
      <c r="Y206" s="617">
        <v>0.02</v>
      </c>
    </row>
    <row r="207" spans="2:25" ht="12.75" customHeight="1" thickBot="1">
      <c r="P207" s="757" t="s">
        <v>597</v>
      </c>
      <c r="Q207" s="617">
        <v>0.02</v>
      </c>
      <c r="R207" s="617">
        <v>0.02</v>
      </c>
      <c r="S207" s="617">
        <v>0.02</v>
      </c>
      <c r="T207" s="617">
        <v>0.02</v>
      </c>
      <c r="U207" s="617">
        <v>0.02</v>
      </c>
      <c r="V207" s="617">
        <v>0.02</v>
      </c>
      <c r="W207" s="617">
        <v>0.02</v>
      </c>
      <c r="X207" s="617">
        <v>0.02</v>
      </c>
      <c r="Y207" s="617">
        <v>0.02</v>
      </c>
    </row>
    <row r="208" spans="2:25" ht="17.25" customHeight="1" thickBot="1">
      <c r="B208" s="1482" t="s">
        <v>616</v>
      </c>
      <c r="C208" s="1482"/>
      <c r="D208" s="1482"/>
      <c r="E208" s="1482"/>
      <c r="F208" s="1482"/>
      <c r="G208" s="1482"/>
    </row>
    <row r="209" spans="2:25" ht="12.75" customHeight="1" thickBot="1">
      <c r="P209" s="2"/>
      <c r="Q209" s="758">
        <v>2024</v>
      </c>
      <c r="R209" s="758">
        <v>2025</v>
      </c>
      <c r="S209" s="758">
        <v>2026</v>
      </c>
      <c r="T209" s="758">
        <v>2027</v>
      </c>
      <c r="U209" s="758">
        <v>2028</v>
      </c>
      <c r="V209" s="758">
        <v>2029</v>
      </c>
      <c r="W209" s="758">
        <v>2030</v>
      </c>
      <c r="X209" s="758">
        <v>2031</v>
      </c>
      <c r="Y209" s="758">
        <v>2032</v>
      </c>
    </row>
    <row r="210" spans="2:25" ht="12.75" customHeight="1" thickBot="1">
      <c r="B210" s="633"/>
      <c r="C210" s="614">
        <v>2023</v>
      </c>
      <c r="D210" s="614">
        <v>2022</v>
      </c>
      <c r="E210" s="614">
        <v>2021</v>
      </c>
      <c r="F210" s="614">
        <v>2020</v>
      </c>
      <c r="G210" s="614">
        <v>2019</v>
      </c>
      <c r="P210" s="755" t="s">
        <v>193</v>
      </c>
      <c r="Q210" s="637">
        <f t="shared" ref="Q210:Q215" si="72">Q202*C222+C222</f>
        <v>3002.9490000000001</v>
      </c>
      <c r="R210" s="637">
        <f t="shared" ref="R210:Y210" si="73">R202*Q210+Q210</f>
        <v>3093.0374700000002</v>
      </c>
      <c r="S210" s="637">
        <f t="shared" si="73"/>
        <v>3170.3634067500002</v>
      </c>
      <c r="T210" s="637">
        <f t="shared" si="73"/>
        <v>3233.7706748850001</v>
      </c>
      <c r="U210" s="637">
        <f t="shared" si="73"/>
        <v>3298.4460883827001</v>
      </c>
      <c r="V210" s="637">
        <f t="shared" si="73"/>
        <v>3364.4150101503542</v>
      </c>
      <c r="W210" s="637">
        <f t="shared" si="73"/>
        <v>3431.7033103533613</v>
      </c>
      <c r="X210" s="637">
        <f t="shared" si="73"/>
        <v>3500.3373765604283</v>
      </c>
      <c r="Y210" s="637">
        <f t="shared" si="73"/>
        <v>3570.3441240916368</v>
      </c>
    </row>
    <row r="211" spans="2:25" ht="12.75" customHeight="1" thickBot="1">
      <c r="B211" s="616" t="s">
        <v>193</v>
      </c>
      <c r="C211" s="617">
        <f>C222/C228</f>
        <v>0.52839191404115826</v>
      </c>
      <c r="D211" s="617">
        <f>D222/D228</f>
        <v>0.54501390544298767</v>
      </c>
      <c r="E211" s="620">
        <f>E222/E228</f>
        <v>0.67096132644458384</v>
      </c>
      <c r="F211" s="620">
        <f>F222/F228</f>
        <v>0.67009959257582619</v>
      </c>
      <c r="G211" s="620">
        <f>G222/G228</f>
        <v>0.5031175284796775</v>
      </c>
      <c r="P211" s="756" t="s">
        <v>594</v>
      </c>
      <c r="Q211" s="637">
        <f t="shared" si="72"/>
        <v>1880.5740000000001</v>
      </c>
      <c r="R211" s="637">
        <f>R203*Q211+Q211</f>
        <v>1899.3797400000001</v>
      </c>
      <c r="S211" s="637">
        <f t="shared" ref="S211:Y215" si="74">R211+R211*S203</f>
        <v>1899.3797400000001</v>
      </c>
      <c r="T211" s="637">
        <f t="shared" si="74"/>
        <v>1897.48036026</v>
      </c>
      <c r="U211" s="637">
        <f t="shared" si="74"/>
        <v>1895.58287989974</v>
      </c>
      <c r="V211" s="637">
        <f t="shared" si="74"/>
        <v>1893.6872970198401</v>
      </c>
      <c r="W211" s="637">
        <f t="shared" si="74"/>
        <v>1891.7936097228203</v>
      </c>
      <c r="X211" s="637">
        <f t="shared" si="74"/>
        <v>1891.7936097228203</v>
      </c>
      <c r="Y211" s="637">
        <f t="shared" si="74"/>
        <v>1891.7936097228203</v>
      </c>
    </row>
    <row r="212" spans="2:25" ht="12.75" customHeight="1" thickBot="1">
      <c r="B212" s="618" t="s">
        <v>594</v>
      </c>
      <c r="C212" s="617">
        <f>C223/C228</f>
        <v>0.33576761974139502</v>
      </c>
      <c r="D212" s="617">
        <f>D223/D228</f>
        <v>0.36732220897894319</v>
      </c>
      <c r="E212" s="620">
        <f>E223/E228</f>
        <v>0.30964785230982084</v>
      </c>
      <c r="F212" s="620">
        <f>F223/F228</f>
        <v>0.27945337256677227</v>
      </c>
      <c r="G212" s="620">
        <f>G223/G228</f>
        <v>0.44742393699310862</v>
      </c>
      <c r="P212" s="757" t="s">
        <v>195</v>
      </c>
      <c r="Q212" s="637">
        <f t="shared" si="72"/>
        <v>292.7</v>
      </c>
      <c r="R212" s="637">
        <f>R204*Q212+Q212</f>
        <v>292.7</v>
      </c>
      <c r="S212" s="637">
        <f t="shared" si="74"/>
        <v>292.7</v>
      </c>
      <c r="T212" s="637">
        <f t="shared" si="74"/>
        <v>292.7</v>
      </c>
      <c r="U212" s="637">
        <f t="shared" si="74"/>
        <v>292.7</v>
      </c>
      <c r="V212" s="637">
        <f t="shared" si="74"/>
        <v>292.7</v>
      </c>
      <c r="W212" s="637">
        <f t="shared" si="74"/>
        <v>292.7</v>
      </c>
      <c r="X212" s="637">
        <f t="shared" si="74"/>
        <v>292.7</v>
      </c>
      <c r="Y212" s="637">
        <f t="shared" si="74"/>
        <v>292.7</v>
      </c>
    </row>
    <row r="213" spans="2:25" ht="12.75" customHeight="1" thickBot="1">
      <c r="B213" s="636" t="s">
        <v>195</v>
      </c>
      <c r="C213" s="617">
        <f>C224/C228</f>
        <v>5.3305408850846836E-2</v>
      </c>
      <c r="D213" s="617">
        <f>D224/D228</f>
        <v>5.4509336511720297E-2</v>
      </c>
      <c r="E213" s="620">
        <f>E224/E228</f>
        <v>5.3913832983851794E-2</v>
      </c>
      <c r="F213" s="620">
        <f>F224/F228</f>
        <v>7.0818243549117255E-2</v>
      </c>
      <c r="G213" s="620">
        <f>G224/G228</f>
        <v>6.2983451314987574E-2</v>
      </c>
      <c r="P213" s="757" t="s">
        <v>595</v>
      </c>
      <c r="Q213" s="637">
        <f t="shared" si="72"/>
        <v>472.94</v>
      </c>
      <c r="R213" s="637">
        <f>R205*Q213+Q213</f>
        <v>520.23400000000004</v>
      </c>
      <c r="S213" s="637">
        <f t="shared" si="74"/>
        <v>546.24570000000006</v>
      </c>
      <c r="T213" s="637">
        <f t="shared" si="74"/>
        <v>573.55798500000003</v>
      </c>
      <c r="U213" s="637">
        <f t="shared" si="74"/>
        <v>596.5003044</v>
      </c>
      <c r="V213" s="637">
        <f t="shared" si="74"/>
        <v>614.39531353200005</v>
      </c>
      <c r="W213" s="637">
        <f t="shared" si="74"/>
        <v>626.68321980264</v>
      </c>
      <c r="X213" s="637">
        <f t="shared" si="74"/>
        <v>639.21688419869281</v>
      </c>
      <c r="Y213" s="637">
        <f t="shared" si="74"/>
        <v>652.00122188266664</v>
      </c>
    </row>
    <row r="214" spans="2:25" ht="12.75" customHeight="1" thickBot="1">
      <c r="B214" s="636" t="s">
        <v>595</v>
      </c>
      <c r="C214" s="617">
        <f>C225/C228</f>
        <v>6.6253869969040244E-2</v>
      </c>
      <c r="D214" s="617">
        <f>D225/D228</f>
        <v>1.5037743345252284E-2</v>
      </c>
      <c r="E214" s="620">
        <f>E225/E228</f>
        <v>8.2146176960159112E-4</v>
      </c>
      <c r="F214" s="620">
        <f>F225/F228</f>
        <v>1.4712539610683567E-3</v>
      </c>
      <c r="G214" s="620">
        <f>G225/G228</f>
        <v>3.070648352163518E-3</v>
      </c>
      <c r="P214" s="757" t="s">
        <v>596</v>
      </c>
      <c r="Q214" s="637">
        <f t="shared" si="72"/>
        <v>21.93</v>
      </c>
      <c r="R214" s="637">
        <f>R206*Q214+Q214</f>
        <v>22.368600000000001</v>
      </c>
      <c r="S214" s="637">
        <f t="shared" si="74"/>
        <v>22.815972000000002</v>
      </c>
      <c r="T214" s="637">
        <f t="shared" si="74"/>
        <v>23.272291440000004</v>
      </c>
      <c r="U214" s="637">
        <f t="shared" si="74"/>
        <v>23.737737268800004</v>
      </c>
      <c r="V214" s="637">
        <f t="shared" si="74"/>
        <v>24.212492014176004</v>
      </c>
      <c r="W214" s="637">
        <f t="shared" si="74"/>
        <v>24.696741854459525</v>
      </c>
      <c r="X214" s="637">
        <f t="shared" si="74"/>
        <v>25.190676691548717</v>
      </c>
      <c r="Y214" s="637">
        <f t="shared" si="74"/>
        <v>25.694490225379692</v>
      </c>
    </row>
    <row r="215" spans="2:25" ht="12.75" customHeight="1" thickBot="1">
      <c r="B215" s="636" t="s">
        <v>596</v>
      </c>
      <c r="C215" s="617">
        <f>C226/C228</f>
        <v>3.9154980877800036E-3</v>
      </c>
      <c r="D215" s="617">
        <f>D226/D228</f>
        <v>3.7544696066746123E-3</v>
      </c>
      <c r="E215" s="620">
        <f>E226/E228</f>
        <v>2.7454117036684752E-3</v>
      </c>
      <c r="F215" s="620">
        <f>F226/F228</f>
        <v>2.0937075599818922E-3</v>
      </c>
      <c r="G215" s="620">
        <f>G226/G228</f>
        <v>3.5628896910599598E-3</v>
      </c>
      <c r="P215" s="757" t="s">
        <v>597</v>
      </c>
      <c r="Q215" s="637">
        <f t="shared" si="72"/>
        <v>69.25800000000001</v>
      </c>
      <c r="R215" s="637">
        <f>R207*Q215+Q215</f>
        <v>70.643160000000009</v>
      </c>
      <c r="S215" s="637">
        <f t="shared" si="74"/>
        <v>72.056023200000013</v>
      </c>
      <c r="T215" s="637">
        <f t="shared" si="74"/>
        <v>73.497143664000006</v>
      </c>
      <c r="U215" s="637">
        <f t="shared" si="74"/>
        <v>74.967086537280011</v>
      </c>
      <c r="V215" s="637">
        <f t="shared" si="74"/>
        <v>76.466428268025609</v>
      </c>
      <c r="W215" s="637">
        <f t="shared" si="74"/>
        <v>77.995756833386125</v>
      </c>
      <c r="X215" s="637">
        <f t="shared" si="74"/>
        <v>79.555671970053851</v>
      </c>
      <c r="Y215" s="637">
        <f t="shared" si="74"/>
        <v>81.146785409454921</v>
      </c>
    </row>
    <row r="216" spans="2:25" ht="12.75" customHeight="1" thickBot="1">
      <c r="B216" s="636" t="s">
        <v>597</v>
      </c>
      <c r="C216" s="617">
        <f>C227/C228</f>
        <v>1.236568930977964E-2</v>
      </c>
      <c r="D216" s="617">
        <f>D227/D228</f>
        <v>1.436233611442193E-2</v>
      </c>
      <c r="E216" s="620">
        <f>E227/E228</f>
        <v>2.2698285738991333E-3</v>
      </c>
      <c r="F216" s="620">
        <f>F227/F228</f>
        <v>1.9522408329560887E-3</v>
      </c>
      <c r="G216" s="620">
        <f>G227/G228</f>
        <v>2.2268060569124747E-3</v>
      </c>
      <c r="P216" s="756" t="s">
        <v>179</v>
      </c>
      <c r="Q216" s="637">
        <f>SUM(Q210:Q215)</f>
        <v>5740.3509999999997</v>
      </c>
      <c r="R216" s="637">
        <f t="shared" ref="R216" si="75">SUM(R210:R215)</f>
        <v>5898.3629700000001</v>
      </c>
      <c r="S216" s="637">
        <f t="shared" ref="S216" si="76">SUM(S210:S215)</f>
        <v>6003.5608419500004</v>
      </c>
      <c r="T216" s="637">
        <f t="shared" ref="T216" si="77">SUM(T210:T215)</f>
        <v>6094.2784552490002</v>
      </c>
      <c r="U216" s="637">
        <f t="shared" ref="U216" si="78">SUM(U210:U215)</f>
        <v>6181.9340964885196</v>
      </c>
      <c r="V216" s="637">
        <f t="shared" ref="V216" si="79">SUM(V210:V215)</f>
        <v>6265.8765409843963</v>
      </c>
      <c r="W216" s="637">
        <f t="shared" ref="W216" si="80">SUM(W210:W215)</f>
        <v>6345.5726385666667</v>
      </c>
      <c r="X216" s="637">
        <f>SUM(X210:X215)</f>
        <v>6428.7942191435441</v>
      </c>
      <c r="Y216" s="637">
        <f>SUM(Y210:Y215)</f>
        <v>6513.6802313319595</v>
      </c>
    </row>
    <row r="217" spans="2:25" ht="12.75" customHeight="1" thickBot="1">
      <c r="B217" s="636" t="s">
        <v>617</v>
      </c>
      <c r="C217" s="642"/>
      <c r="D217" s="643"/>
      <c r="E217" s="642"/>
      <c r="F217" s="642"/>
      <c r="G217" s="642"/>
      <c r="P217" s="756" t="s">
        <v>618</v>
      </c>
      <c r="Q217" s="617">
        <f>Q216/C228-1</f>
        <v>4.5410854124931621E-2</v>
      </c>
      <c r="R217" s="617">
        <f>R216/Q216-1</f>
        <v>2.7526534527244184E-2</v>
      </c>
      <c r="S217" s="617">
        <f t="shared" ref="S217" si="81">S216/R216-1</f>
        <v>1.7835096362338598E-2</v>
      </c>
      <c r="T217" s="617">
        <f t="shared" ref="T217" si="82">T216/S216-1</f>
        <v>1.5110634452991434E-2</v>
      </c>
      <c r="U217" s="617">
        <f t="shared" ref="U217" si="83">U216/T216-1</f>
        <v>1.4383268156055617E-2</v>
      </c>
      <c r="V217" s="617">
        <f t="shared" ref="V217" si="84">V216/U216-1</f>
        <v>1.3578670232598844E-2</v>
      </c>
      <c r="W217" s="617">
        <f t="shared" ref="W217" si="85">W216/V216-1</f>
        <v>1.2719066049416528E-2</v>
      </c>
      <c r="X217" s="617">
        <f t="shared" ref="X217" si="86">X216/W216-1</f>
        <v>1.3114904724449872E-2</v>
      </c>
      <c r="Y217" s="617">
        <f t="shared" ref="Y217" si="87">Y216/X216-1</f>
        <v>1.3204033181781316E-2</v>
      </c>
    </row>
    <row r="219" spans="2:25" ht="17.25" customHeight="1">
      <c r="B219" s="1482" t="s">
        <v>619</v>
      </c>
      <c r="C219" s="1482"/>
      <c r="D219" s="1482"/>
      <c r="E219" s="1482"/>
      <c r="F219" s="1482"/>
      <c r="G219" s="1482"/>
    </row>
    <row r="220" spans="2:25" ht="12.75" customHeight="1" thickBot="1"/>
    <row r="221" spans="2:25" ht="12.75" customHeight="1" thickBot="1">
      <c r="B221" s="2"/>
      <c r="C221" s="614">
        <v>2023</v>
      </c>
      <c r="D221" s="614">
        <v>2022</v>
      </c>
      <c r="E221" s="614">
        <v>2021</v>
      </c>
      <c r="F221" s="614">
        <v>2020</v>
      </c>
      <c r="G221" s="614">
        <v>2019</v>
      </c>
    </row>
    <row r="222" spans="2:25" ht="12.75" customHeight="1" thickBot="1">
      <c r="B222" s="616" t="s">
        <v>193</v>
      </c>
      <c r="C222" s="637">
        <v>2901.4</v>
      </c>
      <c r="D222" s="637">
        <v>2743.6</v>
      </c>
      <c r="E222" s="637">
        <v>3103.8</v>
      </c>
      <c r="F222" s="637">
        <v>2368.4</v>
      </c>
      <c r="G222" s="637">
        <v>2146.4</v>
      </c>
    </row>
    <row r="223" spans="2:25" ht="12.75" customHeight="1" thickBot="1">
      <c r="B223" s="618" t="s">
        <v>594</v>
      </c>
      <c r="C223" s="637">
        <v>1843.7</v>
      </c>
      <c r="D223" s="637">
        <v>1849.1</v>
      </c>
      <c r="E223" s="637">
        <v>1432.4</v>
      </c>
      <c r="F223" s="637">
        <v>987.7</v>
      </c>
      <c r="G223" s="637">
        <v>1908.8</v>
      </c>
      <c r="H223" s="527"/>
    </row>
    <row r="224" spans="2:25" ht="12.75" customHeight="1" thickBot="1">
      <c r="B224" s="636" t="s">
        <v>195</v>
      </c>
      <c r="C224" s="637">
        <v>292.7</v>
      </c>
      <c r="D224" s="637">
        <v>274.39999999999998</v>
      </c>
      <c r="E224" s="637">
        <v>249.4</v>
      </c>
      <c r="F224" s="637">
        <v>250.3</v>
      </c>
      <c r="G224" s="637">
        <v>268.7</v>
      </c>
    </row>
    <row r="225" spans="2:7" ht="12.75" customHeight="1" thickBot="1">
      <c r="B225" s="636" t="s">
        <v>595</v>
      </c>
      <c r="C225" s="637">
        <v>363.8</v>
      </c>
      <c r="D225" s="619">
        <v>75.7</v>
      </c>
      <c r="E225" s="619">
        <v>3.8</v>
      </c>
      <c r="F225" s="619">
        <v>5.2</v>
      </c>
      <c r="G225" s="619">
        <v>13.1</v>
      </c>
    </row>
    <row r="226" spans="2:7" ht="12.75" customHeight="1" thickBot="1">
      <c r="B226" s="636" t="s">
        <v>596</v>
      </c>
      <c r="C226" s="637">
        <v>21.5</v>
      </c>
      <c r="D226" s="619">
        <v>18.899999999999999</v>
      </c>
      <c r="E226" s="619">
        <v>12.7</v>
      </c>
      <c r="F226" s="619">
        <v>7.4</v>
      </c>
      <c r="G226" s="619">
        <v>15.2</v>
      </c>
    </row>
    <row r="227" spans="2:7" ht="12.75" customHeight="1" thickBot="1">
      <c r="B227" s="636" t="s">
        <v>597</v>
      </c>
      <c r="C227" s="637">
        <v>67.900000000000006</v>
      </c>
      <c r="D227" s="619">
        <v>72.3</v>
      </c>
      <c r="E227" s="619">
        <v>10.5</v>
      </c>
      <c r="F227" s="619">
        <v>6.9</v>
      </c>
      <c r="G227" s="619">
        <v>9.5</v>
      </c>
    </row>
    <row r="228" spans="2:7" ht="12.75" customHeight="1" thickBot="1">
      <c r="B228" s="636" t="s">
        <v>620</v>
      </c>
      <c r="C228" s="637">
        <v>5491</v>
      </c>
      <c r="D228" s="637">
        <v>5034</v>
      </c>
      <c r="E228" s="637">
        <v>4625.8999999999996</v>
      </c>
      <c r="F228" s="637">
        <v>3534.4</v>
      </c>
      <c r="G228" s="637">
        <v>4266.2</v>
      </c>
    </row>
    <row r="229" spans="2:7" ht="12.75" customHeight="1">
      <c r="B229" s="633"/>
      <c r="C229" s="633"/>
      <c r="D229" s="633"/>
      <c r="E229" s="633"/>
      <c r="F229" s="633"/>
      <c r="G229" s="633"/>
    </row>
    <row r="230" spans="2:7" ht="12.75" customHeight="1">
      <c r="B230" s="633" t="s">
        <v>621</v>
      </c>
    </row>
    <row r="232" spans="2:7" ht="12.75" customHeight="1">
      <c r="B232" s="1482" t="s">
        <v>622</v>
      </c>
      <c r="C232" s="1482"/>
      <c r="D232" s="1482"/>
      <c r="E232" s="1482"/>
      <c r="F232" s="1482"/>
      <c r="G232" s="1482"/>
    </row>
    <row r="233" spans="2:7" ht="12.75" customHeight="1" thickBot="1"/>
    <row r="234" spans="2:7" ht="12.75" customHeight="1" thickBot="1">
      <c r="B234" s="2"/>
      <c r="C234" s="614">
        <v>2023</v>
      </c>
      <c r="D234" s="614">
        <v>2022</v>
      </c>
      <c r="E234" s="614">
        <v>2021</v>
      </c>
      <c r="F234" s="614">
        <v>2020</v>
      </c>
      <c r="G234" s="614" t="s">
        <v>623</v>
      </c>
    </row>
    <row r="235" spans="2:7" ht="12.75" customHeight="1" thickBot="1">
      <c r="B235" s="616" t="s">
        <v>193</v>
      </c>
      <c r="C235" s="617">
        <f t="shared" ref="C235:F237" si="88">C222/D222-1</f>
        <v>5.7515672838606369E-2</v>
      </c>
      <c r="D235" s="617">
        <f t="shared" si="88"/>
        <v>-0.11605129196468855</v>
      </c>
      <c r="E235" s="617">
        <f t="shared" si="88"/>
        <v>0.31050498226650913</v>
      </c>
      <c r="F235" s="617">
        <f t="shared" si="88"/>
        <v>0.10342899739098033</v>
      </c>
      <c r="G235" s="617">
        <f t="shared" ref="G235:G240" si="89">AVERAGE(C235:F235)</f>
        <v>8.8849590132851819E-2</v>
      </c>
    </row>
    <row r="236" spans="2:7" ht="12.75" customHeight="1" thickBot="1">
      <c r="B236" s="618" t="s">
        <v>594</v>
      </c>
      <c r="C236" s="617">
        <f t="shared" si="88"/>
        <v>-2.9203396246821889E-3</v>
      </c>
      <c r="D236" s="617">
        <f t="shared" si="88"/>
        <v>0.29091036023457129</v>
      </c>
      <c r="E236" s="617">
        <f t="shared" si="88"/>
        <v>0.45023792649589955</v>
      </c>
      <c r="F236" s="617">
        <f t="shared" si="88"/>
        <v>-0.48255448449287508</v>
      </c>
      <c r="G236" s="617">
        <f t="shared" si="89"/>
        <v>6.3918365653228393E-2</v>
      </c>
    </row>
    <row r="237" spans="2:7" ht="12.75" customHeight="1" thickBot="1">
      <c r="B237" s="636" t="s">
        <v>195</v>
      </c>
      <c r="C237" s="617">
        <f t="shared" si="88"/>
        <v>6.6690962099125395E-2</v>
      </c>
      <c r="D237" s="617">
        <f t="shared" si="88"/>
        <v>0.10024057738572556</v>
      </c>
      <c r="E237" s="617">
        <f t="shared" si="88"/>
        <v>-3.5956851777866339E-3</v>
      </c>
      <c r="F237" s="617">
        <f t="shared" si="88"/>
        <v>-6.8477856345366517E-2</v>
      </c>
      <c r="G237" s="617">
        <f t="shared" si="89"/>
        <v>2.3714499490424451E-2</v>
      </c>
    </row>
    <row r="238" spans="2:7" ht="12.75" customHeight="1" thickBot="1">
      <c r="B238" s="636" t="s">
        <v>595</v>
      </c>
      <c r="C238" s="617">
        <f t="shared" ref="C238:D241" si="90">C225/D225-1</f>
        <v>3.8058124174372523</v>
      </c>
      <c r="D238" s="617">
        <f t="shared" si="90"/>
        <v>18.921052631578949</v>
      </c>
      <c r="E238" s="617" t="s">
        <v>68</v>
      </c>
      <c r="F238" s="617" t="s">
        <v>68</v>
      </c>
      <c r="G238" s="617">
        <f t="shared" si="89"/>
        <v>11.3634325245081</v>
      </c>
    </row>
    <row r="239" spans="2:7" ht="12.75" customHeight="1" thickBot="1">
      <c r="B239" s="636" t="s">
        <v>596</v>
      </c>
      <c r="C239" s="617">
        <f t="shared" si="90"/>
        <v>0.13756613756613767</v>
      </c>
      <c r="D239" s="617">
        <f t="shared" si="90"/>
        <v>0.48818897637795278</v>
      </c>
      <c r="E239" s="617">
        <f t="shared" ref="E239:F241" si="91">E226/F226-1</f>
        <v>0.71621621621621601</v>
      </c>
      <c r="F239" s="617">
        <f t="shared" si="91"/>
        <v>-0.51315789473684204</v>
      </c>
      <c r="G239" s="617">
        <f t="shared" si="89"/>
        <v>0.2072033588558661</v>
      </c>
    </row>
    <row r="240" spans="2:7" ht="12.75" customHeight="1" thickBot="1">
      <c r="B240" s="636" t="s">
        <v>597</v>
      </c>
      <c r="C240" s="617">
        <f t="shared" si="90"/>
        <v>-6.0857538035961167E-2</v>
      </c>
      <c r="D240" s="617">
        <f t="shared" si="90"/>
        <v>5.8857142857142852</v>
      </c>
      <c r="E240" s="617">
        <f t="shared" si="91"/>
        <v>0.52173913043478248</v>
      </c>
      <c r="F240" s="617">
        <f t="shared" si="91"/>
        <v>-0.27368421052631575</v>
      </c>
      <c r="G240" s="617">
        <f t="shared" si="89"/>
        <v>1.5182279168966977</v>
      </c>
    </row>
    <row r="241" spans="2:29" ht="12.75" customHeight="1" thickBot="1">
      <c r="B241" s="636" t="s">
        <v>617</v>
      </c>
      <c r="C241" s="617">
        <f t="shared" si="90"/>
        <v>9.0782677791021005E-2</v>
      </c>
      <c r="D241" s="617">
        <f t="shared" si="90"/>
        <v>8.8220670572213056E-2</v>
      </c>
      <c r="E241" s="617">
        <f t="shared" si="91"/>
        <v>0.3088218650973289</v>
      </c>
      <c r="F241" s="617">
        <f t="shared" si="91"/>
        <v>-0.17153438657353137</v>
      </c>
      <c r="G241" s="617" t="s">
        <v>68</v>
      </c>
    </row>
    <row r="248" spans="2:29" s="526" customFormat="1" ht="14.1">
      <c r="B248" s="533" t="s">
        <v>624</v>
      </c>
      <c r="C248" s="533"/>
      <c r="H248" s="634"/>
    </row>
    <row r="250" spans="2:29" ht="12.75" customHeight="1">
      <c r="B250" s="650" t="s">
        <v>625</v>
      </c>
      <c r="G250" s="633"/>
      <c r="H250" s="527"/>
      <c r="AC250"/>
    </row>
    <row r="251" spans="2:29" ht="12.75" customHeight="1">
      <c r="B251" s="1061" t="s">
        <v>123</v>
      </c>
      <c r="C251" s="1062">
        <v>2023</v>
      </c>
      <c r="D251" s="1062">
        <v>2022</v>
      </c>
      <c r="E251" s="1062">
        <v>2021</v>
      </c>
      <c r="F251" s="1062">
        <v>2020</v>
      </c>
      <c r="G251" s="1062">
        <v>2019</v>
      </c>
      <c r="H251" s="1062">
        <v>2018</v>
      </c>
      <c r="I251" s="1062">
        <v>2017</v>
      </c>
      <c r="J251" s="1062">
        <v>2016</v>
      </c>
      <c r="K251" s="1062">
        <v>2015</v>
      </c>
      <c r="L251" s="1062">
        <v>2014</v>
      </c>
      <c r="M251" s="1062">
        <v>2013</v>
      </c>
      <c r="N251" s="1063">
        <v>2012</v>
      </c>
      <c r="Q251" s="1502" t="s">
        <v>626</v>
      </c>
      <c r="R251" s="1066" t="s">
        <v>627</v>
      </c>
      <c r="S251" s="559">
        <f>AVERAGE(C254:N254)</f>
        <v>5.0003610450103625E-2</v>
      </c>
    </row>
    <row r="252" spans="2:29" ht="12.75" customHeight="1">
      <c r="B252" s="284" t="s">
        <v>124</v>
      </c>
      <c r="C252" s="1060">
        <f>Inputs!B6</f>
        <v>5491</v>
      </c>
      <c r="D252" s="1060">
        <f>Inputs!C6</f>
        <v>5034</v>
      </c>
      <c r="E252" s="1060">
        <f>Inputs!D6</f>
        <v>4625.8999999999996</v>
      </c>
      <c r="F252" s="1060">
        <f>Inputs!E6</f>
        <v>3534.4</v>
      </c>
      <c r="G252" s="1060">
        <f>Inputs!F6</f>
        <v>4266.2</v>
      </c>
      <c r="H252" s="1060">
        <f>Inputs!G6</f>
        <v>4167.3999999999996</v>
      </c>
      <c r="I252" s="1060">
        <f>Inputs!H6</f>
        <v>4055.5</v>
      </c>
      <c r="J252" s="1060">
        <f>Inputs!I6</f>
        <v>4097.3</v>
      </c>
      <c r="K252" s="1060">
        <f>Inputs!J6</f>
        <v>4176.8999999999996</v>
      </c>
      <c r="L252" s="1060">
        <f>Inputs!K6</f>
        <v>3999.8</v>
      </c>
      <c r="M252" s="1060">
        <f>Inputs!L6</f>
        <v>3740</v>
      </c>
      <c r="N252" s="1060">
        <f>Inputs!M6</f>
        <v>3562.8</v>
      </c>
      <c r="Q252" s="1503"/>
      <c r="R252" s="1066" t="s">
        <v>628</v>
      </c>
      <c r="S252" s="559">
        <f>AVERAGE(C254:G254)</f>
        <v>6.8226654391040406E-2</v>
      </c>
    </row>
    <row r="253" spans="2:29" ht="12.75" customHeight="1">
      <c r="B253" s="284" t="s">
        <v>308</v>
      </c>
      <c r="C253" s="1059">
        <f>Inputs!B28</f>
        <v>188.3</v>
      </c>
      <c r="D253" s="1059">
        <f>Inputs!C28</f>
        <v>105</v>
      </c>
      <c r="E253" s="1059">
        <f>Inputs!D28</f>
        <v>433</v>
      </c>
      <c r="F253" s="1059">
        <f>Inputs!E28</f>
        <v>608.20000000000005</v>
      </c>
      <c r="G253" s="1059">
        <f>Inputs!F28</f>
        <v>86.6</v>
      </c>
      <c r="H253" s="1059">
        <f>Inputs!G28</f>
        <v>156.30000000000001</v>
      </c>
      <c r="I253" s="1059">
        <f>Inputs!H28</f>
        <v>53.5</v>
      </c>
      <c r="J253" s="1059">
        <f>Inputs!I28</f>
        <v>49.7</v>
      </c>
      <c r="K253" s="1059">
        <f>Inputs!J28</f>
        <v>66.3</v>
      </c>
      <c r="L253" s="1059">
        <f>Inputs!K28</f>
        <v>275.5</v>
      </c>
      <c r="M253" s="1059">
        <f>Inputs!L28</f>
        <v>273.3</v>
      </c>
      <c r="N253" s="1059">
        <f>Inputs!M28</f>
        <v>136.30000000000001</v>
      </c>
      <c r="Q253" s="1504"/>
      <c r="R253" s="1067" t="s">
        <v>629</v>
      </c>
      <c r="S253" s="559">
        <f>AVERAGE(C254:E254)</f>
        <v>4.9584683329158552E-2</v>
      </c>
    </row>
    <row r="254" spans="2:29" ht="12.75" customHeight="1">
      <c r="B254" s="1064" t="s">
        <v>626</v>
      </c>
      <c r="C254" s="1065">
        <f>C253/C252</f>
        <v>3.429247860134766E-2</v>
      </c>
      <c r="D254" s="1065">
        <f t="shared" ref="D254:N254" si="92">D253/D252</f>
        <v>2.0858164481525627E-2</v>
      </c>
      <c r="E254" s="1065">
        <f t="shared" si="92"/>
        <v>9.3603406904602351E-2</v>
      </c>
      <c r="F254" s="1065">
        <f t="shared" si="92"/>
        <v>0.17208012675418743</v>
      </c>
      <c r="G254" s="1065">
        <f t="shared" si="92"/>
        <v>2.0299095213538981E-2</v>
      </c>
      <c r="H254" s="1065">
        <f t="shared" si="92"/>
        <v>3.7505399049767248E-2</v>
      </c>
      <c r="I254" s="1065">
        <f t="shared" si="92"/>
        <v>1.319196153371964E-2</v>
      </c>
      <c r="J254" s="1065">
        <f t="shared" si="92"/>
        <v>1.2129939228272277E-2</v>
      </c>
      <c r="K254" s="1065">
        <f t="shared" si="92"/>
        <v>1.5873015873015872E-2</v>
      </c>
      <c r="L254" s="1065">
        <f t="shared" si="92"/>
        <v>6.8878443922196109E-2</v>
      </c>
      <c r="M254" s="1065">
        <f t="shared" si="92"/>
        <v>7.3074866310160427E-2</v>
      </c>
      <c r="N254" s="1065">
        <f t="shared" si="92"/>
        <v>3.8256427528909849E-2</v>
      </c>
      <c r="Q254" s="1068" t="s">
        <v>630</v>
      </c>
      <c r="R254" s="1500">
        <v>0.05</v>
      </c>
      <c r="S254" s="1501"/>
    </row>
    <row r="255" spans="2:29" ht="12.75" customHeight="1" thickBot="1">
      <c r="B255"/>
      <c r="C255"/>
      <c r="D255"/>
      <c r="E255"/>
      <c r="F255"/>
      <c r="G255"/>
      <c r="H255"/>
      <c r="I255"/>
      <c r="J255" s="1524"/>
      <c r="K255" s="1524"/>
      <c r="L255"/>
      <c r="M255"/>
      <c r="N255"/>
      <c r="O255"/>
    </row>
    <row r="256" spans="2:29" ht="12.75" customHeight="1" thickBot="1">
      <c r="B256" s="2"/>
      <c r="C256" s="1069">
        <v>2024</v>
      </c>
      <c r="D256" s="1070">
        <f>C256+1</f>
        <v>2025</v>
      </c>
      <c r="E256" s="1070">
        <f t="shared" ref="E256:AB256" si="93">D256+1</f>
        <v>2026</v>
      </c>
      <c r="F256" s="1070">
        <f t="shared" si="93"/>
        <v>2027</v>
      </c>
      <c r="G256" s="1070">
        <f t="shared" si="93"/>
        <v>2028</v>
      </c>
      <c r="H256" s="1070">
        <f t="shared" si="93"/>
        <v>2029</v>
      </c>
      <c r="I256" s="1070">
        <f t="shared" si="93"/>
        <v>2030</v>
      </c>
      <c r="J256" s="1070">
        <f t="shared" si="93"/>
        <v>2031</v>
      </c>
      <c r="K256" s="1070">
        <f t="shared" si="93"/>
        <v>2032</v>
      </c>
      <c r="L256" s="1070">
        <f t="shared" si="93"/>
        <v>2033</v>
      </c>
      <c r="M256" s="1070">
        <f>L256+1</f>
        <v>2034</v>
      </c>
      <c r="N256" s="1070">
        <f t="shared" si="93"/>
        <v>2035</v>
      </c>
      <c r="O256" s="1070">
        <f t="shared" si="93"/>
        <v>2036</v>
      </c>
      <c r="P256" s="1070">
        <f t="shared" si="93"/>
        <v>2037</v>
      </c>
      <c r="Q256" s="1070">
        <f t="shared" si="93"/>
        <v>2038</v>
      </c>
      <c r="R256" s="1070">
        <f t="shared" si="93"/>
        <v>2039</v>
      </c>
      <c r="S256" s="1070">
        <f t="shared" si="93"/>
        <v>2040</v>
      </c>
      <c r="T256" s="1070">
        <f t="shared" si="93"/>
        <v>2041</v>
      </c>
      <c r="U256" s="1070">
        <f>T256+1</f>
        <v>2042</v>
      </c>
      <c r="V256" s="1070">
        <f t="shared" si="93"/>
        <v>2043</v>
      </c>
      <c r="W256" s="1070">
        <f t="shared" si="93"/>
        <v>2044</v>
      </c>
      <c r="X256" s="1070">
        <f t="shared" si="93"/>
        <v>2045</v>
      </c>
      <c r="Y256" s="1070">
        <f t="shared" si="93"/>
        <v>2046</v>
      </c>
      <c r="Z256" s="1070">
        <f t="shared" si="93"/>
        <v>2047</v>
      </c>
      <c r="AA256" s="1070">
        <f t="shared" si="93"/>
        <v>2048</v>
      </c>
      <c r="AB256" s="1071">
        <f t="shared" si="93"/>
        <v>2049</v>
      </c>
    </row>
    <row r="257" spans="2:28" ht="12.75" customHeight="1">
      <c r="B257" s="1069" t="s">
        <v>631</v>
      </c>
      <c r="C257" s="801">
        <f>0.05*DCF!G6</f>
        <v>292.48825000000005</v>
      </c>
      <c r="D257" s="780">
        <f>0.05*DCF!H6</f>
        <v>317.26025625000005</v>
      </c>
      <c r="E257" s="780">
        <f>0.05*DCF!I6</f>
        <v>334.126217715</v>
      </c>
      <c r="F257" s="780">
        <f>0.05*DCF!J6</f>
        <v>346.67831718120004</v>
      </c>
      <c r="G257" s="780">
        <f>0.05*DCF!K6</f>
        <v>356.4128288225524</v>
      </c>
      <c r="H257" s="780">
        <f>0.05*DCF!L6</f>
        <v>364.40621283877749</v>
      </c>
      <c r="I257" s="780">
        <f>0.05*DCF!M6</f>
        <v>372.59891336276263</v>
      </c>
      <c r="J257" s="780">
        <f>0.05*DCF!N6</f>
        <v>380.99630261454956</v>
      </c>
      <c r="K257" s="780">
        <f>0.05*DCF!O6</f>
        <v>389.60390487165364</v>
      </c>
      <c r="L257" s="780">
        <f>0.05*DCF!P6</f>
        <v>398.42740089415094</v>
      </c>
      <c r="M257" s="780">
        <f>0.05*DCF!Q6</f>
        <v>407.47263248046852</v>
      </c>
      <c r="N257" s="780">
        <f>0.05*DCF!R6</f>
        <v>416.74560715776784</v>
      </c>
      <c r="O257" s="780">
        <f>0.05*DCF!S6</f>
        <v>423.0835377265422</v>
      </c>
      <c r="P257" s="780">
        <f>0.05*DCF!T6</f>
        <v>429.52825709094833</v>
      </c>
      <c r="Q257" s="780">
        <f>0.05*DCF!U6</f>
        <v>436.08170132874125</v>
      </c>
      <c r="R257" s="780">
        <f>0.05*DCF!V6</f>
        <v>442.7458432422498</v>
      </c>
      <c r="S257" s="780">
        <f>0.05*DCF!W6</f>
        <v>449.52269307289794</v>
      </c>
      <c r="T257" s="780">
        <f>0.05*DCF!X6</f>
        <v>456.414299229817</v>
      </c>
      <c r="U257" s="780">
        <f>0.05*DCF!Y6</f>
        <v>463.42274903282907</v>
      </c>
      <c r="V257" s="780">
        <f>0.05*DCF!Z6</f>
        <v>470.55016947008556</v>
      </c>
      <c r="W257" s="780">
        <f>0.05*DCF!AA6</f>
        <v>477.79872797065309</v>
      </c>
      <c r="X257" s="780">
        <f>0.05*DCF!AB6</f>
        <v>485.1706331923437</v>
      </c>
      <c r="Y257" s="780">
        <f>0.05*DCF!AC6</f>
        <v>492.66813582509087</v>
      </c>
      <c r="Z257" s="780">
        <f>0.05*DCF!AD6</f>
        <v>500.29352941018209</v>
      </c>
      <c r="AA257" s="780">
        <f>0.05*DCF!AE6</f>
        <v>508.049151175661</v>
      </c>
      <c r="AB257" s="781">
        <f>0.05*DCF!AF6</f>
        <v>515.93738288822215</v>
      </c>
    </row>
    <row r="258" spans="2:28" ht="12.75" customHeight="1">
      <c r="B258" s="1078" t="s">
        <v>632</v>
      </c>
      <c r="C258" s="1076">
        <f>DCF!G43</f>
        <v>177.82783043252573</v>
      </c>
      <c r="D258" s="1072">
        <f>DCF!H43</f>
        <v>152.57525126703177</v>
      </c>
      <c r="E258" s="1072">
        <f>DCF!I43</f>
        <v>181.023586392553</v>
      </c>
      <c r="F258" s="1072">
        <f>DCF!J43</f>
        <v>156.35386511570294</v>
      </c>
      <c r="G258" s="1072">
        <f>DCF!K43</f>
        <v>319.68834717492945</v>
      </c>
      <c r="H258" s="1072">
        <f>DCF!L43</f>
        <v>225.44296504744153</v>
      </c>
      <c r="I258" s="1072">
        <f>DCF!M43</f>
        <v>209.4166472874827</v>
      </c>
      <c r="J258" s="1072">
        <f>DCF!N43</f>
        <v>375.44440112579622</v>
      </c>
      <c r="K258" s="1072">
        <f>DCF!O43</f>
        <v>369.6844480448662</v>
      </c>
      <c r="L258" s="1072">
        <f>DCF!P43</f>
        <v>147.11579634612514</v>
      </c>
      <c r="M258" s="1072">
        <f>DCF!Q43</f>
        <v>215.07290273523012</v>
      </c>
      <c r="N258" s="1072">
        <f>DCF!R43</f>
        <v>268.62466772673469</v>
      </c>
      <c r="O258" s="1072">
        <f>DCF!S43</f>
        <v>201.43954001236222</v>
      </c>
      <c r="P258" s="1072">
        <f>DCF!T43</f>
        <v>379.37845196207269</v>
      </c>
      <c r="Q258" s="1072">
        <f>DCF!U43</f>
        <v>148.88770419100496</v>
      </c>
      <c r="R258" s="1072">
        <f>DCF!V43</f>
        <v>121.09923098870235</v>
      </c>
      <c r="S258" s="1072">
        <f>DCF!W43</f>
        <v>193.52960793423955</v>
      </c>
      <c r="T258" s="1072">
        <f>DCF!X43</f>
        <v>266.05869577684217</v>
      </c>
      <c r="U258" s="1072">
        <f>DCF!Y43</f>
        <v>690.82136650015127</v>
      </c>
      <c r="V258" s="1072">
        <f>DCF!Z43</f>
        <v>862.0961958881494</v>
      </c>
      <c r="W258" s="1072">
        <f>DCF!AA43</f>
        <v>1087.6123689259221</v>
      </c>
      <c r="X258" s="1072">
        <f>DCF!AB43</f>
        <v>1668.433019702798</v>
      </c>
      <c r="Y258" s="1072">
        <f>DCF!AC43</f>
        <v>2298.9162173739396</v>
      </c>
      <c r="Z258" s="1072">
        <f>DCF!AD43</f>
        <v>2980.1300356739994</v>
      </c>
      <c r="AA258" s="1072">
        <f>DCF!AE43</f>
        <v>3713.1630200567743</v>
      </c>
      <c r="AB258" s="1073">
        <f>DCF!AF43</f>
        <v>4499.1256133769002</v>
      </c>
    </row>
    <row r="259" spans="2:28" ht="12.75" customHeight="1" thickBot="1">
      <c r="B259" s="1079" t="s">
        <v>633</v>
      </c>
      <c r="C259" s="1077"/>
      <c r="D259" s="1074">
        <v>250</v>
      </c>
      <c r="E259" s="1074">
        <v>250</v>
      </c>
      <c r="F259" s="1074"/>
      <c r="G259" s="1074">
        <v>300</v>
      </c>
      <c r="H259" s="1074"/>
      <c r="I259" s="1074"/>
      <c r="J259" s="1074"/>
      <c r="K259" s="1074"/>
      <c r="L259" s="1074"/>
      <c r="M259" s="1074"/>
      <c r="N259" s="1074"/>
      <c r="O259" s="1074"/>
      <c r="P259" s="1074"/>
      <c r="Q259" s="1074"/>
      <c r="R259" s="1074"/>
      <c r="S259" s="1074"/>
      <c r="T259" s="1074"/>
      <c r="U259" s="1074"/>
      <c r="V259" s="1074"/>
      <c r="W259" s="1074"/>
      <c r="X259" s="1074"/>
      <c r="Y259" s="1074"/>
      <c r="Z259" s="1074"/>
      <c r="AA259" s="1074"/>
      <c r="AB259" s="1075"/>
    </row>
    <row r="261" spans="2:28" ht="12.75" customHeight="1">
      <c r="B261" s="1092" t="s">
        <v>634</v>
      </c>
      <c r="C261" s="1092">
        <v>2025</v>
      </c>
      <c r="D261" s="1092">
        <v>2026</v>
      </c>
      <c r="E261" s="1092">
        <v>2027</v>
      </c>
      <c r="F261" s="1092">
        <v>2028</v>
      </c>
    </row>
    <row r="262" spans="2:28" ht="12.75" customHeight="1">
      <c r="B262" s="1092" t="s">
        <v>635</v>
      </c>
      <c r="C262" s="1093">
        <v>250</v>
      </c>
      <c r="D262" s="1093">
        <v>250</v>
      </c>
      <c r="E262" s="1093">
        <v>0</v>
      </c>
      <c r="F262" s="1094">
        <v>300</v>
      </c>
      <c r="G262" s="633"/>
      <c r="H262" s="527"/>
    </row>
    <row r="263" spans="2:28" ht="12.75" customHeight="1">
      <c r="G263" s="633"/>
      <c r="H263" s="527"/>
    </row>
    <row r="264" spans="2:28" ht="12.75" customHeight="1">
      <c r="G264" s="633"/>
      <c r="H264" s="527"/>
      <c r="I264" s="1505" t="s">
        <v>636</v>
      </c>
      <c r="J264" s="1505"/>
      <c r="K264" s="1505"/>
    </row>
    <row r="265" spans="2:28" ht="12.75" customHeight="1">
      <c r="G265" s="633"/>
      <c r="H265" s="527"/>
      <c r="I265" s="1505"/>
      <c r="J265" s="1505"/>
      <c r="K265" s="1505"/>
    </row>
    <row r="266" spans="2:28" ht="12.75" customHeight="1">
      <c r="B266" s="1506" t="s">
        <v>637</v>
      </c>
      <c r="C266" s="1507"/>
      <c r="D266" s="1507"/>
      <c r="E266" s="1507"/>
      <c r="F266" s="1507"/>
      <c r="G266" s="1507"/>
      <c r="H266" s="1507"/>
      <c r="I266" s="1507"/>
      <c r="J266" s="1507"/>
      <c r="K266" s="1507"/>
      <c r="L266" s="1507"/>
      <c r="M266" s="1507"/>
      <c r="N266" s="1507"/>
      <c r="O266" s="1507"/>
      <c r="P266" s="1507"/>
      <c r="Q266" s="1507"/>
      <c r="R266" s="1507"/>
      <c r="S266" s="1508"/>
    </row>
    <row r="267" spans="2:28" ht="12.75" customHeight="1">
      <c r="B267" s="1080" t="s">
        <v>638</v>
      </c>
      <c r="C267" s="1081" t="s">
        <v>639</v>
      </c>
      <c r="D267" s="1082"/>
      <c r="E267" s="1081" t="s">
        <v>640</v>
      </c>
      <c r="F267" s="1083"/>
      <c r="G267" s="1082"/>
      <c r="H267" s="1084" t="s">
        <v>641</v>
      </c>
      <c r="I267" s="1085"/>
      <c r="J267" t="s">
        <v>642</v>
      </c>
      <c r="K267" s="1086"/>
      <c r="L267" t="s">
        <v>643</v>
      </c>
      <c r="M267" s="1086"/>
      <c r="N267" t="s">
        <v>644</v>
      </c>
      <c r="O267" s="1086"/>
      <c r="P267" s="1087" t="s">
        <v>645</v>
      </c>
      <c r="Q267" s="1086"/>
      <c r="R267" s="1087" t="s">
        <v>646</v>
      </c>
      <c r="S267" s="1086"/>
    </row>
    <row r="268" spans="2:28" ht="12.75" customHeight="1">
      <c r="B268" s="649">
        <v>2025</v>
      </c>
      <c r="C268" s="645">
        <v>250</v>
      </c>
      <c r="D268" s="647"/>
      <c r="E268" s="645">
        <v>250</v>
      </c>
      <c r="F268" s="648"/>
      <c r="G268" s="647"/>
      <c r="H268" s="655">
        <v>0.03</v>
      </c>
      <c r="I268" s="656"/>
      <c r="J268" s="651">
        <v>7.5</v>
      </c>
      <c r="K268" s="652"/>
      <c r="L268" s="651">
        <v>7.5</v>
      </c>
      <c r="M268" s="652"/>
      <c r="N268" s="651">
        <v>7.5</v>
      </c>
      <c r="O268" s="652"/>
      <c r="P268" s="651">
        <v>7.5</v>
      </c>
      <c r="Q268" s="652"/>
      <c r="R268" s="651">
        <v>7.5</v>
      </c>
      <c r="S268" s="652"/>
    </row>
    <row r="269" spans="2:28" ht="12.75" customHeight="1">
      <c r="B269" s="646">
        <v>2026</v>
      </c>
      <c r="C269" s="645">
        <v>250</v>
      </c>
      <c r="D269" s="647"/>
      <c r="E269" s="645">
        <v>250</v>
      </c>
      <c r="F269" s="648"/>
      <c r="G269" s="647"/>
      <c r="H269" s="655">
        <v>4.3499999999999997E-2</v>
      </c>
      <c r="I269" s="656"/>
      <c r="J269" s="651">
        <f>E269*H269</f>
        <v>10.875</v>
      </c>
      <c r="K269" s="652"/>
      <c r="L269" s="651">
        <v>10.875</v>
      </c>
      <c r="M269" s="652"/>
      <c r="N269" s="651">
        <v>10.875</v>
      </c>
      <c r="O269" s="652"/>
      <c r="P269" s="651">
        <v>10.875</v>
      </c>
      <c r="Q269" s="652"/>
      <c r="R269" s="651">
        <v>10.875</v>
      </c>
      <c r="S269" s="652"/>
    </row>
    <row r="270" spans="2:28" ht="12.75" customHeight="1">
      <c r="B270" s="646">
        <v>2028</v>
      </c>
      <c r="C270" s="645">
        <v>300</v>
      </c>
      <c r="D270" s="647"/>
      <c r="E270" s="645">
        <v>300</v>
      </c>
      <c r="F270" s="648"/>
      <c r="G270" s="647"/>
      <c r="H270" s="657">
        <v>3.6249999999999998E-2</v>
      </c>
      <c r="I270" s="658"/>
      <c r="J270" s="651">
        <v>10.875</v>
      </c>
      <c r="K270" s="652"/>
      <c r="L270" s="651">
        <v>10.875</v>
      </c>
      <c r="M270" s="652"/>
      <c r="N270" s="651">
        <v>10.875</v>
      </c>
      <c r="O270" s="652"/>
      <c r="P270" s="651">
        <v>10.875</v>
      </c>
      <c r="Q270" s="652"/>
      <c r="R270" s="651">
        <v>10.875</v>
      </c>
      <c r="S270" s="652"/>
    </row>
    <row r="271" spans="2:28" ht="12.75" customHeight="1">
      <c r="C271" s="633"/>
      <c r="D271" s="633"/>
      <c r="E271" s="633"/>
      <c r="F271" s="633"/>
      <c r="G271" s="633"/>
      <c r="J271" s="653">
        <f>SUM(J268:K270)</f>
        <v>29.25</v>
      </c>
      <c r="K271" s="654"/>
      <c r="L271" s="653">
        <f>SUM(L268:M270)</f>
        <v>29.25</v>
      </c>
      <c r="M271" s="654"/>
      <c r="N271" s="653">
        <f>SUM(N268:O270)</f>
        <v>29.25</v>
      </c>
      <c r="O271" s="654"/>
      <c r="P271" s="653">
        <f>SUM(P268:Q270)</f>
        <v>29.25</v>
      </c>
      <c r="Q271" s="654"/>
      <c r="R271" s="653">
        <f>SUM(R268:S270)</f>
        <v>29.25</v>
      </c>
      <c r="S271" s="654"/>
    </row>
    <row r="272" spans="2:28" ht="12.75" customHeight="1">
      <c r="B272" s="1509" t="s">
        <v>647</v>
      </c>
      <c r="C272" s="1510"/>
      <c r="H272" s="527"/>
      <c r="AA272"/>
      <c r="AB272"/>
    </row>
    <row r="273" spans="2:30" ht="12.75" customHeight="1">
      <c r="B273" s="1088">
        <v>2028</v>
      </c>
      <c r="C273" s="1088">
        <v>425</v>
      </c>
      <c r="AA273"/>
      <c r="AB273"/>
    </row>
    <row r="274" spans="2:30" ht="12.75" customHeight="1">
      <c r="AA274"/>
      <c r="AB274"/>
    </row>
    <row r="275" spans="2:30" ht="12.75" customHeight="1">
      <c r="C275" s="1016">
        <v>2023</v>
      </c>
      <c r="D275" s="1016">
        <v>2022</v>
      </c>
      <c r="E275" s="1016">
        <v>2021</v>
      </c>
      <c r="F275" s="1016">
        <v>2020</v>
      </c>
      <c r="G275" s="1016">
        <v>2019</v>
      </c>
      <c r="H275" s="1016">
        <v>2018</v>
      </c>
      <c r="I275" s="1016">
        <v>2017</v>
      </c>
      <c r="J275" s="1016">
        <v>2016</v>
      </c>
      <c r="K275" s="1016">
        <v>2015</v>
      </c>
      <c r="L275" s="1016"/>
      <c r="M275" s="1016">
        <v>2014</v>
      </c>
      <c r="N275" s="1016">
        <v>2013</v>
      </c>
      <c r="AA275"/>
      <c r="AB275"/>
    </row>
    <row r="276" spans="2:30" ht="12.75" customHeight="1">
      <c r="B276" s="115" t="s">
        <v>315</v>
      </c>
      <c r="C276" s="1089">
        <v>1916.7</v>
      </c>
      <c r="D276" s="1089">
        <v>1916</v>
      </c>
      <c r="E276" s="1089">
        <v>2061.5</v>
      </c>
      <c r="F276" s="1090">
        <v>2441.9</v>
      </c>
      <c r="G276" s="1090">
        <v>1237</v>
      </c>
      <c r="H276" s="1090">
        <v>1283</v>
      </c>
      <c r="I276" s="1090">
        <v>1089</v>
      </c>
      <c r="J276" s="1090">
        <v>949</v>
      </c>
      <c r="K276" s="1090">
        <v>957</v>
      </c>
      <c r="L276" s="1090">
        <v>841</v>
      </c>
      <c r="M276" s="1090">
        <v>803</v>
      </c>
      <c r="N276" s="1090">
        <v>660</v>
      </c>
      <c r="AA276"/>
      <c r="AB276"/>
      <c r="AD276"/>
    </row>
    <row r="277" spans="2:30" ht="12.75" customHeight="1">
      <c r="B277" s="1019" t="s">
        <v>648</v>
      </c>
      <c r="C277" s="1091">
        <f>Inputs!B28/Inputs!B6</f>
        <v>3.429247860134766E-2</v>
      </c>
      <c r="D277" s="1091">
        <f>Inputs!C28/Inputs!C6</f>
        <v>2.0858164481525627E-2</v>
      </c>
      <c r="E277" s="1091">
        <f>Inputs!D28/Inputs!D6</f>
        <v>9.3603406904602351E-2</v>
      </c>
      <c r="F277" s="1091">
        <f>Inputs!E28/Inputs!E6</f>
        <v>0.17208012675418743</v>
      </c>
      <c r="G277" s="1091">
        <f>Inputs!F28/Inputs!F6</f>
        <v>2.0299095213538981E-2</v>
      </c>
      <c r="H277" s="1091">
        <f>Inputs!G28/Inputs!G6</f>
        <v>3.7505399049767248E-2</v>
      </c>
      <c r="I277" s="1091">
        <f>Inputs!H28/Inputs!H6</f>
        <v>1.319196153371964E-2</v>
      </c>
      <c r="J277" s="1091">
        <f>Inputs!I28/Inputs!I6</f>
        <v>1.2129939228272277E-2</v>
      </c>
      <c r="K277" s="1091">
        <f>Inputs!J28/Inputs!J6</f>
        <v>1.5873015873015872E-2</v>
      </c>
      <c r="L277" s="1091">
        <f>Inputs!K28/Inputs!K6</f>
        <v>6.8878443922196109E-2</v>
      </c>
      <c r="M277" s="1091">
        <f>Inputs!L28/Inputs!L6</f>
        <v>7.3074866310160427E-2</v>
      </c>
      <c r="N277" s="1091">
        <f>Inputs!M28/Inputs!M6</f>
        <v>3.8256427528909849E-2</v>
      </c>
      <c r="O277" s="933">
        <f>AVERAGE(C277:N277)</f>
        <v>5.0003610450103625E-2</v>
      </c>
      <c r="P277" s="934">
        <v>0.03</v>
      </c>
      <c r="AA277"/>
      <c r="AB277"/>
      <c r="AD277"/>
    </row>
    <row r="278" spans="2:30" ht="12.75" customHeight="1">
      <c r="AA278"/>
      <c r="AB278"/>
      <c r="AD278"/>
    </row>
    <row r="279" spans="2:30" ht="12.75" customHeight="1">
      <c r="C279" s="1016">
        <v>2024</v>
      </c>
      <c r="D279" s="1016">
        <v>2025</v>
      </c>
      <c r="E279" s="1016">
        <v>2026</v>
      </c>
      <c r="F279" s="1016">
        <v>2027</v>
      </c>
      <c r="G279" s="1016">
        <v>2028</v>
      </c>
      <c r="H279" s="1016">
        <v>2029</v>
      </c>
      <c r="I279" s="1016">
        <v>2030</v>
      </c>
      <c r="J279" s="1016">
        <v>2031</v>
      </c>
      <c r="K279" s="1016">
        <v>2032</v>
      </c>
      <c r="L279" s="1016">
        <v>2033</v>
      </c>
      <c r="M279" s="1016">
        <v>2034</v>
      </c>
      <c r="N279" s="1016">
        <v>2035</v>
      </c>
      <c r="O279" s="1016">
        <v>2036</v>
      </c>
      <c r="P279" s="1016">
        <v>2037</v>
      </c>
      <c r="Q279" s="1016">
        <v>2038</v>
      </c>
      <c r="R279" s="1016">
        <v>2039</v>
      </c>
      <c r="S279" s="1016">
        <v>2040</v>
      </c>
      <c r="T279" s="1016">
        <v>2041</v>
      </c>
      <c r="U279" s="1016">
        <v>2042</v>
      </c>
      <c r="V279" s="1016">
        <v>2043</v>
      </c>
      <c r="W279" s="1016">
        <v>2044</v>
      </c>
      <c r="X279" s="1016">
        <v>2045</v>
      </c>
      <c r="Y279" s="1016">
        <v>2046</v>
      </c>
      <c r="Z279" s="1016">
        <v>2047</v>
      </c>
      <c r="AA279" s="1016">
        <v>2048</v>
      </c>
      <c r="AB279" s="1016">
        <v>2049</v>
      </c>
      <c r="AD279"/>
    </row>
    <row r="280" spans="2:30" ht="12.75" customHeight="1">
      <c r="B280" s="115" t="s">
        <v>649</v>
      </c>
      <c r="C280" s="1017">
        <f>DCF!G6*Assumptions!$P$277</f>
        <v>175.49295000000001</v>
      </c>
      <c r="D280" s="1017">
        <f>DCF!H6*Assumptions!$P$277</f>
        <v>190.35615375</v>
      </c>
      <c r="E280" s="1017">
        <f>DCF!I6*Assumptions!$P$277</f>
        <v>200.47573062899997</v>
      </c>
      <c r="F280" s="1017">
        <f>DCF!J6*Assumptions!$P$277</f>
        <v>208.00699030871999</v>
      </c>
      <c r="G280" s="1017">
        <f>DCF!K6*Assumptions!$P$277</f>
        <v>213.84769729353141</v>
      </c>
      <c r="H280" s="1017">
        <f>DCF!L6*Assumptions!$P$277</f>
        <v>218.64372770326645</v>
      </c>
      <c r="I280" s="1017">
        <f>DCF!M6*Assumptions!$P$277</f>
        <v>223.55934801765756</v>
      </c>
      <c r="J280" s="1017">
        <f>DCF!N6*Assumptions!$P$277</f>
        <v>228.59778156872972</v>
      </c>
      <c r="K280" s="1017">
        <f>DCF!O6*Assumptions!$P$277</f>
        <v>233.76234292299216</v>
      </c>
      <c r="L280" s="1017">
        <f>DCF!P6*Assumptions!$P$277</f>
        <v>239.05644053649056</v>
      </c>
      <c r="M280" s="1017">
        <f>DCF!Q6*Assumptions!$P$277</f>
        <v>244.48357948828107</v>
      </c>
      <c r="N280" s="1017">
        <f>DCF!R6*Assumptions!$P$277</f>
        <v>250.04736429466067</v>
      </c>
      <c r="O280" s="1017">
        <f>DCF!S6*Assumptions!$P$277</f>
        <v>253.85012263592529</v>
      </c>
      <c r="P280" s="1017">
        <f>DCF!T6*Assumptions!$P$277</f>
        <v>257.71695425456898</v>
      </c>
      <c r="Q280" s="1017">
        <f>DCF!U6*Assumptions!$P$277</f>
        <v>261.6490207972447</v>
      </c>
      <c r="R280" s="1017">
        <f>DCF!V6*Assumptions!$P$277</f>
        <v>265.64750594534985</v>
      </c>
      <c r="S280" s="1017">
        <f>DCF!W6*Assumptions!$P$277</f>
        <v>269.71361584373875</v>
      </c>
      <c r="T280" s="1017">
        <f>DCF!X6*Assumptions!$P$277</f>
        <v>273.84857953789015</v>
      </c>
      <c r="U280" s="1017">
        <f>DCF!Y6*Assumptions!$P$277</f>
        <v>278.05364941969742</v>
      </c>
      <c r="V280" s="1017">
        <f>DCF!Z6*Assumptions!$P$277</f>
        <v>282.33010168205129</v>
      </c>
      <c r="W280" s="1017">
        <f>DCF!AA6*Assumptions!$P$277</f>
        <v>286.67923678239185</v>
      </c>
      <c r="X280" s="1017">
        <f>DCF!AB6*Assumptions!$P$277</f>
        <v>291.10237991540617</v>
      </c>
      <c r="Y280" s="1017">
        <f>DCF!AC6*Assumptions!$P$277</f>
        <v>295.60088149505452</v>
      </c>
      <c r="Z280" s="1017">
        <f>DCF!AD6*Assumptions!$P$277</f>
        <v>300.17611764610922</v>
      </c>
      <c r="AA280" s="1017">
        <f>DCF!AE6*Assumptions!$P$277</f>
        <v>304.82949070539655</v>
      </c>
      <c r="AB280" s="1017">
        <f>DCF!AF6*Assumptions!$P$277</f>
        <v>309.56242973293325</v>
      </c>
      <c r="AD280"/>
    </row>
    <row r="281" spans="2:30" ht="12.75" customHeight="1">
      <c r="B281" s="115" t="s">
        <v>650</v>
      </c>
      <c r="C281" s="1017">
        <v>-422.17216956747427</v>
      </c>
      <c r="D281" s="1017">
        <v>-683.98474873296823</v>
      </c>
      <c r="E281" s="1017">
        <v>-936.42114960744675</v>
      </c>
      <c r="F281" s="1017">
        <v>-935.14856140589666</v>
      </c>
      <c r="G281" s="1017">
        <v>-1020.726492935191</v>
      </c>
      <c r="H281" s="1017">
        <v>-1807.5781981672956</v>
      </c>
      <c r="I281" s="1017">
        <v>-1824.7894344412566</v>
      </c>
      <c r="J281" s="1017">
        <v>-1808.5532346606237</v>
      </c>
      <c r="K281" s="1017">
        <v>-1759.3435745019574</v>
      </c>
      <c r="L281" s="1017">
        <v>-1676.6347831269609</v>
      </c>
      <c r="M281" s="1017">
        <v>-1558.6906799829053</v>
      </c>
      <c r="N281" s="1017">
        <v>-1404.8719910546224</v>
      </c>
      <c r="O281" s="1017">
        <v>-1222.6287000581704</v>
      </c>
      <c r="P281" s="1017">
        <v>-999.46457025285486</v>
      </c>
      <c r="Q281" s="1017">
        <v>-734.4768389483263</v>
      </c>
      <c r="R281" s="1017">
        <v>-426.61215359220932</v>
      </c>
      <c r="S281" s="1017">
        <v>-75.0489604003252</v>
      </c>
      <c r="T281" s="1017">
        <v>321.17608745960376</v>
      </c>
      <c r="U281" s="1017">
        <v>763.04741557633633</v>
      </c>
      <c r="V281" s="1017">
        <v>1251.5267108391608</v>
      </c>
      <c r="W281" s="1017">
        <v>1787.623694760659</v>
      </c>
      <c r="X281" s="1017">
        <v>2372.3644089622094</v>
      </c>
      <c r="Y281" s="1017">
        <v>3006.7896224132037</v>
      </c>
      <c r="Z281" s="1017">
        <v>3691.9675317814836</v>
      </c>
      <c r="AA281" s="1017">
        <v>4428.9868061424604</v>
      </c>
      <c r="AB281" s="1017">
        <v>5218.9580126646661</v>
      </c>
      <c r="AD281"/>
    </row>
    <row r="282" spans="2:30" ht="12.75" customHeight="1">
      <c r="B282" s="115" t="s">
        <v>632</v>
      </c>
      <c r="C282" s="1018">
        <v>-172.17216956747399</v>
      </c>
      <c r="D282" s="1018">
        <v>-439.58474873296802</v>
      </c>
      <c r="E282" s="1018">
        <v>-447.65250960744697</v>
      </c>
      <c r="F282" s="1018">
        <v>-457.64281702189703</v>
      </c>
      <c r="G282" s="1018">
        <v>-1279.5467163826411</v>
      </c>
      <c r="H282" s="1018">
        <v>-1336.5478148660513</v>
      </c>
      <c r="I282" s="1018">
        <v>-1865.1212809935253</v>
      </c>
      <c r="J282" s="1018">
        <v>-1849.1109395535852</v>
      </c>
      <c r="K282" s="1018">
        <v>-1800.1284025423197</v>
      </c>
      <c r="L282" s="1018">
        <v>-1717.6480062043488</v>
      </c>
      <c r="M282" s="1018">
        <v>-1599.9335771095266</v>
      </c>
      <c r="N282" s="1018">
        <v>-1446.3458484051525</v>
      </c>
      <c r="O282" s="1018">
        <v>-1264.3348110098634</v>
      </c>
      <c r="P282" s="1018">
        <v>-1041.4042354258775</v>
      </c>
      <c r="Q282" s="1018">
        <v>-776.65136624631782</v>
      </c>
      <c r="R282" s="1018">
        <v>-469.02285824306955</v>
      </c>
      <c r="S282" s="1018">
        <v>-117.69716499723029</v>
      </c>
      <c r="T282" s="1018">
        <v>278.28905291695617</v>
      </c>
      <c r="U282" s="1018">
        <v>719.92021364024959</v>
      </c>
      <c r="V282" s="1018">
        <v>1208.1579965722322</v>
      </c>
      <c r="W282" s="1018">
        <v>1744.0121156938358</v>
      </c>
      <c r="X282" s="1018">
        <v>2328.508605052612</v>
      </c>
      <c r="Y282" s="1018">
        <v>2962.6882260017128</v>
      </c>
      <c r="Z282" s="1018">
        <v>3647.6191675500886</v>
      </c>
      <c r="AA282" s="1018">
        <v>4384.3900910713692</v>
      </c>
      <c r="AB282" s="1018">
        <v>5174.1115559891768</v>
      </c>
      <c r="AD282"/>
    </row>
    <row r="283" spans="2:30" ht="12.75" customHeight="1">
      <c r="B283" s="115" t="s">
        <v>651</v>
      </c>
      <c r="C283" s="1018">
        <f>C280-C282</f>
        <v>347.66511956747399</v>
      </c>
      <c r="D283" s="1018">
        <f t="shared" ref="D283:O283" si="94">D280-D282</f>
        <v>629.940902482968</v>
      </c>
      <c r="E283" s="1018">
        <f t="shared" si="94"/>
        <v>648.12824023644691</v>
      </c>
      <c r="F283" s="1018">
        <f t="shared" si="94"/>
        <v>665.64980733061702</v>
      </c>
      <c r="G283" s="1018">
        <f t="shared" si="94"/>
        <v>1493.3944136761725</v>
      </c>
      <c r="H283" s="1018">
        <f t="shared" si="94"/>
        <v>1555.1915425693178</v>
      </c>
      <c r="I283" s="1018">
        <f t="shared" si="94"/>
        <v>2088.6806290111826</v>
      </c>
      <c r="J283" s="1018">
        <f t="shared" si="94"/>
        <v>2077.7087211223152</v>
      </c>
      <c r="K283" s="1018">
        <f t="shared" si="94"/>
        <v>2033.8907454653117</v>
      </c>
      <c r="L283" s="1018">
        <f t="shared" si="94"/>
        <v>1956.7044467408393</v>
      </c>
      <c r="M283" s="1018">
        <f t="shared" si="94"/>
        <v>1844.4171565978077</v>
      </c>
      <c r="N283" s="1018">
        <f t="shared" si="94"/>
        <v>1696.3932126998131</v>
      </c>
      <c r="O283" s="1018">
        <f t="shared" si="94"/>
        <v>1518.1849336457888</v>
      </c>
      <c r="P283" s="1018">
        <f t="shared" ref="P283" si="95">P280-P282</f>
        <v>1299.1211896804464</v>
      </c>
      <c r="Q283" s="1018">
        <f t="shared" ref="Q283" si="96">Q280-Q282</f>
        <v>1038.3003870435625</v>
      </c>
      <c r="R283" s="1018">
        <f t="shared" ref="R283" si="97">R280-R282</f>
        <v>734.6703641884194</v>
      </c>
      <c r="S283" s="1018">
        <f t="shared" ref="S283" si="98">S280-S282</f>
        <v>387.41078084096904</v>
      </c>
      <c r="T283" s="1018">
        <f t="shared" ref="T283" si="99">T280-T282</f>
        <v>-4.4404733790660202</v>
      </c>
      <c r="U283" s="1018">
        <f t="shared" ref="U283" si="100">U280-U282</f>
        <v>-441.86656422055216</v>
      </c>
      <c r="V283" s="1018">
        <f t="shared" ref="V283" si="101">V280-V282</f>
        <v>-925.82789489018091</v>
      </c>
      <c r="W283" s="1018">
        <f t="shared" ref="W283" si="102">W280-W282</f>
        <v>-1457.3328789114439</v>
      </c>
      <c r="X283" s="1018">
        <f t="shared" ref="X283" si="103">X280-X282</f>
        <v>-2037.4062251372059</v>
      </c>
      <c r="Y283" s="1018">
        <f t="shared" ref="Y283" si="104">Y280-Y282</f>
        <v>-2667.0873445066582</v>
      </c>
      <c r="Z283" s="1018">
        <f t="shared" ref="Z283" si="105">Z280-Z282</f>
        <v>-3347.4430499039795</v>
      </c>
      <c r="AA283" s="1018">
        <f t="shared" ref="AA283" si="106">AA280-AA282</f>
        <v>-4079.5606003659727</v>
      </c>
      <c r="AB283" s="1018">
        <f t="shared" ref="AB283" si="107">AB280-AB282</f>
        <v>-4864.5491262562437</v>
      </c>
      <c r="AD283"/>
    </row>
    <row r="284" spans="2:30" ht="12.75" customHeight="1">
      <c r="B284" s="633"/>
      <c r="C284" s="633"/>
      <c r="D284" s="633"/>
      <c r="E284" s="633"/>
      <c r="F284" s="633"/>
      <c r="G284" s="633"/>
      <c r="I284" s="633"/>
      <c r="J284" s="633"/>
      <c r="K284" s="633"/>
      <c r="L284" s="633"/>
      <c r="AD284"/>
    </row>
    <row r="285" spans="2:30" ht="12.75" customHeight="1">
      <c r="G285" s="633"/>
      <c r="H285" s="527"/>
      <c r="AD285"/>
    </row>
    <row r="286" spans="2:30" ht="12.75" customHeight="1">
      <c r="B286" s="1022"/>
      <c r="C286" s="1016">
        <v>2024</v>
      </c>
      <c r="D286" s="1016">
        <v>2025</v>
      </c>
      <c r="E286" s="1016">
        <f t="shared" ref="E286:AB286" si="108">D286+1</f>
        <v>2026</v>
      </c>
      <c r="F286" s="1016">
        <f t="shared" si="108"/>
        <v>2027</v>
      </c>
      <c r="G286" s="1016">
        <f t="shared" si="108"/>
        <v>2028</v>
      </c>
      <c r="H286" s="1016">
        <f t="shared" si="108"/>
        <v>2029</v>
      </c>
      <c r="I286" s="1016">
        <f t="shared" si="108"/>
        <v>2030</v>
      </c>
      <c r="J286" s="1016">
        <f t="shared" si="108"/>
        <v>2031</v>
      </c>
      <c r="K286" s="1016">
        <f t="shared" si="108"/>
        <v>2032</v>
      </c>
      <c r="L286" s="1016">
        <f t="shared" si="108"/>
        <v>2033</v>
      </c>
      <c r="M286" s="1016">
        <f t="shared" si="108"/>
        <v>2034</v>
      </c>
      <c r="N286" s="1016">
        <f t="shared" si="108"/>
        <v>2035</v>
      </c>
      <c r="O286" s="1016">
        <f t="shared" si="108"/>
        <v>2036</v>
      </c>
      <c r="P286" s="1016">
        <f t="shared" si="108"/>
        <v>2037</v>
      </c>
      <c r="Q286" s="1016">
        <f t="shared" si="108"/>
        <v>2038</v>
      </c>
      <c r="R286" s="1016">
        <f t="shared" si="108"/>
        <v>2039</v>
      </c>
      <c r="S286" s="1016">
        <f t="shared" si="108"/>
        <v>2040</v>
      </c>
      <c r="T286" s="1016">
        <f t="shared" si="108"/>
        <v>2041</v>
      </c>
      <c r="U286" s="1016">
        <f t="shared" si="108"/>
        <v>2042</v>
      </c>
      <c r="V286" s="1016">
        <f t="shared" si="108"/>
        <v>2043</v>
      </c>
      <c r="W286" s="1016">
        <f t="shared" si="108"/>
        <v>2044</v>
      </c>
      <c r="X286" s="1016">
        <f t="shared" si="108"/>
        <v>2045</v>
      </c>
      <c r="Y286" s="1016">
        <f t="shared" si="108"/>
        <v>2046</v>
      </c>
      <c r="Z286" s="1016">
        <f t="shared" si="108"/>
        <v>2047</v>
      </c>
      <c r="AA286" s="1016">
        <f t="shared" si="108"/>
        <v>2048</v>
      </c>
      <c r="AB286" s="1016">
        <f t="shared" si="108"/>
        <v>2049</v>
      </c>
      <c r="AD286"/>
    </row>
    <row r="287" spans="2:30" ht="12.75" customHeight="1">
      <c r="B287" s="1016" t="s">
        <v>315</v>
      </c>
      <c r="C287" s="1016">
        <f>SUM($C$268:$C$270)+$C$273+C289</f>
        <v>1825</v>
      </c>
      <c r="D287" s="1016">
        <f>C287-C268+D289</f>
        <v>1825</v>
      </c>
      <c r="E287" s="1016">
        <f>D287-C269-E290+E289</f>
        <v>1875</v>
      </c>
      <c r="F287" s="1016">
        <f>E287-F290+F289</f>
        <v>1875</v>
      </c>
      <c r="G287" s="1019">
        <f>F287-G290-C270-C273+G289</f>
        <v>2150</v>
      </c>
      <c r="H287" s="1019">
        <f t="shared" ref="H287:AB287" si="109">G287-H290+H289</f>
        <v>2150</v>
      </c>
      <c r="I287" s="1019">
        <f t="shared" si="109"/>
        <v>2200</v>
      </c>
      <c r="J287" s="1019">
        <f t="shared" si="109"/>
        <v>2400</v>
      </c>
      <c r="K287" s="1016">
        <f t="shared" si="109"/>
        <v>2400</v>
      </c>
      <c r="L287" s="1016">
        <f t="shared" si="109"/>
        <v>2150</v>
      </c>
      <c r="M287" s="1016">
        <f t="shared" si="109"/>
        <v>2150</v>
      </c>
      <c r="N287" s="1016">
        <f t="shared" si="109"/>
        <v>2100</v>
      </c>
      <c r="O287" s="1016">
        <f t="shared" si="109"/>
        <v>1900</v>
      </c>
      <c r="P287" s="1016">
        <f t="shared" si="109"/>
        <v>1900</v>
      </c>
      <c r="Q287" s="1016">
        <f t="shared" si="109"/>
        <v>1450</v>
      </c>
      <c r="R287" s="1016">
        <f t="shared" si="109"/>
        <v>1150</v>
      </c>
      <c r="S287" s="1016">
        <f t="shared" si="109"/>
        <v>900</v>
      </c>
      <c r="T287" s="1016">
        <f t="shared" si="109"/>
        <v>600</v>
      </c>
      <c r="U287" s="1016">
        <f t="shared" si="109"/>
        <v>600</v>
      </c>
      <c r="V287" s="1016">
        <f t="shared" si="109"/>
        <v>300</v>
      </c>
      <c r="W287" s="1016">
        <f t="shared" si="109"/>
        <v>0</v>
      </c>
      <c r="X287" s="1016">
        <f t="shared" si="109"/>
        <v>0</v>
      </c>
      <c r="Y287" s="1016">
        <f t="shared" si="109"/>
        <v>0</v>
      </c>
      <c r="Z287" s="1016">
        <f t="shared" si="109"/>
        <v>0</v>
      </c>
      <c r="AA287" s="1016">
        <f t="shared" si="109"/>
        <v>0</v>
      </c>
      <c r="AB287" s="1016">
        <f t="shared" si="109"/>
        <v>0</v>
      </c>
      <c r="AD287"/>
    </row>
    <row r="288" spans="2:30" ht="12.75" customHeight="1">
      <c r="B288" s="1016" t="s">
        <v>652</v>
      </c>
      <c r="C288" s="1020">
        <f t="shared" ref="C288:S288" si="110">C280-C281</f>
        <v>597.66511956747422</v>
      </c>
      <c r="D288" s="1021">
        <f t="shared" si="110"/>
        <v>874.3409024829682</v>
      </c>
      <c r="E288" s="1021">
        <f t="shared" si="110"/>
        <v>1136.8968802364468</v>
      </c>
      <c r="F288" s="1021">
        <f t="shared" si="110"/>
        <v>1143.1555517146166</v>
      </c>
      <c r="G288" s="1021">
        <f t="shared" si="110"/>
        <v>1234.5741902287225</v>
      </c>
      <c r="H288" s="1021">
        <f t="shared" si="110"/>
        <v>2026.221925870562</v>
      </c>
      <c r="I288" s="1021">
        <f t="shared" si="110"/>
        <v>2048.3487824589142</v>
      </c>
      <c r="J288" s="1021">
        <f t="shared" si="110"/>
        <v>2037.1510162293534</v>
      </c>
      <c r="K288" s="1021">
        <f t="shared" si="110"/>
        <v>1993.1059174249494</v>
      </c>
      <c r="L288" s="1021">
        <f t="shared" si="110"/>
        <v>1915.6912236634514</v>
      </c>
      <c r="M288" s="1021">
        <f t="shared" si="110"/>
        <v>1803.1742594711864</v>
      </c>
      <c r="N288" s="1021">
        <f t="shared" si="110"/>
        <v>1654.919355349283</v>
      </c>
      <c r="O288" s="1021">
        <f t="shared" si="110"/>
        <v>1476.4788226940957</v>
      </c>
      <c r="P288" s="1021">
        <f t="shared" si="110"/>
        <v>1257.1815245074238</v>
      </c>
      <c r="Q288" s="1021">
        <f t="shared" si="110"/>
        <v>996.12585974557101</v>
      </c>
      <c r="R288" s="1021">
        <f t="shared" si="110"/>
        <v>692.25965953755917</v>
      </c>
      <c r="S288" s="1021">
        <f t="shared" si="110"/>
        <v>344.76257624406395</v>
      </c>
      <c r="T288" s="1021"/>
      <c r="U288" s="1021"/>
      <c r="V288" s="1021"/>
      <c r="W288" s="1021"/>
      <c r="X288" s="1021"/>
      <c r="Y288" s="1021"/>
      <c r="Z288" s="1021"/>
      <c r="AA288" s="1021"/>
      <c r="AB288" s="1021"/>
      <c r="AD288"/>
    </row>
    <row r="289" spans="2:30" ht="12.75" customHeight="1">
      <c r="B289" s="1016" t="s">
        <v>653</v>
      </c>
      <c r="C289" s="1016">
        <v>600</v>
      </c>
      <c r="D289" s="1016">
        <v>250</v>
      </c>
      <c r="E289" s="1016">
        <v>300</v>
      </c>
      <c r="F289" s="1016"/>
      <c r="G289" s="1019">
        <v>1000</v>
      </c>
      <c r="H289" s="1019">
        <v>600</v>
      </c>
      <c r="I289" s="1016">
        <v>300</v>
      </c>
      <c r="J289" s="1016">
        <v>500</v>
      </c>
      <c r="K289" s="1016">
        <v>0</v>
      </c>
      <c r="L289" s="1016">
        <v>750</v>
      </c>
      <c r="M289" s="1016">
        <v>600</v>
      </c>
      <c r="N289" s="1016">
        <v>250</v>
      </c>
      <c r="O289" s="1016">
        <v>300</v>
      </c>
      <c r="P289" s="1016">
        <v>0</v>
      </c>
      <c r="Q289" s="1016">
        <v>300</v>
      </c>
      <c r="R289" s="1016">
        <v>300</v>
      </c>
      <c r="S289" s="1016"/>
      <c r="T289" s="1016"/>
      <c r="U289" s="1016"/>
      <c r="V289" s="1016"/>
      <c r="W289" s="1016"/>
      <c r="X289" s="1016"/>
      <c r="Y289" s="1016"/>
      <c r="Z289" s="1016"/>
      <c r="AA289" s="1016"/>
      <c r="AB289" s="1016"/>
      <c r="AD289"/>
    </row>
    <row r="290" spans="2:30" ht="12.75" customHeight="1">
      <c r="B290" s="1016" t="s">
        <v>654</v>
      </c>
      <c r="C290" s="1016"/>
      <c r="D290" s="1016"/>
      <c r="E290" s="1016"/>
      <c r="F290" s="1016"/>
      <c r="G290" s="1019"/>
      <c r="H290" s="1019">
        <f t="shared" ref="H290:AB290" si="111">C289</f>
        <v>600</v>
      </c>
      <c r="I290" s="1016">
        <f t="shared" si="111"/>
        <v>250</v>
      </c>
      <c r="J290" s="1016">
        <f t="shared" si="111"/>
        <v>300</v>
      </c>
      <c r="K290" s="1016">
        <f t="shared" si="111"/>
        <v>0</v>
      </c>
      <c r="L290" s="1016">
        <f t="shared" si="111"/>
        <v>1000</v>
      </c>
      <c r="M290" s="1016">
        <f t="shared" si="111"/>
        <v>600</v>
      </c>
      <c r="N290" s="1016">
        <f t="shared" si="111"/>
        <v>300</v>
      </c>
      <c r="O290" s="1016">
        <f t="shared" si="111"/>
        <v>500</v>
      </c>
      <c r="P290" s="1016">
        <f t="shared" si="111"/>
        <v>0</v>
      </c>
      <c r="Q290" s="1016">
        <f t="shared" si="111"/>
        <v>750</v>
      </c>
      <c r="R290" s="1016">
        <f t="shared" si="111"/>
        <v>600</v>
      </c>
      <c r="S290" s="1016">
        <f t="shared" si="111"/>
        <v>250</v>
      </c>
      <c r="T290" s="1016">
        <f t="shared" si="111"/>
        <v>300</v>
      </c>
      <c r="U290" s="1016">
        <f t="shared" si="111"/>
        <v>0</v>
      </c>
      <c r="V290" s="1016">
        <f t="shared" si="111"/>
        <v>300</v>
      </c>
      <c r="W290" s="1016">
        <f t="shared" si="111"/>
        <v>300</v>
      </c>
      <c r="X290" s="1016">
        <f t="shared" si="111"/>
        <v>0</v>
      </c>
      <c r="Y290" s="1016">
        <f t="shared" si="111"/>
        <v>0</v>
      </c>
      <c r="Z290" s="1016">
        <f t="shared" si="111"/>
        <v>0</v>
      </c>
      <c r="AA290" s="1016">
        <f t="shared" si="111"/>
        <v>0</v>
      </c>
      <c r="AB290" s="1016">
        <f t="shared" si="111"/>
        <v>0</v>
      </c>
      <c r="AD290"/>
    </row>
    <row r="291" spans="2:30" ht="12.75" customHeight="1">
      <c r="AD291"/>
    </row>
    <row r="292" spans="2:30" ht="12.75" customHeight="1">
      <c r="H292" s="527"/>
    </row>
    <row r="293" spans="2:30" ht="12.75" customHeight="1">
      <c r="H293" s="527"/>
      <c r="AD293" s="633"/>
    </row>
    <row r="294" spans="2:30" ht="12.75" customHeight="1">
      <c r="H294" s="527"/>
      <c r="AD294" s="633"/>
    </row>
    <row r="295" spans="2:30" ht="12.75" customHeight="1">
      <c r="H295" s="527"/>
    </row>
    <row r="296" spans="2:30" ht="12.75" customHeight="1">
      <c r="H296" s="527"/>
    </row>
    <row r="297" spans="2:30" ht="12.75" customHeight="1">
      <c r="H297" s="527"/>
    </row>
    <row r="298" spans="2:30" ht="12.75" customHeight="1">
      <c r="H298" s="527"/>
    </row>
    <row r="299" spans="2:30" ht="12.75" customHeight="1">
      <c r="H299" s="527"/>
    </row>
    <row r="300" spans="2:30" ht="12.75" customHeight="1">
      <c r="H300" s="527"/>
    </row>
    <row r="304" spans="2:30" ht="12.75" customHeight="1">
      <c r="D304" s="958"/>
      <c r="E304" s="959"/>
      <c r="F304" s="959"/>
      <c r="G304" s="959"/>
      <c r="H304" s="959"/>
      <c r="I304" s="959"/>
      <c r="J304" s="959"/>
      <c r="K304" s="959"/>
      <c r="L304" s="959"/>
      <c r="M304" s="959"/>
      <c r="N304" s="959"/>
      <c r="O304" s="959"/>
      <c r="P304" s="959"/>
      <c r="Q304" s="959"/>
      <c r="R304" s="959"/>
      <c r="S304" s="959"/>
      <c r="T304" s="959"/>
      <c r="U304" s="959"/>
      <c r="V304" s="959"/>
      <c r="W304" s="959"/>
      <c r="X304" s="959"/>
      <c r="Y304" s="959"/>
      <c r="Z304" s="959"/>
      <c r="AA304" s="959"/>
      <c r="AB304" s="959"/>
      <c r="AC304" s="959"/>
    </row>
    <row r="332" spans="2:30" ht="12.75" customHeight="1">
      <c r="B332"/>
      <c r="AD332"/>
    </row>
    <row r="333" spans="2:30" ht="12.75" customHeight="1">
      <c r="B333"/>
      <c r="AD333"/>
    </row>
    <row r="334" spans="2:30" ht="12.75" customHeight="1">
      <c r="B334"/>
      <c r="AD334"/>
    </row>
    <row r="335" spans="2:30" ht="12.75" customHeight="1">
      <c r="B335"/>
      <c r="AD335"/>
    </row>
    <row r="336" spans="2:30" ht="12.75" customHeight="1">
      <c r="B336"/>
    </row>
    <row r="362" spans="32:42" ht="12.75" customHeight="1">
      <c r="AF362"/>
      <c r="AG362"/>
      <c r="AH362"/>
      <c r="AI362"/>
      <c r="AJ362"/>
      <c r="AK362"/>
      <c r="AL362"/>
      <c r="AM362"/>
      <c r="AN362"/>
      <c r="AO362"/>
      <c r="AP362"/>
    </row>
    <row r="363" spans="32:42" ht="12.75" customHeight="1">
      <c r="AF363"/>
      <c r="AG363"/>
      <c r="AH363"/>
      <c r="AI363"/>
      <c r="AJ363"/>
      <c r="AK363"/>
      <c r="AL363"/>
      <c r="AM363"/>
      <c r="AN363"/>
      <c r="AO363"/>
      <c r="AP363"/>
    </row>
    <row r="364" spans="32:42" ht="12.75" customHeight="1">
      <c r="AF364"/>
      <c r="AG364"/>
      <c r="AH364"/>
      <c r="AI364"/>
      <c r="AJ364"/>
      <c r="AK364"/>
      <c r="AL364"/>
      <c r="AM364"/>
      <c r="AN364"/>
      <c r="AO364"/>
      <c r="AP364"/>
    </row>
    <row r="365" spans="32:42" ht="12.75" customHeight="1">
      <c r="AF365"/>
      <c r="AG365"/>
      <c r="AH365"/>
      <c r="AI365"/>
      <c r="AJ365"/>
      <c r="AK365"/>
      <c r="AL365"/>
      <c r="AM365"/>
      <c r="AN365"/>
      <c r="AO365"/>
      <c r="AP365"/>
    </row>
    <row r="366" spans="32:42" ht="12.75" customHeight="1">
      <c r="AF366"/>
      <c r="AG366"/>
      <c r="AH366"/>
      <c r="AI366"/>
      <c r="AJ366"/>
      <c r="AK366"/>
      <c r="AL366"/>
      <c r="AM366"/>
      <c r="AN366"/>
      <c r="AO366"/>
      <c r="AP366"/>
    </row>
    <row r="367" spans="32:42" ht="12.75" customHeight="1">
      <c r="AF367"/>
      <c r="AG367"/>
      <c r="AH367"/>
      <c r="AI367"/>
      <c r="AJ367"/>
      <c r="AK367"/>
      <c r="AL367"/>
      <c r="AM367"/>
      <c r="AN367"/>
      <c r="AO367"/>
      <c r="AP367"/>
    </row>
    <row r="368" spans="32:42" ht="12.75" customHeight="1">
      <c r="AF368"/>
      <c r="AG368"/>
      <c r="AH368"/>
      <c r="AI368"/>
      <c r="AJ368"/>
      <c r="AK368"/>
      <c r="AL368"/>
      <c r="AM368"/>
      <c r="AN368"/>
      <c r="AO368"/>
      <c r="AP368"/>
    </row>
    <row r="369" spans="4:42" ht="12.75" customHeight="1">
      <c r="AF369"/>
      <c r="AG369"/>
      <c r="AH369"/>
      <c r="AI369"/>
      <c r="AJ369"/>
      <c r="AK369"/>
      <c r="AL369"/>
      <c r="AM369"/>
      <c r="AN369"/>
      <c r="AO369"/>
      <c r="AP369"/>
    </row>
    <row r="370" spans="4:42" ht="12.75" customHeight="1">
      <c r="AF370"/>
      <c r="AG370"/>
      <c r="AH370"/>
      <c r="AI370"/>
      <c r="AJ370"/>
      <c r="AK370"/>
      <c r="AL370"/>
      <c r="AM370"/>
      <c r="AN370"/>
      <c r="AO370"/>
      <c r="AP370"/>
    </row>
    <row r="371" spans="4:42" ht="12.75" customHeight="1">
      <c r="AF371"/>
      <c r="AG371"/>
      <c r="AH371"/>
      <c r="AI371"/>
      <c r="AJ371"/>
      <c r="AK371"/>
      <c r="AL371"/>
      <c r="AM371"/>
      <c r="AN371"/>
      <c r="AO371"/>
      <c r="AP371"/>
    </row>
    <row r="372" spans="4:42" ht="12.75" customHeight="1">
      <c r="AF372"/>
      <c r="AG372"/>
      <c r="AH372"/>
      <c r="AI372"/>
      <c r="AJ372"/>
      <c r="AK372"/>
      <c r="AL372"/>
      <c r="AM372"/>
      <c r="AN372"/>
      <c r="AO372"/>
      <c r="AP372"/>
    </row>
    <row r="373" spans="4:42" ht="12.75" customHeight="1">
      <c r="AF373"/>
      <c r="AG373"/>
      <c r="AH373"/>
      <c r="AI373"/>
      <c r="AJ373"/>
      <c r="AK373"/>
      <c r="AL373"/>
      <c r="AM373"/>
      <c r="AN373"/>
      <c r="AO373"/>
      <c r="AP373"/>
    </row>
    <row r="374" spans="4:42" ht="12.75" customHeight="1">
      <c r="AF374"/>
      <c r="AG374"/>
      <c r="AH374"/>
      <c r="AI374"/>
      <c r="AJ374"/>
      <c r="AK374"/>
      <c r="AL374"/>
      <c r="AM374"/>
      <c r="AN374"/>
      <c r="AO374"/>
      <c r="AP374"/>
    </row>
    <row r="375" spans="4:42" ht="12.75" customHeight="1">
      <c r="AF375"/>
      <c r="AG375"/>
      <c r="AH375"/>
      <c r="AI375"/>
      <c r="AJ375"/>
      <c r="AK375"/>
      <c r="AL375"/>
      <c r="AM375"/>
      <c r="AN375"/>
      <c r="AO375"/>
      <c r="AP375"/>
    </row>
    <row r="376" spans="4:42" ht="12.75" customHeight="1">
      <c r="AF376"/>
      <c r="AG376"/>
      <c r="AH376"/>
      <c r="AI376"/>
      <c r="AJ376"/>
      <c r="AK376"/>
      <c r="AL376"/>
      <c r="AM376"/>
      <c r="AN376"/>
      <c r="AO376"/>
      <c r="AP376"/>
    </row>
    <row r="377" spans="4:42" ht="12.75" customHeight="1">
      <c r="AF377"/>
      <c r="AG377"/>
      <c r="AH377"/>
      <c r="AI377"/>
      <c r="AJ377"/>
      <c r="AK377"/>
      <c r="AL377"/>
      <c r="AM377"/>
      <c r="AN377"/>
      <c r="AO377"/>
      <c r="AP377"/>
    </row>
    <row r="383" spans="4:42" ht="12.75" customHeight="1">
      <c r="D383" s="633"/>
      <c r="E383" s="633"/>
      <c r="F383" s="633"/>
      <c r="G383" s="633"/>
      <c r="I383" s="633"/>
      <c r="J383" s="633"/>
      <c r="K383" s="633"/>
      <c r="L383" s="633"/>
      <c r="M383" s="633"/>
      <c r="N383" s="633"/>
    </row>
    <row r="384" spans="4:42" ht="12.75" customHeight="1">
      <c r="D384" s="633"/>
      <c r="E384" s="633"/>
      <c r="F384" s="633"/>
      <c r="G384" s="633"/>
      <c r="I384" s="633"/>
      <c r="J384" s="633"/>
      <c r="M384" s="633"/>
      <c r="N384" s="633"/>
    </row>
    <row r="385" spans="3:19" ht="12.75" customHeight="1">
      <c r="D385" s="633"/>
      <c r="E385" s="633"/>
      <c r="F385" s="633"/>
      <c r="G385" s="633"/>
      <c r="I385" s="633"/>
      <c r="J385" s="633"/>
      <c r="K385" s="633"/>
      <c r="L385" s="633"/>
      <c r="M385" s="633"/>
      <c r="N385" s="633"/>
    </row>
    <row r="386" spans="3:19" ht="12.75" customHeight="1">
      <c r="H386" s="527"/>
      <c r="J386" s="633"/>
    </row>
    <row r="387" spans="3:19" ht="12.75" customHeight="1">
      <c r="H387" s="527"/>
      <c r="J387" s="633"/>
    </row>
    <row r="388" spans="3:19" ht="12.75" customHeight="1">
      <c r="C388" s="633"/>
      <c r="D388" s="633"/>
      <c r="E388" s="633"/>
      <c r="F388" s="633"/>
      <c r="G388" s="633"/>
      <c r="I388" s="633"/>
      <c r="J388" s="633"/>
      <c r="K388" s="633"/>
      <c r="L388" s="633"/>
      <c r="M388" s="633"/>
      <c r="N388" s="633"/>
      <c r="O388" s="633"/>
      <c r="P388" s="633"/>
    </row>
    <row r="389" spans="3:19" ht="12.75" customHeight="1">
      <c r="C389" s="633"/>
      <c r="D389" s="633"/>
      <c r="E389" s="633"/>
      <c r="F389" s="633"/>
      <c r="G389" s="633"/>
      <c r="I389" s="633"/>
      <c r="J389" s="633"/>
      <c r="K389" s="633"/>
      <c r="L389" s="633"/>
      <c r="M389" s="633"/>
      <c r="N389" s="633"/>
      <c r="O389" s="633"/>
      <c r="P389" s="633"/>
    </row>
    <row r="390" spans="3:19" ht="12.75" customHeight="1">
      <c r="C390" s="633"/>
      <c r="D390" s="633"/>
      <c r="E390" s="633"/>
      <c r="F390" s="633"/>
      <c r="G390" s="633"/>
      <c r="I390" s="633"/>
      <c r="J390" s="633"/>
      <c r="K390" s="633"/>
      <c r="L390" s="633"/>
      <c r="M390" s="633"/>
      <c r="N390" s="633"/>
      <c r="O390" s="633"/>
      <c r="P390" s="633"/>
    </row>
    <row r="391" spans="3:19" ht="12.75" customHeight="1">
      <c r="C391" s="633"/>
      <c r="D391" s="633"/>
      <c r="E391" s="633"/>
      <c r="H391" s="527"/>
      <c r="S391" s="633"/>
    </row>
    <row r="392" spans="3:19" ht="12.75" customHeight="1">
      <c r="C392" s="633"/>
      <c r="D392" s="633"/>
      <c r="E392" s="633"/>
      <c r="H392" s="527"/>
      <c r="S392" s="633"/>
    </row>
    <row r="393" spans="3:19" ht="12.75" customHeight="1">
      <c r="C393" s="633"/>
      <c r="D393" s="633"/>
      <c r="E393" s="633"/>
      <c r="H393" s="527"/>
      <c r="S393" s="633"/>
    </row>
    <row r="394" spans="3:19" ht="12.75" customHeight="1">
      <c r="C394" s="633"/>
      <c r="D394" s="633"/>
      <c r="E394" s="633"/>
      <c r="H394" s="527"/>
    </row>
    <row r="395" spans="3:19" ht="12.75" customHeight="1">
      <c r="C395" s="633"/>
      <c r="D395" s="633"/>
      <c r="E395" s="633"/>
      <c r="H395" s="527"/>
    </row>
    <row r="396" spans="3:19" ht="12.75" customHeight="1">
      <c r="C396" s="633"/>
      <c r="D396" s="633"/>
      <c r="E396" s="633"/>
      <c r="H396" s="527"/>
    </row>
    <row r="397" spans="3:19" ht="12.75" customHeight="1">
      <c r="C397" s="633"/>
      <c r="D397" s="633"/>
      <c r="E397" s="633"/>
      <c r="H397" s="527"/>
    </row>
    <row r="398" spans="3:19" ht="12.75" customHeight="1">
      <c r="C398" s="633"/>
      <c r="D398" s="633"/>
      <c r="E398" s="633"/>
      <c r="H398" s="527"/>
    </row>
    <row r="399" spans="3:19" ht="12.75" customHeight="1">
      <c r="C399" s="633"/>
      <c r="D399" s="633"/>
      <c r="E399" s="633"/>
      <c r="H399" s="527"/>
    </row>
    <row r="400" spans="3:19" ht="12.75" customHeight="1">
      <c r="C400" s="633"/>
      <c r="D400" s="633"/>
      <c r="E400" s="633"/>
      <c r="H400" s="527"/>
    </row>
    <row r="401" spans="3:8" ht="12.75" customHeight="1">
      <c r="C401" s="633"/>
      <c r="D401" s="633"/>
      <c r="E401" s="633"/>
      <c r="H401" s="527"/>
    </row>
    <row r="402" spans="3:8" ht="12.75" customHeight="1">
      <c r="C402" s="633"/>
      <c r="D402" s="633"/>
      <c r="E402" s="633"/>
      <c r="H402" s="527"/>
    </row>
    <row r="403" spans="3:8" ht="12.75" customHeight="1">
      <c r="C403" s="633"/>
      <c r="D403" s="633"/>
      <c r="E403" s="633"/>
      <c r="H403" s="527"/>
    </row>
    <row r="404" spans="3:8" ht="12.75" customHeight="1">
      <c r="C404" s="633"/>
      <c r="D404" s="633"/>
      <c r="E404" s="633"/>
      <c r="H404" s="527"/>
    </row>
    <row r="405" spans="3:8" ht="12.75" customHeight="1">
      <c r="C405" s="633"/>
      <c r="D405" s="633"/>
      <c r="E405" s="633"/>
      <c r="H405" s="527"/>
    </row>
    <row r="406" spans="3:8" ht="12.75" customHeight="1">
      <c r="H406" s="527"/>
    </row>
    <row r="1002" spans="56:56" ht="12.75" customHeight="1">
      <c r="BD1002"/>
    </row>
  </sheetData>
  <mergeCells count="78">
    <mergeCell ref="R254:S254"/>
    <mergeCell ref="Q251:Q253"/>
    <mergeCell ref="I264:K265"/>
    <mergeCell ref="B266:S266"/>
    <mergeCell ref="B272:C272"/>
    <mergeCell ref="Q199:R199"/>
    <mergeCell ref="B170:F170"/>
    <mergeCell ref="B160:F160"/>
    <mergeCell ref="H160:K160"/>
    <mergeCell ref="B219:G219"/>
    <mergeCell ref="H166:I166"/>
    <mergeCell ref="J166:K166"/>
    <mergeCell ref="H164:I164"/>
    <mergeCell ref="J164:K164"/>
    <mergeCell ref="H165:I165"/>
    <mergeCell ref="J165:K165"/>
    <mergeCell ref="B232:G232"/>
    <mergeCell ref="H167:I167"/>
    <mergeCell ref="J167:K167"/>
    <mergeCell ref="H168:I168"/>
    <mergeCell ref="J168:K168"/>
    <mergeCell ref="B140:F140"/>
    <mergeCell ref="B141:F145"/>
    <mergeCell ref="H123:I123"/>
    <mergeCell ref="J123:K123"/>
    <mergeCell ref="H124:I124"/>
    <mergeCell ref="J124:K124"/>
    <mergeCell ref="B126:F126"/>
    <mergeCell ref="B152:E152"/>
    <mergeCell ref="B154:B157"/>
    <mergeCell ref="H162:I162"/>
    <mergeCell ref="J162:K162"/>
    <mergeCell ref="H163:I163"/>
    <mergeCell ref="J163:K163"/>
    <mergeCell ref="H120:I120"/>
    <mergeCell ref="J120:K120"/>
    <mergeCell ref="H121:I121"/>
    <mergeCell ref="J121:K121"/>
    <mergeCell ref="H122:I122"/>
    <mergeCell ref="J122:K122"/>
    <mergeCell ref="B116:F116"/>
    <mergeCell ref="H116:K116"/>
    <mergeCell ref="H118:I118"/>
    <mergeCell ref="J118:K118"/>
    <mergeCell ref="H119:I119"/>
    <mergeCell ref="J119:K119"/>
    <mergeCell ref="J78:K78"/>
    <mergeCell ref="J79:K79"/>
    <mergeCell ref="J80:K80"/>
    <mergeCell ref="D15:L15"/>
    <mergeCell ref="B72:F72"/>
    <mergeCell ref="H74:I74"/>
    <mergeCell ref="H75:I75"/>
    <mergeCell ref="H76:I76"/>
    <mergeCell ref="B66:B69"/>
    <mergeCell ref="H72:K72"/>
    <mergeCell ref="H77:I77"/>
    <mergeCell ref="J75:K75"/>
    <mergeCell ref="J76:K76"/>
    <mergeCell ref="J77:K77"/>
    <mergeCell ref="J74:K74"/>
    <mergeCell ref="B44:C44"/>
    <mergeCell ref="B110:B113"/>
    <mergeCell ref="J255:K255"/>
    <mergeCell ref="B82:F82"/>
    <mergeCell ref="B64:E64"/>
    <mergeCell ref="B96:F96"/>
    <mergeCell ref="B97:F101"/>
    <mergeCell ref="B108:E108"/>
    <mergeCell ref="B184:F184"/>
    <mergeCell ref="B185:F189"/>
    <mergeCell ref="B198:F198"/>
    <mergeCell ref="B199:F201"/>
    <mergeCell ref="B202:F205"/>
    <mergeCell ref="B208:G208"/>
    <mergeCell ref="H78:I78"/>
    <mergeCell ref="H79:I79"/>
    <mergeCell ref="H80:I80"/>
  </mergeCells>
  <phoneticPr fontId="87" type="noConversion"/>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3883-DD98-4992-AC33-2C1B89D086E1}">
  <sheetPr>
    <tabColor rgb="FFFFFF00"/>
  </sheetPr>
  <dimension ref="A1:IA99"/>
  <sheetViews>
    <sheetView topLeftCell="A50" zoomScale="120" workbookViewId="0">
      <selection activeCell="C59" sqref="C59"/>
    </sheetView>
  </sheetViews>
  <sheetFormatPr defaultColWidth="11.42578125" defaultRowHeight="12.6"/>
  <cols>
    <col min="1" max="1" width="36.140625" style="10" customWidth="1"/>
    <col min="2" max="10" width="12.42578125" style="42" customWidth="1"/>
    <col min="11" max="12" width="12.42578125" style="49" customWidth="1"/>
    <col min="13" max="13" width="12.140625" style="49" bestFit="1" customWidth="1"/>
    <col min="14" max="16384" width="11.42578125" style="41"/>
  </cols>
  <sheetData>
    <row r="1" spans="1:25" ht="15.6">
      <c r="A1" s="1512" t="e" vm="1">
        <f>Inputs!H3</f>
        <v>#VALUE!</v>
      </c>
      <c r="B1" s="1512"/>
      <c r="C1" s="1512"/>
      <c r="D1" s="1512"/>
      <c r="E1" s="1512"/>
      <c r="F1" s="1512"/>
      <c r="G1" s="1512"/>
      <c r="H1" s="1512"/>
      <c r="I1" s="1512"/>
      <c r="J1" s="1512"/>
      <c r="K1" s="1512"/>
      <c r="L1" s="1512"/>
      <c r="M1" s="1512"/>
    </row>
    <row r="2" spans="1:25" ht="11.45">
      <c r="A2" s="1513" t="str">
        <f>Inputs!G2</f>
        <v>Figures in Millions of USD</v>
      </c>
      <c r="B2" s="1513"/>
      <c r="C2" s="1513"/>
      <c r="D2" s="1513"/>
      <c r="E2" s="1513"/>
      <c r="F2" s="1513"/>
      <c r="G2" s="1513"/>
      <c r="H2" s="1513"/>
      <c r="I2" s="1513"/>
      <c r="J2" s="1513"/>
      <c r="K2" s="1513"/>
      <c r="L2" s="1513"/>
      <c r="M2" s="1513"/>
    </row>
    <row r="3" spans="1:25" ht="20.100000000000001">
      <c r="A3" s="1511" t="s">
        <v>655</v>
      </c>
      <c r="B3" s="1511"/>
      <c r="C3" s="1511"/>
      <c r="D3" s="1511"/>
      <c r="E3" s="1511"/>
      <c r="F3" s="1511"/>
      <c r="G3" s="1511"/>
      <c r="H3" s="1511"/>
      <c r="I3" s="1511"/>
      <c r="J3" s="1511"/>
      <c r="K3" s="1511"/>
      <c r="L3" s="1511"/>
      <c r="M3" s="1511"/>
    </row>
    <row r="4" spans="1:25">
      <c r="A4" s="109"/>
      <c r="B4" s="51">
        <f>OP!J19</f>
        <v>2023</v>
      </c>
      <c r="C4" s="43">
        <f>B4-1</f>
        <v>2022</v>
      </c>
      <c r="D4" s="43">
        <f t="shared" ref="D4:M4" si="0">C4-1</f>
        <v>2021</v>
      </c>
      <c r="E4" s="43">
        <f t="shared" si="0"/>
        <v>2020</v>
      </c>
      <c r="F4" s="43">
        <f t="shared" si="0"/>
        <v>2019</v>
      </c>
      <c r="G4" s="43">
        <f t="shared" si="0"/>
        <v>2018</v>
      </c>
      <c r="H4" s="43">
        <f t="shared" si="0"/>
        <v>2017</v>
      </c>
      <c r="I4" s="43">
        <f t="shared" si="0"/>
        <v>2016</v>
      </c>
      <c r="J4" s="43">
        <f>I4-1</f>
        <v>2015</v>
      </c>
      <c r="K4" s="43">
        <f t="shared" si="0"/>
        <v>2014</v>
      </c>
      <c r="L4" s="43">
        <f t="shared" si="0"/>
        <v>2013</v>
      </c>
      <c r="M4" s="43">
        <f t="shared" si="0"/>
        <v>2012</v>
      </c>
    </row>
    <row r="5" spans="1:25">
      <c r="A5" s="110" t="s">
        <v>124</v>
      </c>
      <c r="B5" s="52">
        <f>_xlfn.XLOOKUP($A5,Inputs!$A:$A,Inputs!B:B,,0)</f>
        <v>5491</v>
      </c>
      <c r="C5" s="52">
        <f>_xlfn.XLOOKUP($A5,Inputs!$A:$A,Inputs!C:C,,0)</f>
        <v>5034</v>
      </c>
      <c r="D5" s="52">
        <f>_xlfn.XLOOKUP($A5,Inputs!$A:$A,Inputs!D:D,,0)</f>
        <v>4625.8999999999996</v>
      </c>
      <c r="E5" s="52">
        <f>_xlfn.XLOOKUP($A5,Inputs!$A:$A,Inputs!E:E,,0)</f>
        <v>3534.4</v>
      </c>
      <c r="F5" s="52">
        <f>_xlfn.XLOOKUP($A5,Inputs!$A:$A,Inputs!F:F,,0)</f>
        <v>4266.2</v>
      </c>
      <c r="G5" s="52">
        <f>_xlfn.XLOOKUP($A5,Inputs!$A:$A,Inputs!G:G,,0)</f>
        <v>4167.3999999999996</v>
      </c>
      <c r="H5" s="52">
        <f>_xlfn.XLOOKUP($A5,Inputs!$A:$A,Inputs!H:H,,0)</f>
        <v>4055.5</v>
      </c>
      <c r="I5" s="52">
        <f>_xlfn.XLOOKUP($A5,Inputs!$A:$A,Inputs!I:I,,0)</f>
        <v>4097.3</v>
      </c>
      <c r="J5" s="52">
        <f>_xlfn.XLOOKUP($A5,Inputs!$A:$A,Inputs!J:J,,0)</f>
        <v>4176.8999999999996</v>
      </c>
      <c r="K5" s="52">
        <f>_xlfn.XLOOKUP($A5,Inputs!$A:$A,Inputs!K:K,,0)</f>
        <v>3999.8</v>
      </c>
      <c r="L5" s="52">
        <f>_xlfn.XLOOKUP($A5,Inputs!$A:$A,Inputs!L:L,,0)</f>
        <v>3740</v>
      </c>
      <c r="M5" s="53">
        <f>_xlfn.XLOOKUP($A5,Inputs!$A:$A,Inputs!M:M,,0)</f>
        <v>3562.8</v>
      </c>
    </row>
    <row r="6" spans="1:25" ht="12.95">
      <c r="A6" s="111" t="s">
        <v>656</v>
      </c>
      <c r="B6" s="54">
        <f t="shared" ref="B6:L6" si="1">IFERROR(B5/C5-1,"-")</f>
        <v>9.0782677791021005E-2</v>
      </c>
      <c r="C6" s="54">
        <f t="shared" si="1"/>
        <v>8.8220670572213056E-2</v>
      </c>
      <c r="D6" s="54">
        <f t="shared" si="1"/>
        <v>0.3088218650973289</v>
      </c>
      <c r="E6" s="54">
        <f t="shared" si="1"/>
        <v>-0.17153438657353137</v>
      </c>
      <c r="F6" s="54">
        <f t="shared" si="1"/>
        <v>2.3707827422373651E-2</v>
      </c>
      <c r="G6" s="54">
        <f t="shared" si="1"/>
        <v>2.7592158796695854E-2</v>
      </c>
      <c r="H6" s="54">
        <f t="shared" si="1"/>
        <v>-1.0201840236253146E-2</v>
      </c>
      <c r="I6" s="54">
        <f t="shared" si="1"/>
        <v>-1.9057195527783621E-2</v>
      </c>
      <c r="J6" s="54">
        <f t="shared" si="1"/>
        <v>4.4277213860692832E-2</v>
      </c>
      <c r="K6" s="54">
        <f t="shared" si="1"/>
        <v>6.9465240641711334E-2</v>
      </c>
      <c r="L6" s="54">
        <f t="shared" si="1"/>
        <v>4.9736162568766007E-2</v>
      </c>
      <c r="M6" s="55" t="str">
        <f>IFERROR(M5/#REF!-1,"-")</f>
        <v>-</v>
      </c>
      <c r="N6" s="393"/>
    </row>
    <row r="7" spans="1:25">
      <c r="A7" s="110" t="s">
        <v>657</v>
      </c>
      <c r="B7" s="52">
        <f>_xlfn.XLOOKUP($A7,Inputs!$A:$A,Inputs!B:B,,0)</f>
        <v>2420.5</v>
      </c>
      <c r="C7" s="52">
        <f>_xlfn.XLOOKUP($A7,Inputs!$A:$A,Inputs!C:C,,0)</f>
        <v>2175.3000000000002</v>
      </c>
      <c r="D7" s="52">
        <f>_xlfn.XLOOKUP($A7,Inputs!$A:$A,Inputs!D:D,,0)</f>
        <v>1972</v>
      </c>
      <c r="E7" s="52">
        <f>_xlfn.XLOOKUP($A7,Inputs!$A:$A,Inputs!E:E,,0)</f>
        <v>1247.9000000000001</v>
      </c>
      <c r="F7" s="52">
        <f>_xlfn.XLOOKUP($A7,Inputs!$A:$A,Inputs!F:F,,0)</f>
        <v>1640.5</v>
      </c>
      <c r="G7" s="52">
        <f>_xlfn.XLOOKUP($A7,Inputs!$A:$A,Inputs!G:G,,0)</f>
        <v>1552.5</v>
      </c>
      <c r="H7" s="52">
        <f>_xlfn.XLOOKUP($A7,Inputs!$A:$A,Inputs!H:H,,0)</f>
        <v>1356.2</v>
      </c>
      <c r="I7" s="52">
        <f>_xlfn.XLOOKUP($A7,Inputs!$A:$A,Inputs!I:I,,0)</f>
        <v>1386.6</v>
      </c>
      <c r="J7" s="52">
        <f>_xlfn.XLOOKUP($A7,Inputs!$A:$A,Inputs!J:J,,0)</f>
        <v>1452.7</v>
      </c>
      <c r="K7" s="52">
        <f>_xlfn.XLOOKUP($A7,Inputs!$A:$A,Inputs!K:K,,0)</f>
        <v>1343.4</v>
      </c>
      <c r="L7" s="52">
        <f>_xlfn.XLOOKUP($A7,Inputs!$A:$A,Inputs!L:L,,0)</f>
        <v>1240.0999999999999</v>
      </c>
      <c r="M7" s="53">
        <f>_xlfn.XLOOKUP($A7,Inputs!$A:$A,Inputs!M:M,,0)</f>
        <v>1125.8</v>
      </c>
    </row>
    <row r="8" spans="1:25" ht="12.95">
      <c r="A8" s="111" t="s">
        <v>658</v>
      </c>
      <c r="B8" s="54">
        <f>IFERROR(B7/B$5,"-")</f>
        <v>0.44081223820797671</v>
      </c>
      <c r="C8" s="54">
        <f t="shared" ref="C8:M8" si="2">IFERROR(C7/C$5,"-")</f>
        <v>0.43212157330154949</v>
      </c>
      <c r="D8" s="54">
        <f t="shared" si="2"/>
        <v>0.42629542359324674</v>
      </c>
      <c r="E8" s="54">
        <f t="shared" si="2"/>
        <v>0.35307265731100046</v>
      </c>
      <c r="F8" s="54">
        <f t="shared" si="2"/>
        <v>0.38453424593314894</v>
      </c>
      <c r="G8" s="54">
        <f t="shared" si="2"/>
        <v>0.37253443393962665</v>
      </c>
      <c r="H8" s="54">
        <f t="shared" si="2"/>
        <v>0.33441006041178645</v>
      </c>
      <c r="I8" s="54">
        <f t="shared" si="2"/>
        <v>0.33841798257389011</v>
      </c>
      <c r="J8" s="54">
        <f t="shared" si="2"/>
        <v>0.3477938183820537</v>
      </c>
      <c r="K8" s="54">
        <f t="shared" si="2"/>
        <v>0.33586679333966701</v>
      </c>
      <c r="L8" s="54">
        <f t="shared" si="2"/>
        <v>0.33157754010695184</v>
      </c>
      <c r="M8" s="55">
        <f t="shared" si="2"/>
        <v>0.31598742562029863</v>
      </c>
    </row>
    <row r="9" spans="1:25">
      <c r="A9" s="110" t="s">
        <v>659</v>
      </c>
      <c r="B9" s="52">
        <f t="shared" ref="B9:M9" si="3">B5-B11</f>
        <v>4515.3999999999996</v>
      </c>
      <c r="C9" s="52">
        <f t="shared" si="3"/>
        <v>4076.2</v>
      </c>
      <c r="D9" s="52">
        <f t="shared" si="3"/>
        <v>3722.9999999999995</v>
      </c>
      <c r="E9" s="52">
        <f t="shared" si="3"/>
        <v>3088.6</v>
      </c>
      <c r="F9" s="52">
        <f t="shared" si="3"/>
        <v>3410.7999999999997</v>
      </c>
      <c r="G9" s="52">
        <f t="shared" si="3"/>
        <v>3327.7</v>
      </c>
      <c r="H9" s="52">
        <f t="shared" si="3"/>
        <v>3294.5</v>
      </c>
      <c r="I9" s="52">
        <f t="shared" si="3"/>
        <v>3269.7000000000003</v>
      </c>
      <c r="J9" s="52">
        <f t="shared" si="3"/>
        <v>3304.0999999999995</v>
      </c>
      <c r="K9" s="52">
        <f t="shared" si="3"/>
        <v>3196.6000000000004</v>
      </c>
      <c r="L9" s="52">
        <f t="shared" si="3"/>
        <v>3011.3</v>
      </c>
      <c r="M9" s="53">
        <f t="shared" si="3"/>
        <v>2906.9</v>
      </c>
    </row>
    <row r="10" spans="1:25" ht="12.95">
      <c r="A10" s="111" t="s">
        <v>658</v>
      </c>
      <c r="B10" s="54">
        <f>IFERROR(B9/B$5,"-")</f>
        <v>0.82232744490985243</v>
      </c>
      <c r="C10" s="54">
        <f t="shared" ref="C10:M10" si="4">IFERROR(C9/C$5,"-")</f>
        <v>0.80973381009137857</v>
      </c>
      <c r="D10" s="54">
        <f t="shared" si="4"/>
        <v>0.80481636005966406</v>
      </c>
      <c r="E10" s="54">
        <f t="shared" si="4"/>
        <v>0.87386826618379354</v>
      </c>
      <c r="F10" s="54">
        <f t="shared" si="4"/>
        <v>0.79949369462284936</v>
      </c>
      <c r="G10" s="54">
        <f t="shared" si="4"/>
        <v>0.79850746268656714</v>
      </c>
      <c r="H10" s="54">
        <f t="shared" si="4"/>
        <v>0.81235359388484774</v>
      </c>
      <c r="I10" s="54">
        <f t="shared" si="4"/>
        <v>0.79801332584872964</v>
      </c>
      <c r="J10" s="54">
        <f t="shared" si="4"/>
        <v>0.79104120280590862</v>
      </c>
      <c r="K10" s="54">
        <f t="shared" si="4"/>
        <v>0.799189959497975</v>
      </c>
      <c r="L10" s="54">
        <f t="shared" si="4"/>
        <v>0.80516042780748664</v>
      </c>
      <c r="M10" s="55">
        <f t="shared" si="4"/>
        <v>0.81590322218479849</v>
      </c>
    </row>
    <row r="11" spans="1:25">
      <c r="A11" s="110" t="s">
        <v>303</v>
      </c>
      <c r="B11" s="52">
        <f>_xlfn.XLOOKUP($A11,Inputs!$A:$A,Inputs!B:B,,0)</f>
        <v>975.6</v>
      </c>
      <c r="C11" s="52">
        <f>_xlfn.XLOOKUP($A11,Inputs!$A:$A,Inputs!C:C,,0)</f>
        <v>957.8</v>
      </c>
      <c r="D11" s="52">
        <f>_xlfn.XLOOKUP($A11,Inputs!$A:$A,Inputs!D:D,,0)</f>
        <v>902.9</v>
      </c>
      <c r="E11" s="52">
        <f>_xlfn.XLOOKUP($A11,Inputs!$A:$A,Inputs!E:E,,0)</f>
        <v>445.8</v>
      </c>
      <c r="F11" s="52">
        <f>_xlfn.XLOOKUP($A11,Inputs!$A:$A,Inputs!F:F,,0)</f>
        <v>855.4</v>
      </c>
      <c r="G11" s="52">
        <f>_xlfn.XLOOKUP($A11,Inputs!$A:$A,Inputs!G:G,,0)</f>
        <v>839.7</v>
      </c>
      <c r="H11" s="52">
        <f>_xlfn.XLOOKUP($A11,Inputs!$A:$A,Inputs!H:H,,0)</f>
        <v>761</v>
      </c>
      <c r="I11" s="52">
        <f>_xlfn.XLOOKUP($A11,Inputs!$A:$A,Inputs!I:I,,0)</f>
        <v>827.6</v>
      </c>
      <c r="J11" s="52">
        <f>_xlfn.XLOOKUP($A11,Inputs!$A:$A,Inputs!J:J,,0)</f>
        <v>872.80000000000007</v>
      </c>
      <c r="K11" s="52">
        <f>_xlfn.XLOOKUP($A11,Inputs!$A:$A,Inputs!K:K,,0)</f>
        <v>803.2</v>
      </c>
      <c r="L11" s="52">
        <f>_xlfn.XLOOKUP($A11,Inputs!$A:$A,Inputs!L:L,,0)</f>
        <v>728.69999999999993</v>
      </c>
      <c r="M11" s="53">
        <f>_xlfn.XLOOKUP($A11,Inputs!$A:$A,Inputs!M:M,,0)</f>
        <v>655.9</v>
      </c>
    </row>
    <row r="12" spans="1:25" ht="12.95">
      <c r="A12" s="111" t="s">
        <v>125</v>
      </c>
      <c r="B12" s="54">
        <f t="shared" ref="B12:M12" si="5">IFERROR(B11/B$5,"-")</f>
        <v>0.17767255509014751</v>
      </c>
      <c r="C12" s="54">
        <f t="shared" si="5"/>
        <v>0.19026618990862137</v>
      </c>
      <c r="D12" s="54">
        <f t="shared" si="5"/>
        <v>0.19518363994033594</v>
      </c>
      <c r="E12" s="54">
        <f t="shared" si="5"/>
        <v>0.12613173381620643</v>
      </c>
      <c r="F12" s="54">
        <f t="shared" si="5"/>
        <v>0.20050630537715064</v>
      </c>
      <c r="G12" s="54">
        <f t="shared" si="5"/>
        <v>0.20149253731343286</v>
      </c>
      <c r="H12" s="54">
        <f t="shared" si="5"/>
        <v>0.18764640611515226</v>
      </c>
      <c r="I12" s="54">
        <f t="shared" si="5"/>
        <v>0.20198667415127033</v>
      </c>
      <c r="J12" s="54">
        <f t="shared" si="5"/>
        <v>0.20895879719409136</v>
      </c>
      <c r="K12" s="54">
        <f t="shared" si="5"/>
        <v>0.20081004050202511</v>
      </c>
      <c r="L12" s="54">
        <f t="shared" si="5"/>
        <v>0.19483957219251336</v>
      </c>
      <c r="M12" s="55">
        <f t="shared" si="5"/>
        <v>0.18409677781520151</v>
      </c>
    </row>
    <row r="13" spans="1:25" ht="12.95">
      <c r="A13" s="110" t="s">
        <v>660</v>
      </c>
      <c r="B13" s="54">
        <f t="shared" ref="B13" si="6">IFERROR(B12/C12-1,"-")</f>
        <v>-6.6189556980786657E-2</v>
      </c>
      <c r="C13" s="54">
        <f t="shared" ref="C13" si="7">IFERROR(C12/D12-1,"-")</f>
        <v>-2.5193966221849995E-2</v>
      </c>
      <c r="D13" s="54">
        <f t="shared" ref="D13" si="8">IFERROR(D12/E12-1,"-")</f>
        <v>0.54745862944173029</v>
      </c>
      <c r="E13" s="54">
        <f t="shared" ref="E13" si="9">IFERROR(E12/F12-1,"-")</f>
        <v>-0.3709338288441667</v>
      </c>
      <c r="F13" s="54">
        <f t="shared" ref="F13" si="10">IFERROR(F12/G12-1,"-")</f>
        <v>-4.8946325726598738E-3</v>
      </c>
      <c r="G13" s="54">
        <f t="shared" ref="G13" si="11">IFERROR(G12/H12-1,"-")</f>
        <v>7.3788416655226063E-2</v>
      </c>
      <c r="H13" s="54">
        <f t="shared" ref="H13" si="12">IFERROR(H12/I12-1,"-")</f>
        <v>-7.0996109502642013E-2</v>
      </c>
      <c r="I13" s="54">
        <f t="shared" ref="I13" si="13">IFERROR(I12/J12-1,"-")</f>
        <v>-3.3366018260264751E-2</v>
      </c>
      <c r="J13" s="54">
        <f t="shared" ref="J13" si="14">IFERROR(J12/K12-1,"-")</f>
        <v>4.057942855693053E-2</v>
      </c>
      <c r="K13" s="54">
        <f t="shared" ref="K13" si="15">IFERROR(K12/L12-1,"-")</f>
        <v>3.0642996401226696E-2</v>
      </c>
      <c r="L13" s="54">
        <f t="shared" ref="L13" si="16">IFERROR(L12/M12-1,"-")</f>
        <v>5.8354059776622336E-2</v>
      </c>
      <c r="M13" s="55" t="str">
        <f>IFERROR(M12/#REF!-1,"-")</f>
        <v>-</v>
      </c>
    </row>
    <row r="14" spans="1:25">
      <c r="A14" s="112" t="s">
        <v>304</v>
      </c>
      <c r="B14" s="52">
        <f>_xlfn.XLOOKUP($A14,Inputs!$A:$A,Inputs!B:B,,0)</f>
        <v>-80.7</v>
      </c>
      <c r="C14" s="52">
        <f>_xlfn.XLOOKUP($A14,Inputs!$A:$A,Inputs!C:C,,0)</f>
        <v>-72.2</v>
      </c>
      <c r="D14" s="52">
        <f>_xlfn.XLOOKUP($A14,Inputs!$A:$A,Inputs!D:D,,0)</f>
        <v>-82.3</v>
      </c>
      <c r="E14" s="52">
        <f>_xlfn.XLOOKUP($A14,Inputs!$A:$A,Inputs!E:E,,0)</f>
        <v>-102.1</v>
      </c>
      <c r="F14" s="52">
        <f>_xlfn.XLOOKUP($A14,Inputs!$A:$A,Inputs!F:F,,0)</f>
        <v>-105.4</v>
      </c>
      <c r="G14" s="52">
        <f>_xlfn.XLOOKUP($A14,Inputs!$A:$A,Inputs!G:G,,0)</f>
        <v>-107.5</v>
      </c>
      <c r="H14" s="52">
        <f>_xlfn.XLOOKUP($A14,Inputs!$A:$A,Inputs!H:H,,0)</f>
        <v>-33.799999999999997</v>
      </c>
      <c r="I14" s="52">
        <f>_xlfn.XLOOKUP($A14,Inputs!$A:$A,Inputs!I:I,,0)</f>
        <v>-37.5</v>
      </c>
      <c r="J14" s="52">
        <f>_xlfn.XLOOKUP($A14,Inputs!$A:$A,Inputs!J:J,,0)</f>
        <v>-31.1</v>
      </c>
      <c r="K14" s="52">
        <f>_xlfn.XLOOKUP($A14,Inputs!$A:$A,Inputs!K:K,,0)</f>
        <v>-29.9</v>
      </c>
      <c r="L14" s="52">
        <f>_xlfn.XLOOKUP($A14,Inputs!$A:$A,Inputs!L:L,,0)</f>
        <v>-27.6</v>
      </c>
      <c r="M14" s="53">
        <f>_xlfn.XLOOKUP($A14,Inputs!$A:$A,Inputs!M:M,,0)</f>
        <v>-28.6</v>
      </c>
    </row>
    <row r="15" spans="1:25">
      <c r="A15" s="110" t="s">
        <v>661</v>
      </c>
      <c r="B15" s="52">
        <f>_xlfn.XLOOKUP($A15,Inputs!$A:$A,Inputs!B:B,,0)</f>
        <v>120.89999999999999</v>
      </c>
      <c r="C15" s="52">
        <f>_xlfn.XLOOKUP($A15,Inputs!$A:$A,Inputs!C:C,,0)</f>
        <v>-16.3</v>
      </c>
      <c r="D15" s="52">
        <f>_xlfn.XLOOKUP($A15,Inputs!$A:$A,Inputs!D:D,,0)</f>
        <v>2.5</v>
      </c>
      <c r="E15" s="52">
        <f>_xlfn.XLOOKUP($A15,Inputs!$A:$A,Inputs!E:E,,0)</f>
        <v>-1.3</v>
      </c>
      <c r="F15" s="52">
        <f>_xlfn.XLOOKUP($A15,Inputs!$A:$A,Inputs!F:F,,0)</f>
        <v>-1.5</v>
      </c>
      <c r="G15" s="52">
        <f>_xlfn.XLOOKUP($A15,Inputs!$A:$A,Inputs!G:G,,0)</f>
        <v>1.4</v>
      </c>
      <c r="H15" s="52">
        <f>_xlfn.XLOOKUP($A15,Inputs!$A:$A,Inputs!H:H,,0)</f>
        <v>-1.1000000000000001</v>
      </c>
      <c r="I15" s="52">
        <f>_xlfn.XLOOKUP($A15,Inputs!$A:$A,Inputs!I:I,,0)</f>
        <v>0.1</v>
      </c>
      <c r="J15" s="52">
        <f>_xlfn.XLOOKUP($A15,Inputs!$A:$A,Inputs!J:J,,0)</f>
        <v>-5.6</v>
      </c>
      <c r="K15" s="52">
        <f>_xlfn.XLOOKUP($A15,Inputs!$A:$A,Inputs!K:K,,0)</f>
        <v>21.5</v>
      </c>
      <c r="L15" s="52">
        <f>_xlfn.XLOOKUP($A15,Inputs!$A:$A,Inputs!L:L,,0)</f>
        <v>-5.9</v>
      </c>
      <c r="M15" s="53">
        <f>_xlfn.XLOOKUP($A15,Inputs!$A:$A,Inputs!M:M,,0)</f>
        <v>39.200000000000003</v>
      </c>
    </row>
    <row r="16" spans="1:25">
      <c r="A16" s="112" t="s">
        <v>61</v>
      </c>
      <c r="B16" s="52">
        <f>B11-B15</f>
        <v>854.7</v>
      </c>
      <c r="C16" s="52">
        <f t="shared" ref="C16:M16" si="17">C11-C15</f>
        <v>974.09999999999991</v>
      </c>
      <c r="D16" s="52">
        <f t="shared" si="17"/>
        <v>900.4</v>
      </c>
      <c r="E16" s="52">
        <f t="shared" si="17"/>
        <v>447.1</v>
      </c>
      <c r="F16" s="52">
        <f t="shared" si="17"/>
        <v>856.9</v>
      </c>
      <c r="G16" s="52">
        <f t="shared" si="17"/>
        <v>838.30000000000007</v>
      </c>
      <c r="H16" s="52">
        <f t="shared" si="17"/>
        <v>762.1</v>
      </c>
      <c r="I16" s="52">
        <f t="shared" si="17"/>
        <v>827.5</v>
      </c>
      <c r="J16" s="52">
        <f t="shared" si="17"/>
        <v>878.40000000000009</v>
      </c>
      <c r="K16" s="52">
        <f t="shared" si="17"/>
        <v>781.7</v>
      </c>
      <c r="L16" s="52">
        <f t="shared" si="17"/>
        <v>734.59999999999991</v>
      </c>
      <c r="M16" s="53">
        <f t="shared" si="17"/>
        <v>616.69999999999993</v>
      </c>
      <c r="N16" s="50"/>
      <c r="O16" s="50"/>
      <c r="P16" s="50"/>
      <c r="Q16" s="50"/>
      <c r="R16" s="50"/>
      <c r="S16" s="50"/>
      <c r="T16" s="50"/>
      <c r="U16" s="50"/>
      <c r="V16" s="50"/>
      <c r="W16" s="50"/>
      <c r="X16" s="50"/>
      <c r="Y16" s="50"/>
    </row>
    <row r="17" spans="1:18">
      <c r="A17" s="110" t="s">
        <v>57</v>
      </c>
      <c r="B17" s="52">
        <f>_xlfn.XLOOKUP($A17,Inputs!$A:$A,Inputs!B:B,,0)</f>
        <v>246.8</v>
      </c>
      <c r="C17" s="52">
        <f>_xlfn.XLOOKUP($A17,Inputs!$A:$A,Inputs!C:C,,0)</f>
        <v>166.9</v>
      </c>
      <c r="D17" s="52">
        <f>_xlfn.XLOOKUP($A17,Inputs!$A:$A,Inputs!D:D,,0)</f>
        <v>207.2</v>
      </c>
      <c r="E17" s="52">
        <f>_xlfn.XLOOKUP($A17,Inputs!$A:$A,Inputs!E:E,,0)</f>
        <v>333.79999999999995</v>
      </c>
      <c r="F17" s="52">
        <f>_xlfn.XLOOKUP($A17,Inputs!$A:$A,Inputs!F:F,,0)</f>
        <v>263</v>
      </c>
      <c r="G17" s="52">
        <f>_xlfn.XLOOKUP($A17,Inputs!$A:$A,Inputs!G:G,,0)</f>
        <v>260.60000000000002</v>
      </c>
      <c r="H17" s="52">
        <f>_xlfn.XLOOKUP($A17,Inputs!$A:$A,Inputs!H:H,,0)</f>
        <v>123</v>
      </c>
      <c r="I17" s="52">
        <f>_xlfn.XLOOKUP($A17,Inputs!$A:$A,Inputs!I:I,,0)</f>
        <v>116.7</v>
      </c>
      <c r="J17" s="52">
        <f>_xlfn.XLOOKUP($A17,Inputs!$A:$A,Inputs!J:J,,0)</f>
        <v>118</v>
      </c>
      <c r="K17" s="52">
        <f>_xlfn.XLOOKUP($A17,Inputs!$A:$A,Inputs!K:K,,0)</f>
        <v>114.8</v>
      </c>
      <c r="L17" s="52">
        <f>_xlfn.XLOOKUP($A17,Inputs!$A:$A,Inputs!L:L,,0)</f>
        <v>117.4</v>
      </c>
      <c r="M17" s="53">
        <f>_xlfn.XLOOKUP($A17,Inputs!$A:$A,Inputs!M:M,,0)</f>
        <v>117.2</v>
      </c>
      <c r="N17" s="265"/>
    </row>
    <row r="18" spans="1:18">
      <c r="A18" s="112" t="s">
        <v>662</v>
      </c>
      <c r="B18" s="52">
        <f>_xlfn.XLOOKUP($A18,Inputs!$A:$A,Inputs!B:B,,0)</f>
        <v>-22.500000000000227</v>
      </c>
      <c r="C18" s="52">
        <f>_xlfn.XLOOKUP($A18,Inputs!$A:$A,Inputs!C:C,,0)</f>
        <v>270.10000000000014</v>
      </c>
      <c r="D18" s="52">
        <f>_xlfn.XLOOKUP($A18,Inputs!$A:$A,Inputs!D:D,,0)</f>
        <v>282.5</v>
      </c>
      <c r="E18" s="52">
        <f>_xlfn.XLOOKUP($A18,Inputs!$A:$A,Inputs!E:E,,0)</f>
        <v>-435.4000000000002</v>
      </c>
      <c r="F18" s="52">
        <f>_xlfn.XLOOKUP($A18,Inputs!$A:$A,Inputs!F:F,,0)</f>
        <v>341.20000000000016</v>
      </c>
      <c r="G18" s="52">
        <f>_xlfn.XLOOKUP($A18,Inputs!$A:$A,Inputs!G:G,,0)</f>
        <v>-251.40000000000009</v>
      </c>
      <c r="H18" s="52">
        <f>_xlfn.XLOOKUP($A18,Inputs!$A:$A,Inputs!H:H,,0)</f>
        <v>-56.699999999999818</v>
      </c>
      <c r="I18" s="52">
        <f>_xlfn.XLOOKUP($A18,Inputs!$A:$A,Inputs!I:I,,0)</f>
        <v>480.59999999999974</v>
      </c>
      <c r="J18" s="52">
        <f>_xlfn.XLOOKUP($A18,Inputs!$A:$A,Inputs!J:J,,0)</f>
        <v>-48.599999999999852</v>
      </c>
      <c r="K18" s="52">
        <f>_xlfn.XLOOKUP($A18,Inputs!$A:$A,Inputs!K:K,,0)</f>
        <v>-1575.4</v>
      </c>
      <c r="L18" s="52">
        <f>_xlfn.XLOOKUP($A18,Inputs!$A:$A,Inputs!L:L,,0)</f>
        <v>141.79999999999995</v>
      </c>
      <c r="M18" s="53">
        <f>_xlfn.XLOOKUP($A18,Inputs!$A:$A,Inputs!M:M,,0)</f>
        <v>1887.5</v>
      </c>
    </row>
    <row r="19" spans="1:18">
      <c r="A19" s="110" t="s">
        <v>53</v>
      </c>
      <c r="B19" s="52">
        <f>B11-B15+B17</f>
        <v>1101.5</v>
      </c>
      <c r="C19" s="52">
        <f t="shared" ref="C19:M19" si="18">C11-C15+C17</f>
        <v>1141</v>
      </c>
      <c r="D19" s="52">
        <f t="shared" si="18"/>
        <v>1107.5999999999999</v>
      </c>
      <c r="E19" s="52">
        <f t="shared" si="18"/>
        <v>780.9</v>
      </c>
      <c r="F19" s="52">
        <f t="shared" si="18"/>
        <v>1119.9000000000001</v>
      </c>
      <c r="G19" s="52">
        <f t="shared" si="18"/>
        <v>1098.9000000000001</v>
      </c>
      <c r="H19" s="52">
        <f t="shared" si="18"/>
        <v>885.1</v>
      </c>
      <c r="I19" s="52">
        <f t="shared" si="18"/>
        <v>944.2</v>
      </c>
      <c r="J19" s="52">
        <f t="shared" si="18"/>
        <v>996.40000000000009</v>
      </c>
      <c r="K19" s="52">
        <f t="shared" si="18"/>
        <v>896.5</v>
      </c>
      <c r="L19" s="52">
        <f t="shared" si="18"/>
        <v>851.99999999999989</v>
      </c>
      <c r="M19" s="53">
        <f t="shared" si="18"/>
        <v>733.9</v>
      </c>
    </row>
    <row r="20" spans="1:18" ht="12.95">
      <c r="A20" s="111" t="s">
        <v>663</v>
      </c>
      <c r="B20" s="54">
        <f t="shared" ref="B20" si="19">IFERROR(B19/B$5,"-")</f>
        <v>0.20060098342742669</v>
      </c>
      <c r="C20" s="54">
        <f t="shared" ref="C20" si="20">IFERROR(C19/C$5,"-")</f>
        <v>0.22665872069924514</v>
      </c>
      <c r="D20" s="54">
        <f t="shared" ref="D20" si="21">IFERROR(D19/D$5,"-")</f>
        <v>0.23943448842387427</v>
      </c>
      <c r="E20" s="54">
        <f t="shared" ref="E20" si="22">IFERROR(E19/E$5,"-")</f>
        <v>0.22094273426889993</v>
      </c>
      <c r="F20" s="54">
        <f t="shared" ref="F20" si="23">IFERROR(F19/F$5,"-")</f>
        <v>0.26250527401434537</v>
      </c>
      <c r="G20" s="54">
        <f t="shared" ref="G20" si="24">IFERROR(G19/G$5,"-")</f>
        <v>0.26368959063204883</v>
      </c>
      <c r="H20" s="54">
        <f t="shared" ref="H20" si="25">IFERROR(H19/H$5,"-")</f>
        <v>0.21824682529897671</v>
      </c>
      <c r="I20" s="54">
        <f t="shared" ref="I20" si="26">IFERROR(I19/I$5,"-")</f>
        <v>0.2304444390208186</v>
      </c>
      <c r="J20" s="54">
        <f t="shared" ref="J20" si="27">IFERROR(J19/J$5,"-")</f>
        <v>0.23855012090306213</v>
      </c>
      <c r="K20" s="54">
        <f t="shared" ref="K20" si="28">IFERROR(K19/K$5,"-")</f>
        <v>0.22413620681034049</v>
      </c>
      <c r="L20" s="54">
        <f t="shared" ref="L20" si="29">IFERROR(L19/L$5,"-")</f>
        <v>0.22780748663101602</v>
      </c>
      <c r="M20" s="55">
        <f t="shared" ref="M20" si="30">IFERROR(M19/M$5,"-")</f>
        <v>0.20598967104524529</v>
      </c>
      <c r="P20" s="265"/>
      <c r="Q20" s="265"/>
      <c r="R20" s="265"/>
    </row>
    <row r="21" spans="1:18">
      <c r="A21" s="110" t="s">
        <v>305</v>
      </c>
      <c r="B21" s="52">
        <f>_xlfn.XLOOKUP($A21,Inputs!$A:$A,Inputs!B:B,,0)</f>
        <v>-215.3</v>
      </c>
      <c r="C21" s="52">
        <f>_xlfn.XLOOKUP($A21,Inputs!$A:$A,Inputs!C:C,,0)</f>
        <v>-158.6</v>
      </c>
      <c r="D21" s="52">
        <f>_xlfn.XLOOKUP($A21,Inputs!$A:$A,Inputs!D:D,,0)</f>
        <v>-145.6</v>
      </c>
      <c r="E21" s="52">
        <f>_xlfn.XLOOKUP($A21,Inputs!$A:$A,Inputs!E:E,,0)</f>
        <v>-55.7</v>
      </c>
      <c r="F21" s="52">
        <f>_xlfn.XLOOKUP($A21,Inputs!$A:$A,Inputs!F:F,,0)</f>
        <v>-138.30000000000001</v>
      </c>
      <c r="G21" s="52">
        <f>_xlfn.XLOOKUP($A21,Inputs!$A:$A,Inputs!G:G,,0)</f>
        <v>-134.5</v>
      </c>
      <c r="H21" s="52">
        <f>_xlfn.XLOOKUP($A21,Inputs!$A:$A,Inputs!H:H,,0)</f>
        <v>-134.30000000000001</v>
      </c>
      <c r="I21" s="52">
        <f>_xlfn.XLOOKUP($A21,Inputs!$A:$A,Inputs!I:I,,0)</f>
        <v>-154.9</v>
      </c>
      <c r="J21" s="52">
        <f>_xlfn.XLOOKUP($A21,Inputs!$A:$A,Inputs!J:J,,0)</f>
        <v>-169.3</v>
      </c>
      <c r="K21" s="52">
        <f>_xlfn.XLOOKUP($A21,Inputs!$A:$A,Inputs!K:K,,0)</f>
        <v>-159.9</v>
      </c>
      <c r="L21" s="52">
        <f>_xlfn.XLOOKUP($A21,Inputs!$A:$A,Inputs!L:L,,0)</f>
        <v>-142</v>
      </c>
      <c r="M21" s="53">
        <f>_xlfn.XLOOKUP($A21,Inputs!$A:$A,Inputs!M:M,,0)</f>
        <v>-157.9</v>
      </c>
    </row>
    <row r="22" spans="1:18" ht="12.95">
      <c r="A22" s="111" t="s">
        <v>664</v>
      </c>
      <c r="B22" s="54">
        <f t="shared" ref="B22" si="31">IFERROR(B21/B$5,"-")</f>
        <v>-3.9209615734838832E-2</v>
      </c>
      <c r="C22" s="54">
        <f t="shared" ref="C22" si="32">IFERROR(C21/C$5,"-")</f>
        <v>-3.150576082638061E-2</v>
      </c>
      <c r="D22" s="54">
        <f t="shared" ref="D22" si="33">IFERROR(D21/D$5,"-")</f>
        <v>-3.1474956224734646E-2</v>
      </c>
      <c r="E22" s="54">
        <f t="shared" ref="E22" si="34">IFERROR(E21/E$5,"-")</f>
        <v>-1.5759393390674514E-2</v>
      </c>
      <c r="F22" s="54">
        <f t="shared" ref="F22" si="35">IFERROR(F21/F$5,"-")</f>
        <v>-3.2417608175894244E-2</v>
      </c>
      <c r="G22" s="54">
        <f t="shared" ref="G22" si="36">IFERROR(G21/G$5,"-")</f>
        <v>-3.2274319719729327E-2</v>
      </c>
      <c r="H22" s="54">
        <f t="shared" ref="H22" si="37">IFERROR(H21/H$5,"-")</f>
        <v>-3.3115522130440146E-2</v>
      </c>
      <c r="I22" s="54">
        <f t="shared" ref="I22" si="38">IFERROR(I21/I$5,"-")</f>
        <v>-3.7805384033387839E-2</v>
      </c>
      <c r="J22" s="54">
        <f t="shared" ref="J22" si="39">IFERROR(J21/J$5,"-")</f>
        <v>-4.0532452297158184E-2</v>
      </c>
      <c r="K22" s="54">
        <f t="shared" ref="K22" si="40">IFERROR(K21/K$5,"-")</f>
        <v>-3.9976998849942498E-2</v>
      </c>
      <c r="L22" s="54">
        <f t="shared" ref="L22" si="41">IFERROR(L21/L$5,"-")</f>
        <v>-3.7967914438502677E-2</v>
      </c>
      <c r="M22" s="55">
        <f t="shared" ref="M22" si="42">IFERROR(M21/M$5,"-")</f>
        <v>-4.4319074884921969E-2</v>
      </c>
    </row>
    <row r="23" spans="1:18">
      <c r="A23" s="110" t="s">
        <v>65</v>
      </c>
      <c r="B23" s="52">
        <f>_xlfn.XLOOKUP($A23,Inputs!$A:$A,Inputs!B:B,,0)</f>
        <v>800.5</v>
      </c>
      <c r="C23" s="52">
        <f>_xlfn.XLOOKUP($A23,Inputs!$A:$A,Inputs!C:C,,0)</f>
        <v>710.7</v>
      </c>
      <c r="D23" s="52">
        <f>_xlfn.XLOOKUP($A23,Inputs!$A:$A,Inputs!D:D,,0)</f>
        <v>677.5</v>
      </c>
      <c r="E23" s="52">
        <f>_xlfn.XLOOKUP($A23,Inputs!$A:$A,Inputs!E:E,,0)</f>
        <v>286.7</v>
      </c>
      <c r="F23" s="52">
        <f>_xlfn.XLOOKUP($A23,Inputs!$A:$A,Inputs!F:F,,0)</f>
        <v>610.20000000000005</v>
      </c>
      <c r="G23" s="52">
        <f>_xlfn.XLOOKUP($A23,Inputs!$A:$A,Inputs!G:G,,0)</f>
        <v>599.1</v>
      </c>
      <c r="H23" s="52">
        <f>_xlfn.XLOOKUP($A23,Inputs!$A:$A,Inputs!H:H,,0)</f>
        <v>591.79999999999995</v>
      </c>
      <c r="I23" s="52">
        <f>_xlfn.XLOOKUP($A23,Inputs!$A:$A,Inputs!I:I,,0)</f>
        <v>635.29999999999995</v>
      </c>
      <c r="J23" s="52">
        <f>_xlfn.XLOOKUP($A23,Inputs!$A:$A,Inputs!J:J,,0)</f>
        <v>666.8</v>
      </c>
      <c r="K23" s="52">
        <f>_xlfn.XLOOKUP($A23,Inputs!$A:$A,Inputs!K:K,,0)</f>
        <v>634.9</v>
      </c>
      <c r="L23" s="52">
        <f>_xlfn.XLOOKUP($A23,Inputs!$A:$A,Inputs!L:L,,0)</f>
        <v>553.20000000000005</v>
      </c>
      <c r="M23" s="53">
        <f>_xlfn.XLOOKUP($A23,Inputs!$A:$A,Inputs!M:M,,0)</f>
        <v>508.6</v>
      </c>
    </row>
    <row r="24" spans="1:18" ht="12.95">
      <c r="A24" s="111" t="s">
        <v>261</v>
      </c>
      <c r="B24" s="54">
        <f t="shared" ref="B24" si="43">IFERROR(B23/B$5,"-")</f>
        <v>0.14578401019850665</v>
      </c>
      <c r="C24" s="54">
        <f t="shared" ref="C24" si="44">IFERROR(C23/C$5,"-")</f>
        <v>0.14117997616209774</v>
      </c>
      <c r="D24" s="54">
        <f t="shared" ref="D24" si="45">IFERROR(D23/D$5,"-")</f>
        <v>0.14645798655396788</v>
      </c>
      <c r="E24" s="54">
        <f t="shared" ref="E24" si="46">IFERROR(E23/E$5,"-")</f>
        <v>8.1117021276595744E-2</v>
      </c>
      <c r="F24" s="54">
        <f t="shared" ref="F24" si="47">IFERROR(F23/F$5,"-")</f>
        <v>0.14303126904505181</v>
      </c>
      <c r="G24" s="54">
        <f t="shared" ref="G24" si="48">IFERROR(G23/G$5,"-")</f>
        <v>0.14375869846906947</v>
      </c>
      <c r="H24" s="54">
        <f t="shared" ref="H24" si="49">IFERROR(H23/H$5,"-")</f>
        <v>0.14592528664776228</v>
      </c>
      <c r="I24" s="54">
        <f t="shared" ref="I24" si="50">IFERROR(I23/I$5,"-")</f>
        <v>0.15505332780123493</v>
      </c>
      <c r="J24" s="54">
        <f t="shared" ref="J24" si="51">IFERROR(J23/J$5,"-")</f>
        <v>0.15963992434580671</v>
      </c>
      <c r="K24" s="54">
        <f t="shared" ref="K24" si="52">IFERROR(K23/K$5,"-")</f>
        <v>0.15873293664683233</v>
      </c>
      <c r="L24" s="54">
        <f t="shared" ref="L24" si="53">IFERROR(L23/L$5,"-")</f>
        <v>0.1479144385026738</v>
      </c>
      <c r="M24" s="55">
        <f t="shared" ref="M24" si="54">IFERROR(M23/M$5,"-")</f>
        <v>0.14275289098461885</v>
      </c>
    </row>
    <row r="25" spans="1:18" ht="12.95">
      <c r="A25" s="110" t="s">
        <v>656</v>
      </c>
      <c r="B25" s="54">
        <f t="shared" ref="B25" si="55">IFERROR(B24/C24-1,"-")</f>
        <v>3.2611097986889659E-2</v>
      </c>
      <c r="C25" s="54">
        <f t="shared" ref="C25" si="56">IFERROR(C24/D24-1,"-")</f>
        <v>-3.6037709626202341E-2</v>
      </c>
      <c r="D25" s="54">
        <f t="shared" ref="D25" si="57">IFERROR(D24/E24-1,"-")</f>
        <v>0.80551485063252204</v>
      </c>
      <c r="E25" s="54">
        <f t="shared" ref="E25" si="58">IFERROR(E24/F24-1,"-")</f>
        <v>-0.43287211378201784</v>
      </c>
      <c r="F25" s="54">
        <f t="shared" ref="F25" si="59">IFERROR(F24/G24-1,"-")</f>
        <v>-5.0600724113689655E-3</v>
      </c>
      <c r="G25" s="54">
        <f t="shared" ref="G25" si="60">IFERROR(G24/H24-1,"-")</f>
        <v>-1.4847242917689574E-2</v>
      </c>
      <c r="H25" s="54">
        <f t="shared" ref="H25" si="61">IFERROR(H24/I24-1,"-")</f>
        <v>-5.8870333729141411E-2</v>
      </c>
      <c r="I25" s="54">
        <f t="shared" ref="I25" si="62">IFERROR(I24/J24-1,"-")</f>
        <v>-2.8730886483236073E-2</v>
      </c>
      <c r="J25" s="54">
        <f t="shared" ref="J25" si="63">IFERROR(J24/K24-1,"-")</f>
        <v>5.713922504894775E-3</v>
      </c>
      <c r="K25" s="54">
        <f t="shared" ref="K25" si="64">IFERROR(K24/L24-1,"-")</f>
        <v>7.314024414163578E-2</v>
      </c>
      <c r="L25" s="54">
        <f t="shared" ref="L25" si="65">IFERROR(L24/M24-1,"-")</f>
        <v>3.6157218830763282E-2</v>
      </c>
      <c r="M25" s="55" t="str">
        <f>IFERROR(M24/#REF!-1,"-")</f>
        <v>-</v>
      </c>
    </row>
    <row r="26" spans="1:18">
      <c r="A26" s="111" t="s">
        <v>665</v>
      </c>
      <c r="B26" s="56">
        <f>B39-C39</f>
        <v>83.300000000000011</v>
      </c>
      <c r="C26" s="56">
        <f t="shared" ref="C26:M26" si="66">C39-D39</f>
        <v>-328</v>
      </c>
      <c r="D26" s="56">
        <f t="shared" si="66"/>
        <v>-175.20000000000005</v>
      </c>
      <c r="E26" s="56">
        <f t="shared" si="66"/>
        <v>521.6</v>
      </c>
      <c r="F26" s="56">
        <f t="shared" si="66"/>
        <v>-69.700000000000017</v>
      </c>
      <c r="G26" s="56">
        <f t="shared" si="66"/>
        <v>102.80000000000001</v>
      </c>
      <c r="H26" s="56">
        <f t="shared" si="66"/>
        <v>3.7999999999999972</v>
      </c>
      <c r="I26" s="56">
        <f t="shared" si="66"/>
        <v>-16.599999999999994</v>
      </c>
      <c r="J26" s="56">
        <f t="shared" si="66"/>
        <v>-209.2</v>
      </c>
      <c r="K26" s="56">
        <f t="shared" si="66"/>
        <v>2.1999999999999886</v>
      </c>
      <c r="L26" s="56">
        <f t="shared" si="66"/>
        <v>137</v>
      </c>
      <c r="M26" s="53">
        <f t="shared" si="66"/>
        <v>136.30000000000001</v>
      </c>
    </row>
    <row r="27" spans="1:18">
      <c r="A27" s="110" t="s">
        <v>135</v>
      </c>
      <c r="B27" s="52">
        <f>_xlfn.XLOOKUP($A27,Inputs!$A:$A,Inputs!B:B,,0)</f>
        <v>-248.3</v>
      </c>
      <c r="C27" s="52">
        <f>_xlfn.XLOOKUP($A27,Inputs!$A:$A,Inputs!C:C,,0)</f>
        <v>-237.4</v>
      </c>
      <c r="D27" s="52">
        <f>_xlfn.XLOOKUP($A27,Inputs!$A:$A,Inputs!D:D,,0)</f>
        <v>-344.5</v>
      </c>
      <c r="E27" s="52">
        <f>_xlfn.XLOOKUP($A27,Inputs!$A:$A,Inputs!E:E,,0)</f>
        <v>0</v>
      </c>
      <c r="F27" s="52">
        <f>_xlfn.XLOOKUP($A27,Inputs!$A:$A,Inputs!F:F,,0)</f>
        <v>-213.6</v>
      </c>
      <c r="G27" s="52">
        <f>_xlfn.XLOOKUP($A27,Inputs!$A:$A,Inputs!G:G,,0)</f>
        <v>-215.7</v>
      </c>
      <c r="H27" s="52">
        <f>_xlfn.XLOOKUP($A27,Inputs!$A:$A,Inputs!H:H,,0)</f>
        <v>-479.7</v>
      </c>
      <c r="I27" s="52">
        <f>_xlfn.XLOOKUP($A27,Inputs!$A:$A,Inputs!I:I,,0)</f>
        <v>-314.10000000000002</v>
      </c>
      <c r="J27" s="52">
        <f>_xlfn.XLOOKUP($A27,Inputs!$A:$A,Inputs!J:J,,0)</f>
        <v>-567.5</v>
      </c>
      <c r="K27" s="52">
        <f>_xlfn.XLOOKUP($A27,Inputs!$A:$A,Inputs!K:K,,0)</f>
        <v>-434.4</v>
      </c>
      <c r="L27" s="52">
        <f>_xlfn.XLOOKUP($A27,Inputs!$A:$A,Inputs!L:L,,0)</f>
        <v>-164.8</v>
      </c>
      <c r="M27" s="53">
        <f>_xlfn.XLOOKUP($A27,Inputs!$A:$A,Inputs!M:M,,0)</f>
        <v>-147.69999999999999</v>
      </c>
    </row>
    <row r="28" spans="1:18">
      <c r="A28" s="112" t="s">
        <v>666</v>
      </c>
      <c r="B28" s="52">
        <f>_xlfn.XLOOKUP($A28,Inputs!$A:$A,Inputs!B:B,,0)</f>
        <v>-177.3</v>
      </c>
      <c r="C28" s="52">
        <f>_xlfn.XLOOKUP($A28,Inputs!$A:$A,Inputs!C:C,,0)</f>
        <v>-228.5</v>
      </c>
      <c r="D28" s="52">
        <f>_xlfn.XLOOKUP($A28,Inputs!$A:$A,Inputs!D:D,,0)</f>
        <v>-8.6999999999999993</v>
      </c>
      <c r="E28" s="52">
        <f>_xlfn.XLOOKUP($A28,Inputs!$A:$A,Inputs!E:E,,0)</f>
        <v>-19.3</v>
      </c>
      <c r="F28" s="52">
        <f>_xlfn.XLOOKUP($A28,Inputs!$A:$A,Inputs!F:F,,0)</f>
        <v>-300.2</v>
      </c>
      <c r="G28" s="52">
        <f>_xlfn.XLOOKUP($A28,Inputs!$A:$A,Inputs!G:G,,0)</f>
        <v>-325</v>
      </c>
      <c r="H28" s="52">
        <f>_xlfn.XLOOKUP($A28,Inputs!$A:$A,Inputs!H:H,,0)</f>
        <v>-105.1</v>
      </c>
      <c r="I28" s="52">
        <f>_xlfn.XLOOKUP($A28,Inputs!$A:$A,Inputs!I:I,,0)</f>
        <v>-187.6</v>
      </c>
      <c r="J28" s="52">
        <f>_xlfn.XLOOKUP($A28,Inputs!$A:$A,Inputs!J:J,,0)</f>
        <v>-150.69999999999999</v>
      </c>
      <c r="K28" s="52">
        <f>_xlfn.XLOOKUP($A28,Inputs!$A:$A,Inputs!K:K,,0)</f>
        <v>-137.9</v>
      </c>
      <c r="L28" s="52">
        <f>_xlfn.XLOOKUP($A28,Inputs!$A:$A,Inputs!L:L,,0)</f>
        <v>-295.8</v>
      </c>
      <c r="M28" s="53">
        <f>_xlfn.XLOOKUP($A28,Inputs!$A:$A,Inputs!M:M,,0)</f>
        <v>-241.9</v>
      </c>
    </row>
    <row r="29" spans="1:18">
      <c r="A29" s="110" t="s">
        <v>127</v>
      </c>
      <c r="B29" s="56">
        <f>SUM(B26:B28)</f>
        <v>-342.3</v>
      </c>
      <c r="C29" s="56">
        <f t="shared" ref="C29:M29" si="67">SUM(C26:C28)</f>
        <v>-793.9</v>
      </c>
      <c r="D29" s="56">
        <f t="shared" si="67"/>
        <v>-528.40000000000009</v>
      </c>
      <c r="E29" s="56">
        <f t="shared" si="67"/>
        <v>502.3</v>
      </c>
      <c r="F29" s="56">
        <f t="shared" si="67"/>
        <v>-583.5</v>
      </c>
      <c r="G29" s="56">
        <f t="shared" si="67"/>
        <v>-437.9</v>
      </c>
      <c r="H29" s="56">
        <f t="shared" si="67"/>
        <v>-581</v>
      </c>
      <c r="I29" s="56">
        <f t="shared" si="67"/>
        <v>-518.30000000000007</v>
      </c>
      <c r="J29" s="56">
        <f t="shared" si="67"/>
        <v>-927.40000000000009</v>
      </c>
      <c r="K29" s="56">
        <f t="shared" si="67"/>
        <v>-570.1</v>
      </c>
      <c r="L29" s="56">
        <f t="shared" si="67"/>
        <v>-323.60000000000002</v>
      </c>
      <c r="M29" s="53">
        <f t="shared" si="67"/>
        <v>-253.29999999999998</v>
      </c>
    </row>
    <row r="30" spans="1:18">
      <c r="A30" s="112" t="s">
        <v>667</v>
      </c>
      <c r="B30" s="56">
        <f>+B29-(B58-C29)</f>
        <v>-3052.9</v>
      </c>
      <c r="C30" s="56">
        <f t="shared" ref="C30:M30" si="68">+C29-(C58-D29)</f>
        <v>-3238.3</v>
      </c>
      <c r="D30" s="56">
        <f t="shared" si="68"/>
        <v>-2087.6000000000004</v>
      </c>
      <c r="E30" s="56">
        <f t="shared" si="68"/>
        <v>-2523.1</v>
      </c>
      <c r="F30" s="56">
        <f t="shared" si="68"/>
        <v>-2258.8000000000002</v>
      </c>
      <c r="G30" s="56">
        <f t="shared" si="68"/>
        <v>-2301.4</v>
      </c>
      <c r="H30" s="56">
        <f t="shared" si="68"/>
        <v>-2187.8000000000002</v>
      </c>
      <c r="I30" s="56">
        <f t="shared" si="68"/>
        <v>-2394.5</v>
      </c>
      <c r="J30" s="56">
        <f t="shared" si="68"/>
        <v>-2454.9</v>
      </c>
      <c r="K30" s="56">
        <f t="shared" si="68"/>
        <v>-1734.6999999999998</v>
      </c>
      <c r="L30" s="56">
        <f t="shared" si="68"/>
        <v>-1380.3000000000002</v>
      </c>
      <c r="M30" s="53">
        <f t="shared" si="68"/>
        <v>-913.09999999999991</v>
      </c>
    </row>
    <row r="31" spans="1:18">
      <c r="A31" s="110" t="s">
        <v>668</v>
      </c>
      <c r="B31" s="56">
        <f>+B30+B33</f>
        <v>-3206.1</v>
      </c>
      <c r="C31" s="56">
        <f t="shared" ref="C31:L31" si="69">+C30+C33</f>
        <v>-3333.7000000000003</v>
      </c>
      <c r="D31" s="56">
        <f t="shared" si="69"/>
        <v>-2121.9000000000005</v>
      </c>
      <c r="E31" s="56">
        <f t="shared" si="69"/>
        <v>-2525.5</v>
      </c>
      <c r="F31" s="56">
        <f t="shared" si="69"/>
        <v>-2261.8000000000002</v>
      </c>
      <c r="G31" s="56">
        <f t="shared" si="69"/>
        <v>-2301.4</v>
      </c>
      <c r="H31" s="56">
        <f t="shared" si="69"/>
        <v>-2187.4</v>
      </c>
      <c r="I31" s="56">
        <f t="shared" si="69"/>
        <v>-2394.5</v>
      </c>
      <c r="J31" s="56">
        <f t="shared" si="69"/>
        <v>-2454.9</v>
      </c>
      <c r="K31" s="56">
        <f t="shared" si="69"/>
        <v>-1734.6999999999998</v>
      </c>
      <c r="L31" s="56">
        <f t="shared" si="69"/>
        <v>-1380.4</v>
      </c>
      <c r="M31" s="53">
        <f t="shared" ref="M31" si="70">+M30+M33</f>
        <v>-913.09999999999991</v>
      </c>
    </row>
    <row r="32" spans="1:18">
      <c r="A32" s="112" t="s">
        <v>132</v>
      </c>
      <c r="B32" s="52">
        <f>_xlfn.XLOOKUP($A32,Inputs!$A:$A,Inputs!B:B,,0)</f>
        <v>-125.7</v>
      </c>
      <c r="C32" s="52">
        <f>_xlfn.XLOOKUP($A32,Inputs!$A:$A,Inputs!C:C,,0)</f>
        <v>-163.39999999999998</v>
      </c>
      <c r="D32" s="52">
        <f>_xlfn.XLOOKUP($A32,Inputs!$A:$A,Inputs!D:D,,0)</f>
        <v>-224.7</v>
      </c>
      <c r="E32" s="52">
        <f>_xlfn.XLOOKUP($A32,Inputs!$A:$A,Inputs!E:E,,0)</f>
        <v>-115.69999999999999</v>
      </c>
      <c r="F32" s="52">
        <f>_xlfn.XLOOKUP($A32,Inputs!$A:$A,Inputs!F:F,,0)</f>
        <v>-136.1</v>
      </c>
      <c r="G32" s="52">
        <f>_xlfn.XLOOKUP($A32,Inputs!$A:$A,Inputs!G:G,,0)</f>
        <v>-122.9</v>
      </c>
      <c r="H32" s="52">
        <f>_xlfn.XLOOKUP($A32,Inputs!$A:$A,Inputs!H:H,,0)</f>
        <v>-111.8</v>
      </c>
      <c r="I32" s="52">
        <f>_xlfn.XLOOKUP($A32,Inputs!$A:$A,Inputs!I:I,,0)</f>
        <v>-154.30000000000001</v>
      </c>
      <c r="J32" s="52">
        <f>_xlfn.XLOOKUP($A32,Inputs!$A:$A,Inputs!J:J,,0)</f>
        <v>-147.30000000000001</v>
      </c>
      <c r="K32" s="52">
        <f>_xlfn.XLOOKUP($A32,Inputs!$A:$A,Inputs!K:K,,0)</f>
        <v>-111.6</v>
      </c>
      <c r="L32" s="52">
        <f>_xlfn.XLOOKUP($A32,Inputs!$A:$A,Inputs!L:L,,0)</f>
        <v>-102.5</v>
      </c>
      <c r="M32" s="53">
        <f>_xlfn.XLOOKUP($A32,Inputs!$A:$A,Inputs!M:M,,0)</f>
        <v>-85.600000000000009</v>
      </c>
    </row>
    <row r="33" spans="1:13">
      <c r="A33" s="110" t="s">
        <v>133</v>
      </c>
      <c r="B33" s="52">
        <f>_xlfn.XLOOKUP($A33,Inputs!$A:$A,Inputs!B:B,,0)</f>
        <v>-153.20000000000002</v>
      </c>
      <c r="C33" s="52">
        <f>_xlfn.XLOOKUP($A33,Inputs!$A:$A,Inputs!C:C,,0)</f>
        <v>-95.4</v>
      </c>
      <c r="D33" s="52">
        <f>_xlfn.XLOOKUP($A33,Inputs!$A:$A,Inputs!D:D,,0)</f>
        <v>-34.299999999999997</v>
      </c>
      <c r="E33" s="52">
        <f>_xlfn.XLOOKUP($A33,Inputs!$A:$A,Inputs!E:E,,0)</f>
        <v>-2.4</v>
      </c>
      <c r="F33" s="52">
        <f>_xlfn.XLOOKUP($A33,Inputs!$A:$A,Inputs!F:F,,0)</f>
        <v>-3</v>
      </c>
      <c r="G33" s="52">
        <f>_xlfn.XLOOKUP($A33,Inputs!$A:$A,Inputs!G:G,,0)</f>
        <v>0</v>
      </c>
      <c r="H33" s="52">
        <f>_xlfn.XLOOKUP($A33,Inputs!$A:$A,Inputs!H:H,,0)</f>
        <v>0.4</v>
      </c>
      <c r="I33" s="52">
        <f>_xlfn.XLOOKUP($A33,Inputs!$A:$A,Inputs!I:I,,0)</f>
        <v>0</v>
      </c>
      <c r="J33" s="52">
        <f>_xlfn.XLOOKUP($A33,Inputs!$A:$A,Inputs!J:J,,0)</f>
        <v>0</v>
      </c>
      <c r="K33" s="52">
        <f>_xlfn.XLOOKUP($A33,Inputs!$A:$A,Inputs!K:K,,0)</f>
        <v>0</v>
      </c>
      <c r="L33" s="52">
        <f>_xlfn.XLOOKUP($A33,Inputs!$A:$A,Inputs!L:L,,0)</f>
        <v>-0.1</v>
      </c>
      <c r="M33" s="53">
        <f>_xlfn.XLOOKUP($A33,Inputs!$A:$A,Inputs!M:M,,0)</f>
        <v>0</v>
      </c>
    </row>
    <row r="34" spans="1:13">
      <c r="A34" s="111" t="s">
        <v>128</v>
      </c>
      <c r="B34" s="56">
        <f t="shared" ref="B34:M34" si="71">+B32+B33</f>
        <v>-278.90000000000003</v>
      </c>
      <c r="C34" s="56">
        <f t="shared" si="71"/>
        <v>-258.79999999999995</v>
      </c>
      <c r="D34" s="56">
        <f t="shared" si="71"/>
        <v>-259</v>
      </c>
      <c r="E34" s="56">
        <f t="shared" si="71"/>
        <v>-118.1</v>
      </c>
      <c r="F34" s="56">
        <f t="shared" si="71"/>
        <v>-139.1</v>
      </c>
      <c r="G34" s="56">
        <f t="shared" si="71"/>
        <v>-122.9</v>
      </c>
      <c r="H34" s="56">
        <f t="shared" si="71"/>
        <v>-111.39999999999999</v>
      </c>
      <c r="I34" s="56">
        <f t="shared" si="71"/>
        <v>-154.30000000000001</v>
      </c>
      <c r="J34" s="56">
        <f t="shared" si="71"/>
        <v>-147.30000000000001</v>
      </c>
      <c r="K34" s="56">
        <f t="shared" si="71"/>
        <v>-111.6</v>
      </c>
      <c r="L34" s="56">
        <f t="shared" si="71"/>
        <v>-102.6</v>
      </c>
      <c r="M34" s="57">
        <f t="shared" si="71"/>
        <v>-85.600000000000009</v>
      </c>
    </row>
    <row r="35" spans="1:13">
      <c r="A35" s="110" t="s">
        <v>126</v>
      </c>
      <c r="B35" s="56">
        <f t="shared" ref="B35:M35" si="72">+B27+B28</f>
        <v>-425.6</v>
      </c>
      <c r="C35" s="56">
        <f t="shared" si="72"/>
        <v>-465.9</v>
      </c>
      <c r="D35" s="56">
        <f t="shared" si="72"/>
        <v>-353.2</v>
      </c>
      <c r="E35" s="56">
        <f t="shared" si="72"/>
        <v>-19.3</v>
      </c>
      <c r="F35" s="56">
        <f t="shared" si="72"/>
        <v>-513.79999999999995</v>
      </c>
      <c r="G35" s="56">
        <f t="shared" si="72"/>
        <v>-540.70000000000005</v>
      </c>
      <c r="H35" s="56">
        <f t="shared" si="72"/>
        <v>-584.79999999999995</v>
      </c>
      <c r="I35" s="56">
        <f t="shared" si="72"/>
        <v>-501.70000000000005</v>
      </c>
      <c r="J35" s="56">
        <f t="shared" si="72"/>
        <v>-718.2</v>
      </c>
      <c r="K35" s="56">
        <f t="shared" si="72"/>
        <v>-572.29999999999995</v>
      </c>
      <c r="L35" s="56">
        <f t="shared" si="72"/>
        <v>-460.6</v>
      </c>
      <c r="M35" s="57">
        <f t="shared" si="72"/>
        <v>-389.6</v>
      </c>
    </row>
    <row r="36" spans="1:13" ht="12.95">
      <c r="A36" s="112" t="s">
        <v>669</v>
      </c>
      <c r="B36" s="54">
        <f>IFERROR(B35/B23,"-")</f>
        <v>-0.53166770768269833</v>
      </c>
      <c r="C36" s="54">
        <f t="shared" ref="C36:M36" si="73">IFERROR(C35/C23,"-")</f>
        <v>-0.65555086534402696</v>
      </c>
      <c r="D36" s="54">
        <f t="shared" si="73"/>
        <v>-0.52132841328413282</v>
      </c>
      <c r="E36" s="54">
        <f t="shared" si="73"/>
        <v>-6.7317753749564016E-2</v>
      </c>
      <c r="F36" s="54">
        <f t="shared" si="73"/>
        <v>-0.84201901016060299</v>
      </c>
      <c r="G36" s="54">
        <f t="shared" si="73"/>
        <v>-0.90252044733767323</v>
      </c>
      <c r="H36" s="54">
        <f t="shared" si="73"/>
        <v>-0.98817167962149377</v>
      </c>
      <c r="I36" s="54">
        <f t="shared" si="73"/>
        <v>-0.78970565087360312</v>
      </c>
      <c r="J36" s="54">
        <f t="shared" si="73"/>
        <v>-1.0770845830833835</v>
      </c>
      <c r="K36" s="54">
        <f t="shared" si="73"/>
        <v>-0.90140179555835565</v>
      </c>
      <c r="L36" s="54">
        <f t="shared" si="73"/>
        <v>-0.83261026753434564</v>
      </c>
      <c r="M36" s="55">
        <f t="shared" si="73"/>
        <v>-0.76602438065277234</v>
      </c>
    </row>
    <row r="37" spans="1:13">
      <c r="A37" s="7"/>
      <c r="B37" s="45"/>
      <c r="C37" s="45"/>
      <c r="D37" s="45"/>
      <c r="E37" s="45"/>
      <c r="F37" s="45"/>
      <c r="G37" s="45"/>
      <c r="H37" s="45"/>
      <c r="I37" s="45"/>
      <c r="J37" s="45"/>
      <c r="K37" s="45"/>
      <c r="L37" s="45"/>
      <c r="M37" s="45"/>
    </row>
    <row r="38" spans="1:13" ht="20.100000000000001">
      <c r="A38" s="1511" t="s">
        <v>670</v>
      </c>
      <c r="B38" s="1511"/>
      <c r="C38" s="1511"/>
      <c r="D38" s="1511"/>
      <c r="E38" s="1511"/>
      <c r="F38" s="1511"/>
      <c r="G38" s="1511"/>
      <c r="H38" s="1511"/>
      <c r="I38" s="1511"/>
      <c r="J38" s="1511"/>
      <c r="K38" s="1511"/>
      <c r="L38" s="1511"/>
      <c r="M38" s="1511"/>
    </row>
    <row r="39" spans="1:13">
      <c r="A39" s="113" t="s">
        <v>308</v>
      </c>
      <c r="B39" s="52">
        <f>_xlfn.XLOOKUP($A39,Inputs!$A:$A,Inputs!B:B,,0)</f>
        <v>188.3</v>
      </c>
      <c r="C39" s="52">
        <f>_xlfn.XLOOKUP($A39,Inputs!$A:$A,Inputs!C:C,,0)</f>
        <v>105</v>
      </c>
      <c r="D39" s="52">
        <f>_xlfn.XLOOKUP($A39,Inputs!$A:$A,Inputs!D:D,,0)</f>
        <v>433</v>
      </c>
      <c r="E39" s="52">
        <f>_xlfn.XLOOKUP($A39,Inputs!$A:$A,Inputs!E:E,,0)</f>
        <v>608.20000000000005</v>
      </c>
      <c r="F39" s="52">
        <f>_xlfn.XLOOKUP($A39,Inputs!$A:$A,Inputs!F:F,,0)</f>
        <v>86.6</v>
      </c>
      <c r="G39" s="52">
        <f>_xlfn.XLOOKUP($A39,Inputs!$A:$A,Inputs!G:G,,0)</f>
        <v>156.30000000000001</v>
      </c>
      <c r="H39" s="52">
        <f>_xlfn.XLOOKUP($A39,Inputs!$A:$A,Inputs!H:H,,0)</f>
        <v>53.5</v>
      </c>
      <c r="I39" s="52">
        <f>_xlfn.XLOOKUP($A39,Inputs!$A:$A,Inputs!I:I,,0)</f>
        <v>49.7</v>
      </c>
      <c r="J39" s="52">
        <f>_xlfn.XLOOKUP($A39,Inputs!$A:$A,Inputs!J:J,,0)</f>
        <v>66.3</v>
      </c>
      <c r="K39" s="52">
        <f>_xlfn.XLOOKUP($A39,Inputs!$A:$A,Inputs!K:K,,0)</f>
        <v>275.5</v>
      </c>
      <c r="L39" s="52">
        <f>_xlfn.XLOOKUP($A39,Inputs!$A:$A,Inputs!L:L,,0)</f>
        <v>273.3</v>
      </c>
      <c r="M39" s="53">
        <f>_xlfn.XLOOKUP($A39,Inputs!$A:$A,Inputs!M:M,,0)</f>
        <v>136.30000000000001</v>
      </c>
    </row>
    <row r="40" spans="1:13">
      <c r="A40" s="111" t="s">
        <v>671</v>
      </c>
      <c r="B40" s="52">
        <f>_xlfn.XLOOKUP($A40,Inputs!$A:$A,Inputs!B:B,,0)</f>
        <v>1268.3999999999999</v>
      </c>
      <c r="C40" s="52">
        <f>_xlfn.XLOOKUP($A40,Inputs!$A:$A,Inputs!C:C,,0)</f>
        <v>1254.3999999999999</v>
      </c>
      <c r="D40" s="52">
        <f>_xlfn.XLOOKUP($A40,Inputs!$A:$A,Inputs!D:D,,0)</f>
        <v>1162.1999999999998</v>
      </c>
      <c r="E40" s="52">
        <f>_xlfn.XLOOKUP($A40,Inputs!$A:$A,Inputs!E:E,,0)</f>
        <v>1027.5</v>
      </c>
      <c r="F40" s="52">
        <f>_xlfn.XLOOKUP($A40,Inputs!$A:$A,Inputs!F:F,,0)</f>
        <v>1233.5999999999999</v>
      </c>
      <c r="G40" s="52">
        <f>_xlfn.XLOOKUP($A40,Inputs!$A:$A,Inputs!G:G,,0)</f>
        <v>1206.7</v>
      </c>
      <c r="H40" s="52">
        <f>_xlfn.XLOOKUP($A40,Inputs!$A:$A,Inputs!H:H,,0)</f>
        <v>1116.8</v>
      </c>
      <c r="I40" s="52">
        <f>_xlfn.XLOOKUP($A40,Inputs!$A:$A,Inputs!I:I,,0)</f>
        <v>1001.4999999999999</v>
      </c>
      <c r="J40" s="52">
        <f>_xlfn.XLOOKUP($A40,Inputs!$A:$A,Inputs!J:J,,0)</f>
        <v>941.9</v>
      </c>
      <c r="K40" s="52">
        <f>_xlfn.XLOOKUP($A40,Inputs!$A:$A,Inputs!K:K,,0)</f>
        <v>728.9</v>
      </c>
      <c r="L40" s="52">
        <f>_xlfn.XLOOKUP($A40,Inputs!$A:$A,Inputs!L:L,,0)</f>
        <v>692.4</v>
      </c>
      <c r="M40" s="53">
        <f>_xlfn.XLOOKUP($A40,Inputs!$A:$A,Inputs!M:M,,0)</f>
        <v>610.1</v>
      </c>
    </row>
    <row r="41" spans="1:13">
      <c r="A41" s="113" t="s">
        <v>310</v>
      </c>
      <c r="B41" s="52">
        <f>_xlfn.XLOOKUP($A41,Inputs!$A:$A,Inputs!B:B,,0)</f>
        <v>769</v>
      </c>
      <c r="C41" s="52" t="str">
        <f>_xlfn.XLOOKUP($A41,Inputs!$A:$A,Inputs!C:C,,0)</f>
        <v>662.2</v>
      </c>
      <c r="D41" s="52">
        <f>_xlfn.XLOOKUP($A41,Inputs!$A:$A,Inputs!D:D,,0)</f>
        <v>633</v>
      </c>
      <c r="E41" s="52">
        <f>_xlfn.XLOOKUP($A41,Inputs!$A:$A,Inputs!E:E,,0)</f>
        <v>536.9</v>
      </c>
      <c r="F41" s="52">
        <f>_xlfn.XLOOKUP($A41,Inputs!$A:$A,Inputs!F:F,,0)</f>
        <v>527.6</v>
      </c>
      <c r="G41" s="52">
        <f>_xlfn.XLOOKUP($A41,Inputs!$A:$A,Inputs!G:G,,0)</f>
        <v>502.8</v>
      </c>
      <c r="H41" s="52">
        <f>_xlfn.XLOOKUP($A41,Inputs!$A:$A,Inputs!H:H,,0)</f>
        <v>490.1</v>
      </c>
      <c r="I41" s="52">
        <f>_xlfn.XLOOKUP($A41,Inputs!$A:$A,Inputs!I:I,,0)</f>
        <v>451.1</v>
      </c>
      <c r="J41" s="52">
        <f>_xlfn.XLOOKUP($A41,Inputs!$A:$A,Inputs!J:J,,0)</f>
        <v>486.5</v>
      </c>
      <c r="K41" s="52">
        <f>_xlfn.XLOOKUP($A41,Inputs!$A:$A,Inputs!K:K,,0)</f>
        <v>416.8</v>
      </c>
      <c r="L41" s="52">
        <f>_xlfn.XLOOKUP($A41,Inputs!$A:$A,Inputs!L:L,,0)</f>
        <v>385.6</v>
      </c>
      <c r="M41" s="53">
        <f>_xlfn.XLOOKUP($A41,Inputs!$A:$A,Inputs!M:M,,0)</f>
        <v>331.8</v>
      </c>
    </row>
    <row r="42" spans="1:13">
      <c r="A42" s="111" t="s">
        <v>672</v>
      </c>
      <c r="B42" s="52">
        <f>_xlfn.XLOOKUP($A42,Inputs!$A:$A,Inputs!B:B,,0)</f>
        <v>687.5</v>
      </c>
      <c r="C42" s="52">
        <f>_xlfn.XLOOKUP($A42,Inputs!$A:$A,Inputs!C:C,,0)</f>
        <v>644.79999999999995</v>
      </c>
      <c r="D42" s="52">
        <f>_xlfn.XLOOKUP($A42,Inputs!$A:$A,Inputs!D:D,,0)</f>
        <v>601.1</v>
      </c>
      <c r="E42" s="52">
        <f>_xlfn.XLOOKUP($A42,Inputs!$A:$A,Inputs!E:E,,0)</f>
        <v>474.8</v>
      </c>
      <c r="F42" s="52">
        <f>_xlfn.XLOOKUP($A42,Inputs!$A:$A,Inputs!F:F,,0)</f>
        <v>578.5</v>
      </c>
      <c r="G42" s="52">
        <f>_xlfn.XLOOKUP($A42,Inputs!$A:$A,Inputs!G:G,,0)</f>
        <v>564.9</v>
      </c>
      <c r="H42" s="52">
        <f>_xlfn.XLOOKUP($A42,Inputs!$A:$A,Inputs!H:H,,0)</f>
        <v>558.9</v>
      </c>
      <c r="I42" s="52">
        <f>_xlfn.XLOOKUP($A42,Inputs!$A:$A,Inputs!I:I,,0)</f>
        <v>578.6</v>
      </c>
      <c r="J42" s="52">
        <f>_xlfn.XLOOKUP($A42,Inputs!$A:$A,Inputs!J:J,,0)</f>
        <v>536.4</v>
      </c>
      <c r="K42" s="52">
        <f>_xlfn.XLOOKUP($A42,Inputs!$A:$A,Inputs!K:K,,0)</f>
        <v>503.3</v>
      </c>
      <c r="L42" s="52">
        <f>_xlfn.XLOOKUP($A42,Inputs!$A:$A,Inputs!L:L,,0)</f>
        <v>509.2</v>
      </c>
      <c r="M42" s="53">
        <f>_xlfn.XLOOKUP($A42,Inputs!$A:$A,Inputs!M:M,,0)</f>
        <v>537.29999999999995</v>
      </c>
    </row>
    <row r="43" spans="1:13">
      <c r="A43" s="113" t="s">
        <v>673</v>
      </c>
      <c r="B43" s="52">
        <f>_xlfn.XLOOKUP($A43,Inputs!$A:$A,Inputs!B:B,,0)</f>
        <v>1038.5000000000005</v>
      </c>
      <c r="C43" s="52">
        <f>_xlfn.XLOOKUP($A43,Inputs!$A:$A,Inputs!C:C,,0)</f>
        <v>1203.0000000000005</v>
      </c>
      <c r="D43" s="52">
        <f>_xlfn.XLOOKUP($A43,Inputs!$A:$A,Inputs!D:D,,0)</f>
        <v>1106.3000000000002</v>
      </c>
      <c r="E43" s="52">
        <f>_xlfn.XLOOKUP($A43,Inputs!$A:$A,Inputs!E:E,,0)</f>
        <v>1105.6000000000001</v>
      </c>
      <c r="F43" s="52">
        <f>_xlfn.XLOOKUP($A43,Inputs!$A:$A,Inputs!F:F,,0)</f>
        <v>1242.0000000000005</v>
      </c>
      <c r="G43" s="52">
        <f>_xlfn.XLOOKUP($A43,Inputs!$A:$A,Inputs!G:G,,0)</f>
        <v>1306.8</v>
      </c>
      <c r="H43" s="52">
        <f>_xlfn.XLOOKUP($A43,Inputs!$A:$A,Inputs!H:H,,0)</f>
        <v>340.09999999999991</v>
      </c>
      <c r="I43" s="52">
        <f>_xlfn.XLOOKUP($A43,Inputs!$A:$A,Inputs!I:I,,0)</f>
        <v>321.80000000000041</v>
      </c>
      <c r="J43" s="52">
        <f>_xlfn.XLOOKUP($A43,Inputs!$A:$A,Inputs!J:J,,0)</f>
        <v>296.80000000000007</v>
      </c>
      <c r="K43" s="52">
        <f>_xlfn.XLOOKUP($A43,Inputs!$A:$A,Inputs!K:K,,0)</f>
        <v>355.7000000000001</v>
      </c>
      <c r="L43" s="52">
        <f>_xlfn.XLOOKUP($A43,Inputs!$A:$A,Inputs!L:L,,0)</f>
        <v>276.1999999999997</v>
      </c>
      <c r="M43" s="53">
        <f>_xlfn.XLOOKUP($A43,Inputs!$A:$A,Inputs!M:M,,0)</f>
        <v>270.89999999999986</v>
      </c>
    </row>
    <row r="44" spans="1:13" ht="12.95">
      <c r="A44" s="114" t="s">
        <v>42</v>
      </c>
      <c r="B44" s="58">
        <f>_xlfn.XLOOKUP($A44,Inputs!$A:$A,Inputs!B:B,,0)</f>
        <v>4724.3</v>
      </c>
      <c r="C44" s="58">
        <f>_xlfn.XLOOKUP($A44,Inputs!$A:$A,Inputs!C:C,,0)</f>
        <v>3983.8</v>
      </c>
      <c r="D44" s="58">
        <f>_xlfn.XLOOKUP($A44,Inputs!$A:$A,Inputs!D:D,,0)</f>
        <v>3981.8</v>
      </c>
      <c r="E44" s="58">
        <f>_xlfn.XLOOKUP($A44,Inputs!$A:$A,Inputs!E:E,,0)</f>
        <v>3758</v>
      </c>
      <c r="F44" s="58">
        <f>_xlfn.XLOOKUP($A44,Inputs!$A:$A,Inputs!F:F,,0)</f>
        <v>3673.3</v>
      </c>
      <c r="G44" s="58">
        <f>_xlfn.XLOOKUP($A44,Inputs!$A:$A,Inputs!G:G,,0)</f>
        <v>3742.6</v>
      </c>
      <c r="H44" s="58">
        <f>_xlfn.XLOOKUP($A44,Inputs!$A:$A,Inputs!H:H,,0)</f>
        <v>2561.5</v>
      </c>
      <c r="I44" s="58">
        <f>_xlfn.XLOOKUP($A44,Inputs!$A:$A,Inputs!I:I,,0)</f>
        <v>2404.8000000000002</v>
      </c>
      <c r="J44" s="58">
        <f>_xlfn.XLOOKUP($A44,Inputs!$A:$A,Inputs!J:J,,0)</f>
        <v>2330.1</v>
      </c>
      <c r="K44" s="58">
        <f>_xlfn.XLOOKUP($A44,Inputs!$A:$A,Inputs!K:K,,0)</f>
        <v>2282.3000000000002</v>
      </c>
      <c r="L44" s="58">
        <f>_xlfn.XLOOKUP($A44,Inputs!$A:$A,Inputs!L:L,,0)</f>
        <v>2144.6</v>
      </c>
      <c r="M44" s="58">
        <f>_xlfn.XLOOKUP($A44,Inputs!$A:$A,Inputs!M:M,,0)</f>
        <v>1893.6</v>
      </c>
    </row>
    <row r="45" spans="1:13">
      <c r="B45"/>
      <c r="C45"/>
      <c r="D45"/>
      <c r="E45"/>
      <c r="F45"/>
      <c r="G45"/>
      <c r="H45"/>
      <c r="I45"/>
      <c r="J45"/>
      <c r="K45"/>
      <c r="L45"/>
      <c r="M45"/>
    </row>
    <row r="46" spans="1:13">
      <c r="B46"/>
      <c r="C46"/>
      <c r="D46"/>
      <c r="E46"/>
      <c r="F46"/>
      <c r="G46"/>
      <c r="H46"/>
      <c r="I46"/>
      <c r="J46"/>
      <c r="K46"/>
      <c r="L46"/>
      <c r="M46"/>
    </row>
    <row r="47" spans="1:13" ht="20.100000000000001">
      <c r="A47" s="1511" t="s">
        <v>674</v>
      </c>
      <c r="B47" s="1511"/>
      <c r="C47" s="1511"/>
      <c r="D47" s="1511"/>
      <c r="E47" s="1511"/>
      <c r="F47" s="1511"/>
      <c r="G47" s="1511"/>
      <c r="H47" s="1511"/>
      <c r="I47" s="1511"/>
      <c r="J47" s="1511"/>
      <c r="K47" s="1511"/>
      <c r="L47" s="1511"/>
      <c r="M47" s="1511"/>
    </row>
    <row r="48" spans="1:13" ht="12.95">
      <c r="A48" s="115" t="s">
        <v>314</v>
      </c>
      <c r="B48" s="58">
        <f>_xlfn.XLOOKUP($A48,Inputs!$A:$A,Inputs!B:B,,0)</f>
        <v>1245.7</v>
      </c>
      <c r="C48" s="58">
        <f>_xlfn.XLOOKUP($A48,Inputs!$A:$A,Inputs!C:C,,0)</f>
        <v>1093.3</v>
      </c>
      <c r="D48" s="58">
        <f>_xlfn.XLOOKUP($A48,Inputs!$A:$A,Inputs!D:D,,0)</f>
        <v>1208.0999999999999</v>
      </c>
      <c r="E48" s="58">
        <f>_xlfn.XLOOKUP($A48,Inputs!$A:$A,Inputs!E:E,,0)</f>
        <v>1196.8</v>
      </c>
      <c r="F48" s="58">
        <f>_xlfn.XLOOKUP($A48,Inputs!$A:$A,Inputs!F:F,,0)</f>
        <v>949.8</v>
      </c>
      <c r="G48" s="58">
        <f>_xlfn.XLOOKUP($A48,Inputs!$A:$A,Inputs!G:G,,0)</f>
        <v>1243.7</v>
      </c>
      <c r="H48" s="58">
        <f>_xlfn.XLOOKUP($A48,Inputs!$A:$A,Inputs!H:H,,0)</f>
        <v>914.8</v>
      </c>
      <c r="I48" s="58">
        <f>_xlfn.XLOOKUP($A48,Inputs!$A:$A,Inputs!I:I,,0)</f>
        <v>725</v>
      </c>
      <c r="J48" s="58">
        <f>_xlfn.XLOOKUP($A48,Inputs!$A:$A,Inputs!J:J,,0)</f>
        <v>1170.5999999999999</v>
      </c>
      <c r="K48" s="58">
        <f>_xlfn.XLOOKUP($A48,Inputs!$A:$A,Inputs!K:K,,0)</f>
        <v>886.6</v>
      </c>
      <c r="L48" s="58">
        <f>_xlfn.XLOOKUP($A48,Inputs!$A:$A,Inputs!L:L,,0)</f>
        <v>-834.5</v>
      </c>
      <c r="M48" s="58">
        <f>_xlfn.XLOOKUP($A48,Inputs!$A:$A,Inputs!M:M,,0)</f>
        <v>-816</v>
      </c>
    </row>
    <row r="49" spans="1:13">
      <c r="A49" s="116" t="s">
        <v>675</v>
      </c>
      <c r="B49" s="52" t="str">
        <f>_xlfn.XLOOKUP($A49,Inputs!$A:$A,Inputs!B:B,,0)</f>
        <v xml:space="preserve">58.7 </v>
      </c>
      <c r="C49" s="52">
        <f>_xlfn.XLOOKUP($A49,Inputs!$A:$A,Inputs!C:C,,0)</f>
        <v>102.3</v>
      </c>
      <c r="D49" s="52">
        <f>_xlfn.XLOOKUP($A49,Inputs!$A:$A,Inputs!D:D,,0)</f>
        <v>233.1</v>
      </c>
      <c r="E49" s="52">
        <f>_xlfn.XLOOKUP($A49,Inputs!$A:$A,Inputs!E:E,,0)</f>
        <v>93.4</v>
      </c>
      <c r="F49" s="52">
        <f>_xlfn.XLOOKUP($A49,Inputs!$A:$A,Inputs!F:F,,0)</f>
        <v>73.7</v>
      </c>
      <c r="G49" s="52">
        <f>_xlfn.XLOOKUP($A49,Inputs!$A:$A,Inputs!G:G,,0)</f>
        <v>377.3</v>
      </c>
      <c r="H49" s="52">
        <f>_xlfn.XLOOKUP($A49,Inputs!$A:$A,Inputs!H:H,,0)</f>
        <v>180</v>
      </c>
      <c r="I49" s="52">
        <f>_xlfn.XLOOKUP($A49,Inputs!$A:$A,Inputs!I:I,,0)</f>
        <v>35.299999999999997</v>
      </c>
      <c r="J49" s="52">
        <f>_xlfn.XLOOKUP($A49,Inputs!$A:$A,Inputs!J:J,,0)</f>
        <v>128.6</v>
      </c>
      <c r="K49" s="52">
        <f>_xlfn.XLOOKUP($A49,Inputs!$A:$A,Inputs!K:K,,0)</f>
        <v>2.8</v>
      </c>
      <c r="L49" s="52">
        <f>_xlfn.XLOOKUP($A49,Inputs!$A:$A,Inputs!L:L,,0)</f>
        <v>2.6</v>
      </c>
      <c r="M49" s="52">
        <f>_xlfn.XLOOKUP($A49,Inputs!$A:$A,Inputs!M:M,,0)</f>
        <v>5.4</v>
      </c>
    </row>
    <row r="50" spans="1:13">
      <c r="A50" s="110" t="s">
        <v>676</v>
      </c>
      <c r="B50" s="52">
        <f>_xlfn.XLOOKUP($A50,Inputs!$A:$A,Inputs!B:B,,0)</f>
        <v>167.8</v>
      </c>
      <c r="C50" s="52">
        <f>_xlfn.XLOOKUP($A50,Inputs!$A:$A,Inputs!C:C,,0)</f>
        <v>146.19999999999999</v>
      </c>
      <c r="D50" s="52">
        <f>_xlfn.XLOOKUP($A50,Inputs!$A:$A,Inputs!D:D,,0)</f>
        <v>162.6</v>
      </c>
      <c r="E50" s="52">
        <f>_xlfn.XLOOKUP($A50,Inputs!$A:$A,Inputs!E:E,,0)</f>
        <v>170.1</v>
      </c>
      <c r="F50" s="52">
        <f>_xlfn.XLOOKUP($A50,Inputs!$A:$A,Inputs!F:F,,0)</f>
        <v>0</v>
      </c>
      <c r="G50" s="52">
        <f>_xlfn.XLOOKUP($A50,Inputs!$A:$A,Inputs!G:G,,0)</f>
        <v>0</v>
      </c>
      <c r="H50" s="52">
        <f>_xlfn.XLOOKUP($A50,Inputs!$A:$A,Inputs!H:H,,0)</f>
        <v>0</v>
      </c>
      <c r="I50" s="52">
        <f>_xlfn.XLOOKUP($A50,Inputs!$A:$A,Inputs!I:I,,0)</f>
        <v>0</v>
      </c>
      <c r="J50" s="52">
        <f>_xlfn.XLOOKUP($A50,Inputs!$A:$A,Inputs!J:J,,0)</f>
        <v>0</v>
      </c>
      <c r="K50" s="52">
        <f>_xlfn.XLOOKUP($A50,Inputs!$A:$A,Inputs!K:K,,0)</f>
        <v>0</v>
      </c>
      <c r="L50" s="52">
        <f>_xlfn.XLOOKUP($A50,Inputs!$A:$A,Inputs!L:L,,0)</f>
        <v>0</v>
      </c>
      <c r="M50" s="52">
        <f>_xlfn.XLOOKUP($A50,Inputs!$A:$A,Inputs!M:M,,0)</f>
        <v>0</v>
      </c>
    </row>
    <row r="51" spans="1:13">
      <c r="A51" s="111" t="s">
        <v>677</v>
      </c>
      <c r="B51" s="52">
        <f>_xlfn.XLOOKUP($A51,Inputs!$A:$A,Inputs!B:B,,0)</f>
        <v>86.100000000000136</v>
      </c>
      <c r="C51" s="52">
        <f>_xlfn.XLOOKUP($A51,Inputs!$A:$A,Inputs!C:C,,0)</f>
        <v>53.700000000000045</v>
      </c>
      <c r="D51" s="52">
        <f>_xlfn.XLOOKUP($A51,Inputs!$A:$A,Inputs!D:D,,0)</f>
        <v>14</v>
      </c>
      <c r="E51" s="52">
        <f>_xlfn.XLOOKUP($A51,Inputs!$A:$A,Inputs!E:E,,0)</f>
        <v>378</v>
      </c>
      <c r="F51" s="52">
        <f>_xlfn.XLOOKUP($A51,Inputs!$A:$A,Inputs!F:F,,0)</f>
        <v>284.09999999999991</v>
      </c>
      <c r="G51" s="52">
        <f>_xlfn.XLOOKUP($A51,Inputs!$A:$A,Inputs!G:G,,0)</f>
        <v>270.10000000000014</v>
      </c>
      <c r="H51" s="52">
        <f>_xlfn.XLOOKUP($A51,Inputs!$A:$A,Inputs!H:H,,0)</f>
        <v>154.59999999999991</v>
      </c>
      <c r="I51" s="52">
        <f>_xlfn.XLOOKUP($A51,Inputs!$A:$A,Inputs!I:I,,0)</f>
        <v>73.900000000000091</v>
      </c>
      <c r="J51" s="52">
        <f>_xlfn.XLOOKUP($A51,Inputs!$A:$A,Inputs!J:J,,0)</f>
        <v>368.49999999999989</v>
      </c>
      <c r="K51" s="52">
        <f>_xlfn.XLOOKUP($A51,Inputs!$A:$A,Inputs!K:K,,0)</f>
        <v>247.30000000000007</v>
      </c>
      <c r="L51" s="52">
        <f>_xlfn.XLOOKUP($A51,Inputs!$A:$A,Inputs!L:L,,0)</f>
        <v>-1431.1</v>
      </c>
      <c r="M51" s="52">
        <f>_xlfn.XLOOKUP($A51,Inputs!$A:$A,Inputs!M:M,,0)</f>
        <v>-1358.6</v>
      </c>
    </row>
    <row r="52" spans="1:13" ht="12.95">
      <c r="A52" s="115" t="s">
        <v>678</v>
      </c>
      <c r="B52" s="58">
        <f>_xlfn.XLOOKUP($A52,Inputs!$A:$A,Inputs!B:B,,0)</f>
        <v>1966.7</v>
      </c>
      <c r="C52" s="58">
        <f>_xlfn.XLOOKUP($A52,Inputs!$A:$A,Inputs!C:C,,0)</f>
        <v>1730.0000000000002</v>
      </c>
      <c r="D52" s="58">
        <f>_xlfn.XLOOKUP($A52,Inputs!$A:$A,Inputs!D:D,,0)</f>
        <v>1763.7000000000003</v>
      </c>
      <c r="E52" s="58">
        <f>_xlfn.XLOOKUP($A52,Inputs!$A:$A,Inputs!E:E,,0)</f>
        <v>1900.3</v>
      </c>
      <c r="F52" s="58">
        <f>_xlfn.XLOOKUP($A52,Inputs!$A:$A,Inputs!F:F,,0)</f>
        <v>2282</v>
      </c>
      <c r="G52" s="58">
        <f>_xlfn.XLOOKUP($A52,Inputs!$A:$A,Inputs!G:G,,0)</f>
        <v>2132.6999999999998</v>
      </c>
      <c r="H52" s="58">
        <f>_xlfn.XLOOKUP($A52,Inputs!$A:$A,Inputs!H:H,,0)</f>
        <v>1164.1000000000001</v>
      </c>
      <c r="I52" s="58">
        <f>_xlfn.XLOOKUP($A52,Inputs!$A:$A,Inputs!I:I,,0)</f>
        <v>1169.3</v>
      </c>
      <c r="J52" s="58">
        <f>_xlfn.XLOOKUP($A52,Inputs!$A:$A,Inputs!J:J,,0)</f>
        <v>847.7</v>
      </c>
      <c r="K52" s="58">
        <f>_xlfn.XLOOKUP($A52,Inputs!$A:$A,Inputs!K:K,,0)</f>
        <v>1073.6999999999998</v>
      </c>
      <c r="L52" s="58">
        <f>_xlfn.XLOOKUP($A52,Inputs!$A:$A,Inputs!L:L,,0)</f>
        <v>-1023.9000000000001</v>
      </c>
      <c r="M52" s="58">
        <f>_xlfn.XLOOKUP($A52,Inputs!$A:$A,Inputs!M:M,,0)</f>
        <v>-792</v>
      </c>
    </row>
    <row r="53" spans="1:13">
      <c r="A53" s="116" t="s">
        <v>679</v>
      </c>
      <c r="B53" s="52">
        <f>_xlfn.XLOOKUP($A53,Inputs!$A:$A,Inputs!B:B,,0)</f>
        <v>820.3</v>
      </c>
      <c r="C53" s="52">
        <f>_xlfn.XLOOKUP($A53,Inputs!$A:$A,Inputs!C:C,,0)</f>
        <v>790.7</v>
      </c>
      <c r="D53" s="52">
        <f>_xlfn.XLOOKUP($A53,Inputs!$A:$A,Inputs!D:D,,0)</f>
        <v>815.7</v>
      </c>
      <c r="E53" s="52">
        <f>_xlfn.XLOOKUP($A53,Inputs!$A:$A,Inputs!E:E,,0)</f>
        <v>1163</v>
      </c>
      <c r="F53" s="52">
        <f>_xlfn.XLOOKUP($A53,Inputs!$A:$A,Inputs!F:F,,0)</f>
        <v>1163.7</v>
      </c>
      <c r="G53" s="52">
        <f>_xlfn.XLOOKUP($A53,Inputs!$A:$A,Inputs!G:G,,0)</f>
        <v>905.2</v>
      </c>
      <c r="H53" s="52">
        <f>_xlfn.XLOOKUP($A53,Inputs!$A:$A,Inputs!H:H,,0)</f>
        <v>908.5</v>
      </c>
      <c r="I53" s="52">
        <f>_xlfn.XLOOKUP($A53,Inputs!$A:$A,Inputs!I:I,,0)</f>
        <v>913.5</v>
      </c>
      <c r="J53" s="52">
        <f>_xlfn.XLOOKUP($A53,Inputs!$A:$A,Inputs!J:J,,0)</f>
        <v>828.8</v>
      </c>
      <c r="K53" s="52">
        <f>_xlfn.XLOOKUP($A53,Inputs!$A:$A,Inputs!K:K,,0)</f>
        <v>838.2</v>
      </c>
      <c r="L53" s="52">
        <f>_xlfn.XLOOKUP($A53,Inputs!$A:$A,Inputs!L:L,,0)</f>
        <v>800.8</v>
      </c>
      <c r="M53" s="52">
        <f>_xlfn.XLOOKUP($A53,Inputs!$A:$A,Inputs!M:M,,0)</f>
        <v>654.4</v>
      </c>
    </row>
    <row r="54" spans="1:13">
      <c r="A54" s="110" t="s">
        <v>680</v>
      </c>
      <c r="B54" s="52">
        <f>_xlfn.XLOOKUP($A54,Inputs!$A:$A,Inputs!B:B,,0)</f>
        <v>869.9</v>
      </c>
      <c r="C54" s="52">
        <f>_xlfn.XLOOKUP($A54,Inputs!$A:$A,Inputs!C:C,,0)</f>
        <v>877.1</v>
      </c>
      <c r="D54" s="52" t="str">
        <f>_xlfn.XLOOKUP($A54,Inputs!$A:$A,Inputs!D:D,,0)</f>
        <v>894.9</v>
      </c>
      <c r="E54" s="52" t="str">
        <f>_xlfn.XLOOKUP($A54,Inputs!$A:$A,Inputs!E:E,,0)</f>
        <v>1,015.8</v>
      </c>
      <c r="F54" s="52">
        <f>_xlfn.XLOOKUP($A54,Inputs!$A:$A,Inputs!F:F,,0)</f>
        <v>0</v>
      </c>
      <c r="G54" s="52">
        <f>_xlfn.XLOOKUP($A54,Inputs!$A:$A,Inputs!G:G,,0)</f>
        <v>0</v>
      </c>
      <c r="H54" s="52">
        <f>_xlfn.XLOOKUP($A54,Inputs!$A:$A,Inputs!H:H,,0)</f>
        <v>0</v>
      </c>
      <c r="I54" s="52">
        <f>_xlfn.XLOOKUP($A54,Inputs!$A:$A,Inputs!I:I,,0)</f>
        <v>0</v>
      </c>
      <c r="J54" s="52">
        <f>_xlfn.XLOOKUP($A54,Inputs!$A:$A,Inputs!J:J,,0)</f>
        <v>0</v>
      </c>
      <c r="K54" s="52">
        <f>_xlfn.XLOOKUP($A54,Inputs!$A:$A,Inputs!K:K,,0)</f>
        <v>0</v>
      </c>
      <c r="L54" s="52">
        <f>_xlfn.XLOOKUP($A54,Inputs!$A:$A,Inputs!L:L,,0)</f>
        <v>0</v>
      </c>
      <c r="M54" s="52">
        <f>_xlfn.XLOOKUP($A54,Inputs!$A:$A,Inputs!M:M,,0)</f>
        <v>0</v>
      </c>
    </row>
    <row r="55" spans="1:13">
      <c r="A55" s="111" t="s">
        <v>681</v>
      </c>
      <c r="B55" s="52">
        <f>_xlfn.XLOOKUP($A55,Inputs!$A:$A,Inputs!B:B,,0)</f>
        <v>276.50000000000023</v>
      </c>
      <c r="C55" s="52">
        <f>_xlfn.XLOOKUP($A55,Inputs!$A:$A,Inputs!C:C,,0)</f>
        <v>62.200000000000045</v>
      </c>
      <c r="D55" s="52">
        <f>_xlfn.XLOOKUP($A55,Inputs!$A:$A,Inputs!D:D,,0)</f>
        <v>948.00000000000023</v>
      </c>
      <c r="E55" s="52">
        <f>_xlfn.XLOOKUP($A55,Inputs!$A:$A,Inputs!E:E,,0)</f>
        <v>737.3</v>
      </c>
      <c r="F55" s="52">
        <f>_xlfn.XLOOKUP($A55,Inputs!$A:$A,Inputs!F:F,,0)</f>
        <v>1118.3</v>
      </c>
      <c r="G55" s="52">
        <f>_xlfn.XLOOKUP($A55,Inputs!$A:$A,Inputs!G:G,,0)</f>
        <v>1227.4999999999998</v>
      </c>
      <c r="H55" s="52">
        <f>_xlfn.XLOOKUP($A55,Inputs!$A:$A,Inputs!H:H,,0)</f>
        <v>255.60000000000014</v>
      </c>
      <c r="I55" s="52">
        <f>_xlfn.XLOOKUP($A55,Inputs!$A:$A,Inputs!I:I,,0)</f>
        <v>255.79999999999995</v>
      </c>
      <c r="J55" s="52">
        <f>_xlfn.XLOOKUP($A55,Inputs!$A:$A,Inputs!J:J,,0)</f>
        <v>18.900000000000091</v>
      </c>
      <c r="K55" s="52">
        <f>_xlfn.XLOOKUP($A55,Inputs!$A:$A,Inputs!K:K,,0)</f>
        <v>235.49999999999977</v>
      </c>
      <c r="L55" s="52">
        <f>_xlfn.XLOOKUP($A55,Inputs!$A:$A,Inputs!L:L,,0)</f>
        <v>-1824.7</v>
      </c>
      <c r="M55" s="52">
        <f>_xlfn.XLOOKUP($A55,Inputs!$A:$A,Inputs!M:M,,0)</f>
        <v>-1446.4</v>
      </c>
    </row>
    <row r="56" spans="1:13" ht="12.95">
      <c r="A56" s="115" t="s">
        <v>48</v>
      </c>
      <c r="B56" s="58">
        <f>_xlfn.XLOOKUP($A56,Inputs!$A:$A,Inputs!B:B,,0)</f>
        <v>3212.4</v>
      </c>
      <c r="C56" s="58">
        <f>_xlfn.XLOOKUP($A56,Inputs!$A:$A,Inputs!C:C,,0)</f>
        <v>2823.3</v>
      </c>
      <c r="D56" s="58">
        <f>_xlfn.XLOOKUP($A56,Inputs!$A:$A,Inputs!D:D,,0)</f>
        <v>2971.8</v>
      </c>
      <c r="E56" s="58">
        <f>_xlfn.XLOOKUP($A56,Inputs!$A:$A,Inputs!E:E,,0)</f>
        <v>3097.1</v>
      </c>
      <c r="F56" s="58">
        <f>_xlfn.XLOOKUP($A56,Inputs!$A:$A,Inputs!F:F,,0)</f>
        <v>3231.8</v>
      </c>
      <c r="G56" s="58">
        <f>_xlfn.XLOOKUP($A56,Inputs!$A:$A,Inputs!G:G,,0)</f>
        <v>3376.4</v>
      </c>
      <c r="H56" s="58">
        <f>_xlfn.XLOOKUP($A56,Inputs!$A:$A,Inputs!H:H,,0)</f>
        <v>2078.9</v>
      </c>
      <c r="I56" s="58">
        <f>_xlfn.XLOOKUP($A56,Inputs!$A:$A,Inputs!I:I,,0)</f>
        <v>1894.3</v>
      </c>
      <c r="J56" s="58">
        <f>_xlfn.XLOOKUP($A56,Inputs!$A:$A,Inputs!J:J,,0)</f>
        <v>2018.3</v>
      </c>
      <c r="K56" s="58">
        <f>_xlfn.XLOOKUP($A56,Inputs!$A:$A,Inputs!K:K,,0)</f>
        <v>1960.3</v>
      </c>
      <c r="L56" s="58">
        <f>_xlfn.XLOOKUP($A56,Inputs!$A:$A,Inputs!L:L,,0)</f>
        <v>-1858.4</v>
      </c>
      <c r="M56" s="58">
        <f>_xlfn.XLOOKUP($A56,Inputs!$A:$A,Inputs!M:M,,0)</f>
        <v>-1608</v>
      </c>
    </row>
    <row r="57" spans="1:13">
      <c r="B57"/>
      <c r="C57"/>
      <c r="D57"/>
      <c r="E57" s="733"/>
      <c r="F57"/>
      <c r="G57"/>
      <c r="H57"/>
      <c r="I57"/>
      <c r="J57"/>
      <c r="K57"/>
      <c r="L57"/>
      <c r="M57"/>
    </row>
    <row r="58" spans="1:13" ht="12.95">
      <c r="A58" s="115" t="s">
        <v>315</v>
      </c>
      <c r="B58" s="691">
        <v>1916.7</v>
      </c>
      <c r="C58" s="691">
        <v>1916</v>
      </c>
      <c r="D58" s="691">
        <v>2061.5</v>
      </c>
      <c r="E58" s="58">
        <v>2441.9</v>
      </c>
      <c r="F58" s="58">
        <f t="shared" ref="F58:M58" si="74">F49+F53+F50+F54</f>
        <v>1237.4000000000001</v>
      </c>
      <c r="G58" s="58">
        <f t="shared" si="74"/>
        <v>1282.5</v>
      </c>
      <c r="H58" s="58">
        <f t="shared" si="74"/>
        <v>1088.5</v>
      </c>
      <c r="I58" s="58">
        <f t="shared" si="74"/>
        <v>948.8</v>
      </c>
      <c r="J58" s="58">
        <f t="shared" si="74"/>
        <v>957.4</v>
      </c>
      <c r="K58" s="58">
        <f t="shared" si="74"/>
        <v>841</v>
      </c>
      <c r="L58" s="58">
        <f t="shared" si="74"/>
        <v>803.4</v>
      </c>
      <c r="M58" s="58">
        <f t="shared" si="74"/>
        <v>659.8</v>
      </c>
    </row>
    <row r="59" spans="1:13" ht="12.95">
      <c r="A59" s="116" t="s">
        <v>69</v>
      </c>
      <c r="B59" s="54">
        <f>IFERROR(B58/B44,"-")</f>
        <v>0.40571089896915946</v>
      </c>
      <c r="C59" s="54">
        <f t="shared" ref="C59:M59" si="75">IFERROR(C58/C44,"-")</f>
        <v>0.48094783874692504</v>
      </c>
      <c r="D59" s="54">
        <f t="shared" si="75"/>
        <v>0.51773067456929023</v>
      </c>
      <c r="E59" s="54">
        <f t="shared" si="75"/>
        <v>0.64978712080894097</v>
      </c>
      <c r="F59" s="54">
        <f t="shared" si="75"/>
        <v>0.33686331091933686</v>
      </c>
      <c r="G59" s="54">
        <f t="shared" si="75"/>
        <v>0.34267621439640894</v>
      </c>
      <c r="H59" s="54">
        <f t="shared" si="75"/>
        <v>0.42494632051532305</v>
      </c>
      <c r="I59" s="54">
        <f t="shared" si="75"/>
        <v>0.39454424484364597</v>
      </c>
      <c r="J59" s="54">
        <f t="shared" si="75"/>
        <v>0.41088365306210034</v>
      </c>
      <c r="K59" s="54">
        <f t="shared" si="75"/>
        <v>0.36848792884371029</v>
      </c>
      <c r="L59" s="54">
        <f t="shared" si="75"/>
        <v>0.37461531287885852</v>
      </c>
      <c r="M59" s="54">
        <f t="shared" si="75"/>
        <v>0.34843683988170682</v>
      </c>
    </row>
    <row r="60" spans="1:13" ht="12.95">
      <c r="A60" s="115" t="s">
        <v>682</v>
      </c>
      <c r="B60" s="58">
        <f>B58-B39</f>
        <v>1728.4</v>
      </c>
      <c r="C60" s="58">
        <f t="shared" ref="C60:M60" si="76">C58-C39</f>
        <v>1811</v>
      </c>
      <c r="D60" s="58">
        <f t="shared" si="76"/>
        <v>1628.5</v>
      </c>
      <c r="E60" s="58">
        <f t="shared" si="76"/>
        <v>1833.7</v>
      </c>
      <c r="F60" s="58">
        <f t="shared" si="76"/>
        <v>1150.8000000000002</v>
      </c>
      <c r="G60" s="58">
        <f t="shared" si="76"/>
        <v>1126.2</v>
      </c>
      <c r="H60" s="58">
        <f t="shared" si="76"/>
        <v>1035</v>
      </c>
      <c r="I60" s="58">
        <f t="shared" si="76"/>
        <v>899.09999999999991</v>
      </c>
      <c r="J60" s="58">
        <f t="shared" si="76"/>
        <v>891.1</v>
      </c>
      <c r="K60" s="58">
        <f t="shared" si="76"/>
        <v>565.5</v>
      </c>
      <c r="L60" s="58">
        <f t="shared" si="76"/>
        <v>530.09999999999991</v>
      </c>
      <c r="M60" s="58">
        <f t="shared" si="76"/>
        <v>523.5</v>
      </c>
    </row>
    <row r="61" spans="1:13">
      <c r="B61"/>
      <c r="C61"/>
      <c r="D61"/>
      <c r="E61"/>
      <c r="F61"/>
      <c r="G61"/>
      <c r="H61"/>
      <c r="I61"/>
      <c r="J61"/>
      <c r="K61"/>
      <c r="L61"/>
      <c r="M61"/>
    </row>
    <row r="62" spans="1:13" s="46" customFormat="1" ht="12.95">
      <c r="A62" s="115" t="s">
        <v>683</v>
      </c>
      <c r="B62" s="58">
        <f>_xlfn.XLOOKUP($A62,Inputs!$A:$A,Inputs!B:B,,0)</f>
        <v>126.9</v>
      </c>
      <c r="C62" s="58">
        <f>_xlfn.XLOOKUP($A62,Inputs!$A:$A,Inputs!C:C,,0)</f>
        <v>4.5999999999999996</v>
      </c>
      <c r="D62" s="58">
        <f>_xlfn.XLOOKUP($A62,Inputs!$A:$A,Inputs!D:D,,0)</f>
        <v>0</v>
      </c>
      <c r="E62" s="58">
        <f>_xlfn.XLOOKUP($A62,Inputs!$A:$A,Inputs!E:E,,0)</f>
        <v>0</v>
      </c>
      <c r="F62" s="58">
        <f>_xlfn.XLOOKUP($A62,Inputs!$A:$A,Inputs!F:F,,0)</f>
        <v>0</v>
      </c>
      <c r="G62" s="58">
        <f>_xlfn.XLOOKUP($A62,Inputs!$A:$A,Inputs!G:G,,0)</f>
        <v>0</v>
      </c>
      <c r="H62" s="58">
        <f>_xlfn.XLOOKUP($A62,Inputs!$A:$A,Inputs!H:H,,0)</f>
        <v>0</v>
      </c>
      <c r="I62" s="58">
        <f>_xlfn.XLOOKUP($A62,Inputs!$A:$A,Inputs!I:I,,0)</f>
        <v>0</v>
      </c>
      <c r="J62" s="58">
        <f>_xlfn.XLOOKUP($A62,Inputs!$A:$A,Inputs!J:J,,0)</f>
        <v>0</v>
      </c>
      <c r="K62" s="58">
        <f>_xlfn.XLOOKUP($A62,Inputs!$A:$A,Inputs!K:K,,0)</f>
        <v>-0.1</v>
      </c>
      <c r="L62" s="58">
        <f>_xlfn.XLOOKUP($A62,Inputs!$A:$A,Inputs!L:L,,0)</f>
        <v>0</v>
      </c>
      <c r="M62" s="58">
        <f>_xlfn.XLOOKUP($A62,Inputs!$A:$A,Inputs!M:M,,0)</f>
        <v>0</v>
      </c>
    </row>
    <row r="63" spans="1:13">
      <c r="B63"/>
      <c r="C63"/>
      <c r="D63"/>
      <c r="E63"/>
      <c r="F63"/>
      <c r="G63"/>
      <c r="H63"/>
      <c r="I63"/>
      <c r="J63"/>
      <c r="K63"/>
      <c r="L63"/>
      <c r="M63"/>
    </row>
    <row r="64" spans="1:13" ht="12.95">
      <c r="A64" s="115" t="s">
        <v>684</v>
      </c>
      <c r="B64" s="58">
        <f>_xlfn.XLOOKUP($A64,Inputs!$A:$A,Inputs!B:B,,0)</f>
        <v>1385</v>
      </c>
      <c r="C64" s="58">
        <f>_xlfn.XLOOKUP($A64,Inputs!$A:$A,Inputs!C:C,,0)</f>
        <v>1155.9000000000001</v>
      </c>
      <c r="D64" s="58">
        <f>_xlfn.XLOOKUP($A64,Inputs!$A:$A,Inputs!D:D,,0)</f>
        <v>1010</v>
      </c>
      <c r="E64" s="58">
        <f>_xlfn.XLOOKUP($A64,Inputs!$A:$A,Inputs!E:E,,0)</f>
        <v>660.90000000000009</v>
      </c>
      <c r="F64" s="58">
        <f>_xlfn.XLOOKUP($A64,Inputs!$A:$A,Inputs!F:F,,0)</f>
        <v>441.5</v>
      </c>
      <c r="G64" s="58">
        <f>_xlfn.XLOOKUP($A64,Inputs!$A:$A,Inputs!G:G,,0)</f>
        <v>366.19999999999982</v>
      </c>
      <c r="H64" s="58">
        <f>_xlfn.XLOOKUP($A64,Inputs!$A:$A,Inputs!H:H,,0)</f>
        <v>482.59999999999991</v>
      </c>
      <c r="I64" s="58">
        <f>_xlfn.XLOOKUP($A64,Inputs!$A:$A,Inputs!I:I,,0)</f>
        <v>510.50000000000023</v>
      </c>
      <c r="J64" s="58">
        <f>_xlfn.XLOOKUP($A64,Inputs!$A:$A,Inputs!J:J,,0)</f>
        <v>311.79999999999995</v>
      </c>
      <c r="K64" s="58">
        <f>_xlfn.XLOOKUP($A64,Inputs!$A:$A,Inputs!K:K,,0)</f>
        <v>322.10000000000025</v>
      </c>
      <c r="L64" s="58">
        <f>_xlfn.XLOOKUP($A64,Inputs!$A:$A,Inputs!L:L,,0)</f>
        <v>4003</v>
      </c>
      <c r="M64" s="58">
        <f>_xlfn.XLOOKUP($A64,Inputs!$A:$A,Inputs!M:M,,0)</f>
        <v>3501.6</v>
      </c>
    </row>
    <row r="65" spans="1:235">
      <c r="K65" s="42"/>
      <c r="L65" s="42"/>
      <c r="M65" s="42"/>
    </row>
    <row r="66" spans="1:235" ht="20.100000000000001">
      <c r="A66" s="1511" t="s">
        <v>129</v>
      </c>
      <c r="B66" s="1511"/>
      <c r="C66" s="1511"/>
      <c r="D66" s="1511"/>
      <c r="E66" s="1511"/>
      <c r="F66" s="1511"/>
      <c r="G66" s="1511"/>
      <c r="H66" s="1511"/>
      <c r="I66" s="1511"/>
      <c r="J66" s="1511"/>
      <c r="K66" s="1511"/>
      <c r="L66" s="1511"/>
      <c r="M66" s="1511"/>
    </row>
    <row r="67" spans="1:235" ht="12.95">
      <c r="A67" s="115" t="s">
        <v>130</v>
      </c>
      <c r="B67" s="58">
        <f>_xlfn.XLOOKUP($A67,Inputs!$A:$A,Inputs!B:B,,0)</f>
        <v>1120.3</v>
      </c>
      <c r="C67" s="58">
        <f>_xlfn.XLOOKUP($A67,Inputs!$A:$A,Inputs!C:C,,0)</f>
        <v>798.8</v>
      </c>
      <c r="D67" s="58">
        <f>_xlfn.XLOOKUP($A67,Inputs!$A:$A,Inputs!D:D,,0)</f>
        <v>971.4</v>
      </c>
      <c r="E67" s="58">
        <f>_xlfn.XLOOKUP($A67,Inputs!$A:$A,Inputs!E:E,,0)</f>
        <v>824.8</v>
      </c>
      <c r="F67" s="58">
        <f>_xlfn.XLOOKUP($A67,Inputs!$A:$A,Inputs!F:F,,0)</f>
        <v>927.2</v>
      </c>
      <c r="G67" s="58">
        <f>_xlfn.XLOOKUP($A67,Inputs!$A:$A,Inputs!G:G,,0)</f>
        <v>868.8</v>
      </c>
      <c r="H67" s="58">
        <f>_xlfn.XLOOKUP($A67,Inputs!$A:$A,Inputs!H:H,,0)</f>
        <v>615.20000000000005</v>
      </c>
      <c r="I67" s="58">
        <f>_xlfn.XLOOKUP($A67,Inputs!$A:$A,Inputs!I:I,,0)</f>
        <v>699.5</v>
      </c>
      <c r="J67" s="58">
        <f>_xlfn.XLOOKUP($A67,Inputs!$A:$A,Inputs!J:J,,0)</f>
        <v>608.29999999999995</v>
      </c>
      <c r="K67" s="58">
        <f>_xlfn.XLOOKUP($A67,Inputs!$A:$A,Inputs!K:K,,0)</f>
        <v>743.2</v>
      </c>
      <c r="L67" s="58">
        <f>_xlfn.XLOOKUP($A67,Inputs!$A:$A,Inputs!L:L,,0)</f>
        <v>614.79999999999995</v>
      </c>
      <c r="M67" s="58">
        <f>_xlfn.XLOOKUP($A67,Inputs!$A:$A,Inputs!M:M,,0)</f>
        <v>659</v>
      </c>
    </row>
    <row r="68" spans="1:235" ht="12.95">
      <c r="A68" s="115" t="s">
        <v>131</v>
      </c>
      <c r="B68" s="58">
        <f>_xlfn.XLOOKUP($A68,Inputs!$A:$A,Inputs!B:B,,0)</f>
        <v>-334.4</v>
      </c>
      <c r="C68" s="58">
        <f>_xlfn.XLOOKUP($A68,Inputs!$A:$A,Inputs!C:C,,0)</f>
        <v>-271.39999999999998</v>
      </c>
      <c r="D68" s="58">
        <f>_xlfn.XLOOKUP($A68,Inputs!$A:$A,Inputs!D:D,,0)</f>
        <v>-292.5</v>
      </c>
      <c r="E68" s="58">
        <f>_xlfn.XLOOKUP($A68,Inputs!$A:$A,Inputs!E:E,,0)</f>
        <v>-130.9</v>
      </c>
      <c r="F68" s="58">
        <f>_xlfn.XLOOKUP($A68,Inputs!$A:$A,Inputs!F:F,,0)</f>
        <v>-139.1</v>
      </c>
      <c r="G68" s="58">
        <f>_xlfn.XLOOKUP($A68,Inputs!$A:$A,Inputs!G:G,,0)</f>
        <v>-125.9</v>
      </c>
      <c r="H68" s="58">
        <f>_xlfn.XLOOKUP($A68,Inputs!$A:$A,Inputs!H:H,,0)</f>
        <v>-112.2</v>
      </c>
      <c r="I68" s="58">
        <f>_xlfn.XLOOKUP($A68,Inputs!$A:$A,Inputs!I:I,,0)</f>
        <v>-154.30000000000001</v>
      </c>
      <c r="J68" s="58">
        <f>_xlfn.XLOOKUP($A68,Inputs!$A:$A,Inputs!J:J,,0)</f>
        <v>-139.30000000000001</v>
      </c>
      <c r="K68" s="58">
        <f>_xlfn.XLOOKUP($A68,Inputs!$A:$A,Inputs!K:K,,0)</f>
        <v>-106</v>
      </c>
      <c r="L68" s="58">
        <f>_xlfn.XLOOKUP($A68,Inputs!$A:$A,Inputs!L:L,,0)</f>
        <v>-102.6</v>
      </c>
      <c r="M68" s="58">
        <f>_xlfn.XLOOKUP($A68,Inputs!$A:$A,Inputs!M:M,,0)</f>
        <v>-85.7</v>
      </c>
    </row>
    <row r="69" spans="1:235">
      <c r="A69" s="111" t="s">
        <v>132</v>
      </c>
      <c r="B69" s="52">
        <f>_xlfn.XLOOKUP($A69,Inputs!$A:$A,Inputs!B:B,,0)</f>
        <v>-125.7</v>
      </c>
      <c r="C69" s="52">
        <f>_xlfn.XLOOKUP($A69,Inputs!$A:$A,Inputs!C:C,,0)</f>
        <v>-163.39999999999998</v>
      </c>
      <c r="D69" s="52">
        <f>_xlfn.XLOOKUP($A69,Inputs!$A:$A,Inputs!D:D,,0)</f>
        <v>-224.7</v>
      </c>
      <c r="E69" s="52">
        <f>_xlfn.XLOOKUP($A69,Inputs!$A:$A,Inputs!E:E,,0)</f>
        <v>-115.69999999999999</v>
      </c>
      <c r="F69" s="52">
        <f>_xlfn.XLOOKUP($A69,Inputs!$A:$A,Inputs!F:F,,0)</f>
        <v>-136.1</v>
      </c>
      <c r="G69" s="52">
        <f>_xlfn.XLOOKUP($A69,Inputs!$A:$A,Inputs!G:G,,0)</f>
        <v>-122.9</v>
      </c>
      <c r="H69" s="52">
        <f>_xlfn.XLOOKUP($A69,Inputs!$A:$A,Inputs!H:H,,0)</f>
        <v>-111.8</v>
      </c>
      <c r="I69" s="52">
        <f>_xlfn.XLOOKUP($A69,Inputs!$A:$A,Inputs!I:I,,0)</f>
        <v>-154.30000000000001</v>
      </c>
      <c r="J69" s="52">
        <f>_xlfn.XLOOKUP($A69,Inputs!$A:$A,Inputs!J:J,,0)</f>
        <v>-147.30000000000001</v>
      </c>
      <c r="K69" s="52">
        <f>_xlfn.XLOOKUP($A69,Inputs!$A:$A,Inputs!K:K,,0)</f>
        <v>-111.6</v>
      </c>
      <c r="L69" s="52">
        <f>_xlfn.XLOOKUP($A69,Inputs!$A:$A,Inputs!L:L,,0)</f>
        <v>-102.5</v>
      </c>
      <c r="M69" s="52">
        <f>_xlfn.XLOOKUP($A69,Inputs!$A:$A,Inputs!M:M,,0)</f>
        <v>-85.600000000000009</v>
      </c>
    </row>
    <row r="70" spans="1:235">
      <c r="A70" s="111" t="s">
        <v>133</v>
      </c>
      <c r="B70" s="52">
        <f>_xlfn.XLOOKUP($A70,Inputs!$A:$A,Inputs!B:B,,0)</f>
        <v>-153.20000000000002</v>
      </c>
      <c r="C70" s="52">
        <f>_xlfn.XLOOKUP($A70,Inputs!$A:$A,Inputs!C:C,,0)</f>
        <v>-95.4</v>
      </c>
      <c r="D70" s="52">
        <f>_xlfn.XLOOKUP($A70,Inputs!$A:$A,Inputs!D:D,,0)</f>
        <v>-34.299999999999997</v>
      </c>
      <c r="E70" s="52">
        <f>_xlfn.XLOOKUP($A70,Inputs!$A:$A,Inputs!E:E,,0)</f>
        <v>-2.4</v>
      </c>
      <c r="F70" s="52">
        <f>_xlfn.XLOOKUP($A70,Inputs!$A:$A,Inputs!F:F,,0)</f>
        <v>-3</v>
      </c>
      <c r="G70" s="52">
        <f>_xlfn.XLOOKUP($A70,Inputs!$A:$A,Inputs!G:G,,0)</f>
        <v>0</v>
      </c>
      <c r="H70" s="52">
        <f>_xlfn.XLOOKUP($A70,Inputs!$A:$A,Inputs!H:H,,0)</f>
        <v>0.4</v>
      </c>
      <c r="I70" s="52">
        <f>_xlfn.XLOOKUP($A70,Inputs!$A:$A,Inputs!I:I,,0)</f>
        <v>0</v>
      </c>
      <c r="J70" s="52">
        <f>_xlfn.XLOOKUP($A70,Inputs!$A:$A,Inputs!J:J,,0)</f>
        <v>0</v>
      </c>
      <c r="K70" s="52">
        <f>_xlfn.XLOOKUP($A70,Inputs!$A:$A,Inputs!K:K,,0)</f>
        <v>0</v>
      </c>
      <c r="L70" s="52">
        <f>_xlfn.XLOOKUP($A70,Inputs!$A:$A,Inputs!L:L,,0)</f>
        <v>-0.1</v>
      </c>
      <c r="M70" s="52">
        <f>_xlfn.XLOOKUP($A70,Inputs!$A:$A,Inputs!M:M,,0)</f>
        <v>0</v>
      </c>
      <c r="IA70" s="42"/>
    </row>
    <row r="71" spans="1:235" ht="12.95">
      <c r="A71" s="115" t="s">
        <v>134</v>
      </c>
      <c r="B71" s="58">
        <f>_xlfn.XLOOKUP($A71,Inputs!$A:$A,Inputs!B:B,,0)</f>
        <v>-663.3</v>
      </c>
      <c r="C71" s="58">
        <f>_xlfn.XLOOKUP($A71,Inputs!$A:$A,Inputs!C:C,,0)</f>
        <v>-727.1</v>
      </c>
      <c r="D71" s="58">
        <f>_xlfn.XLOOKUP($A71,Inputs!$A:$A,Inputs!D:D,,0)</f>
        <v>-993.4</v>
      </c>
      <c r="E71" s="58">
        <f>_xlfn.XLOOKUP($A71,Inputs!$A:$A,Inputs!E:E,,0)</f>
        <v>-231.7</v>
      </c>
      <c r="F71" s="58">
        <f>_xlfn.XLOOKUP($A71,Inputs!$A:$A,Inputs!F:F,,0)</f>
        <v>-769.2</v>
      </c>
      <c r="G71" s="58">
        <f>_xlfn.XLOOKUP($A71,Inputs!$A:$A,Inputs!G:G,,0)</f>
        <v>-718.4</v>
      </c>
      <c r="H71" s="58">
        <f>_xlfn.XLOOKUP($A71,Inputs!$A:$A,Inputs!H:H,,0)</f>
        <v>-507.6</v>
      </c>
      <c r="I71" s="58">
        <f>_xlfn.XLOOKUP($A71,Inputs!$A:$A,Inputs!I:I,,0)</f>
        <v>-584.4</v>
      </c>
      <c r="J71" s="58">
        <f>_xlfn.XLOOKUP($A71,Inputs!$A:$A,Inputs!J:J,,0)</f>
        <v>-689.2</v>
      </c>
      <c r="K71" s="58">
        <f>_xlfn.XLOOKUP($A71,Inputs!$A:$A,Inputs!K:K,,0)</f>
        <v>-636.1</v>
      </c>
      <c r="L71" s="58">
        <f>_xlfn.XLOOKUP($A71,Inputs!$A:$A,Inputs!L:L,,0)</f>
        <v>-371.8</v>
      </c>
      <c r="M71" s="58">
        <f>_xlfn.XLOOKUP($A71,Inputs!$A:$A,Inputs!M:M,,0)</f>
        <v>-491.1</v>
      </c>
      <c r="IA71" s="42"/>
    </row>
    <row r="72" spans="1:235">
      <c r="A72" s="111" t="s">
        <v>135</v>
      </c>
      <c r="B72" s="52">
        <f>_xlfn.XLOOKUP($A72,Inputs!$A:$A,Inputs!B:B,,0)</f>
        <v>-248.3</v>
      </c>
      <c r="C72" s="52">
        <f>_xlfn.XLOOKUP($A72,Inputs!$A:$A,Inputs!C:C,,0)</f>
        <v>-237.4</v>
      </c>
      <c r="D72" s="52">
        <f>_xlfn.XLOOKUP($A72,Inputs!$A:$A,Inputs!D:D,,0)</f>
        <v>-344.5</v>
      </c>
      <c r="E72" s="52">
        <f>_xlfn.XLOOKUP($A72,Inputs!$A:$A,Inputs!E:E,,0)</f>
        <v>0</v>
      </c>
      <c r="F72" s="52">
        <f>_xlfn.XLOOKUP($A72,Inputs!$A:$A,Inputs!F:F,,0)</f>
        <v>-213.6</v>
      </c>
      <c r="G72" s="52">
        <f>_xlfn.XLOOKUP($A72,Inputs!$A:$A,Inputs!G:G,,0)</f>
        <v>-215.7</v>
      </c>
      <c r="H72" s="52">
        <f>_xlfn.XLOOKUP($A72,Inputs!$A:$A,Inputs!H:H,,0)</f>
        <v>-479.7</v>
      </c>
      <c r="I72" s="52">
        <f>_xlfn.XLOOKUP($A72,Inputs!$A:$A,Inputs!I:I,,0)</f>
        <v>-314.10000000000002</v>
      </c>
      <c r="J72" s="52">
        <f>_xlfn.XLOOKUP($A72,Inputs!$A:$A,Inputs!J:J,,0)</f>
        <v>-567.5</v>
      </c>
      <c r="K72" s="52">
        <f>_xlfn.XLOOKUP($A72,Inputs!$A:$A,Inputs!K:K,,0)</f>
        <v>-434.4</v>
      </c>
      <c r="L72" s="52">
        <f>_xlfn.XLOOKUP($A72,Inputs!$A:$A,Inputs!L:L,,0)</f>
        <v>-164.8</v>
      </c>
      <c r="M72" s="52">
        <f>_xlfn.XLOOKUP($A72,Inputs!$A:$A,Inputs!M:M,,0)</f>
        <v>-147.69999999999999</v>
      </c>
      <c r="IA72" s="42"/>
    </row>
    <row r="73" spans="1:235">
      <c r="A73" s="111" t="s">
        <v>666</v>
      </c>
      <c r="B73" s="52">
        <f>_xlfn.XLOOKUP($A73,Inputs!$A:$A,Inputs!B:B,,0)</f>
        <v>-177.3</v>
      </c>
      <c r="C73" s="52">
        <f>_xlfn.XLOOKUP($A73,Inputs!$A:$A,Inputs!C:C,,0)</f>
        <v>-228.5</v>
      </c>
      <c r="D73" s="52">
        <f>_xlfn.XLOOKUP($A73,Inputs!$A:$A,Inputs!D:D,,0)</f>
        <v>-8.6999999999999993</v>
      </c>
      <c r="E73" s="52">
        <f>_xlfn.XLOOKUP($A73,Inputs!$A:$A,Inputs!E:E,,0)</f>
        <v>-19.3</v>
      </c>
      <c r="F73" s="52">
        <f>_xlfn.XLOOKUP($A73,Inputs!$A:$A,Inputs!F:F,,0)</f>
        <v>-300.2</v>
      </c>
      <c r="G73" s="52">
        <f>_xlfn.XLOOKUP($A73,Inputs!$A:$A,Inputs!G:G,,0)</f>
        <v>-325</v>
      </c>
      <c r="H73" s="52">
        <f>_xlfn.XLOOKUP($A73,Inputs!$A:$A,Inputs!H:H,,0)</f>
        <v>-105.1</v>
      </c>
      <c r="I73" s="52">
        <f>_xlfn.XLOOKUP($A73,Inputs!$A:$A,Inputs!I:I,,0)</f>
        <v>-187.6</v>
      </c>
      <c r="J73" s="52">
        <f>_xlfn.XLOOKUP($A73,Inputs!$A:$A,Inputs!J:J,,0)</f>
        <v>-150.69999999999999</v>
      </c>
      <c r="K73" s="52">
        <f>_xlfn.XLOOKUP($A73,Inputs!$A:$A,Inputs!K:K,,0)</f>
        <v>-137.9</v>
      </c>
      <c r="L73" s="52">
        <f>_xlfn.XLOOKUP($A73,Inputs!$A:$A,Inputs!L:L,,0)</f>
        <v>-295.8</v>
      </c>
      <c r="M73" s="52">
        <f>_xlfn.XLOOKUP($A73,Inputs!$A:$A,Inputs!M:M,,0)</f>
        <v>-241.9</v>
      </c>
    </row>
    <row r="74" spans="1:235" ht="12.95">
      <c r="A74" s="115" t="s">
        <v>138</v>
      </c>
      <c r="B74" s="58">
        <f>_xlfn.XLOOKUP($A74,Inputs!$A:$A,Inputs!B:B,,0)</f>
        <v>0</v>
      </c>
      <c r="C74" s="58">
        <f>_xlfn.XLOOKUP($A74,Inputs!$A:$A,Inputs!C:C,,0)</f>
        <v>0</v>
      </c>
      <c r="D74" s="58">
        <f>_xlfn.XLOOKUP($A74,Inputs!$A:$A,Inputs!D:D,,0)</f>
        <v>0</v>
      </c>
      <c r="E74" s="58">
        <f>_xlfn.XLOOKUP($A74,Inputs!$A:$A,Inputs!E:E,,0)</f>
        <v>0</v>
      </c>
      <c r="F74" s="58">
        <f>_xlfn.XLOOKUP($A74,Inputs!$A:$A,Inputs!F:F,,0)</f>
        <v>0</v>
      </c>
      <c r="G74" s="58">
        <f>_xlfn.XLOOKUP($A74,Inputs!$A:$A,Inputs!G:G,,0)</f>
        <v>0</v>
      </c>
      <c r="H74" s="58">
        <f>_xlfn.XLOOKUP($A74,Inputs!$A:$A,Inputs!H:H,,0)</f>
        <v>0</v>
      </c>
      <c r="I74" s="58">
        <f>_xlfn.XLOOKUP($A74,Inputs!$A:$A,Inputs!I:I,,0)</f>
        <v>0</v>
      </c>
      <c r="J74" s="58">
        <f>_xlfn.XLOOKUP($A74,Inputs!$A:$A,Inputs!J:J,,0)</f>
        <v>0</v>
      </c>
      <c r="K74" s="58">
        <f>_xlfn.XLOOKUP($A74,Inputs!$A:$A,Inputs!K:K,,0)</f>
        <v>0</v>
      </c>
      <c r="L74" s="58">
        <f>_xlfn.XLOOKUP($A74,Inputs!$A:$A,Inputs!L:L,,0)</f>
        <v>0</v>
      </c>
      <c r="M74" s="58">
        <f>_xlfn.XLOOKUP($A74,Inputs!$A:$A,Inputs!M:M,,0)</f>
        <v>0</v>
      </c>
    </row>
    <row r="75" spans="1:235" ht="12.95">
      <c r="A75" s="115" t="s">
        <v>685</v>
      </c>
      <c r="B75" s="58">
        <f>_xlfn.XLOOKUP($A75,Inputs!$A:$A,Inputs!B:B,,0)</f>
        <v>122.60000000000002</v>
      </c>
      <c r="C75" s="58">
        <f>_xlfn.XLOOKUP($A75,Inputs!$A:$A,Inputs!C:C,,0)</f>
        <v>-199.70000000000005</v>
      </c>
      <c r="D75" s="58">
        <f>_xlfn.XLOOKUP($A75,Inputs!$A:$A,Inputs!D:D,,0)</f>
        <v>-314.5</v>
      </c>
      <c r="E75" s="58">
        <f>_xlfn.XLOOKUP($A75,Inputs!$A:$A,Inputs!E:E,,0)</f>
        <v>462.2</v>
      </c>
      <c r="F75" s="58">
        <f>_xlfn.XLOOKUP($A75,Inputs!$A:$A,Inputs!F:F,,0)</f>
        <v>18.899999999999977</v>
      </c>
      <c r="G75" s="58">
        <f>_xlfn.XLOOKUP($A75,Inputs!$A:$A,Inputs!G:G,,0)</f>
        <v>24.5</v>
      </c>
      <c r="H75" s="58">
        <f>_xlfn.XLOOKUP($A75,Inputs!$A:$A,Inputs!H:H,,0)</f>
        <v>-4.5999999999999659</v>
      </c>
      <c r="I75" s="58">
        <f>_xlfn.XLOOKUP($A75,Inputs!$A:$A,Inputs!I:I,,0)</f>
        <v>-39.199999999999932</v>
      </c>
      <c r="J75" s="58">
        <f>_xlfn.XLOOKUP($A75,Inputs!$A:$A,Inputs!J:J,,0)</f>
        <v>-220.2000000000001</v>
      </c>
      <c r="K75" s="58">
        <f>_xlfn.XLOOKUP($A75,Inputs!$A:$A,Inputs!K:K,,0)</f>
        <v>1.1000000000000227</v>
      </c>
      <c r="L75" s="58">
        <f>_xlfn.XLOOKUP($A75,Inputs!$A:$A,Inputs!L:L,,0)</f>
        <v>140.39999999999992</v>
      </c>
      <c r="M75" s="58">
        <f>_xlfn.XLOOKUP($A75,Inputs!$A:$A,Inputs!M:M,,0)</f>
        <v>82.199999999999932</v>
      </c>
    </row>
    <row r="76" spans="1:235">
      <c r="K76" s="42"/>
      <c r="L76" s="42"/>
      <c r="M76" s="42"/>
    </row>
    <row r="77" spans="1:235" ht="20.100000000000001">
      <c r="A77" s="1511" t="s">
        <v>686</v>
      </c>
      <c r="B77" s="1511"/>
      <c r="C77" s="1511"/>
      <c r="D77" s="1511"/>
      <c r="E77" s="1511"/>
      <c r="F77" s="1511"/>
      <c r="G77" s="1511"/>
      <c r="H77" s="1511"/>
      <c r="I77" s="1511"/>
      <c r="J77" s="1511"/>
      <c r="K77" s="1511"/>
      <c r="L77" s="1511"/>
      <c r="M77" s="1511"/>
    </row>
    <row r="78" spans="1:235">
      <c r="A78" s="110" t="s">
        <v>687</v>
      </c>
      <c r="B78" s="52" t="e">
        <f>_xlfn.XLOOKUP($A78,Inputs!$A:$A,Inputs!B:B,,0)</f>
        <v>#N/A</v>
      </c>
      <c r="C78" s="52" t="e">
        <f>_xlfn.XLOOKUP($A78,Inputs!$A:$A,Inputs!C:C,,0)</f>
        <v>#N/A</v>
      </c>
      <c r="D78" s="52" t="e">
        <f>_xlfn.XLOOKUP($A78,Inputs!$A:$A,Inputs!D:D,,0)</f>
        <v>#N/A</v>
      </c>
      <c r="E78" s="52" t="e">
        <f>_xlfn.XLOOKUP($A78,Inputs!$A:$A,Inputs!E:E,,0)</f>
        <v>#N/A</v>
      </c>
      <c r="F78" s="52" t="e">
        <f>_xlfn.XLOOKUP($A78,Inputs!$A:$A,Inputs!F:F,,0)</f>
        <v>#N/A</v>
      </c>
      <c r="G78" s="52" t="e">
        <f>_xlfn.XLOOKUP($A78,Inputs!$A:$A,Inputs!G:G,,0)</f>
        <v>#N/A</v>
      </c>
      <c r="H78" s="52" t="e">
        <f>_xlfn.XLOOKUP($A78,Inputs!$A:$A,Inputs!H:H,,0)</f>
        <v>#N/A</v>
      </c>
      <c r="I78" s="52" t="e">
        <f>_xlfn.XLOOKUP($A78,Inputs!$A:$A,Inputs!I:I,,0)</f>
        <v>#N/A</v>
      </c>
      <c r="J78" s="52" t="e">
        <f>_xlfn.XLOOKUP($A78,Inputs!$A:$A,Inputs!J:J,,0)</f>
        <v>#N/A</v>
      </c>
      <c r="K78" s="52" t="e">
        <f>_xlfn.XLOOKUP($A78,Inputs!$A:$A,Inputs!K:K,,0)</f>
        <v>#N/A</v>
      </c>
      <c r="L78" s="52" t="e">
        <f>_xlfn.XLOOKUP($A78,Inputs!$A:$A,Inputs!L:L,,0)</f>
        <v>#N/A</v>
      </c>
      <c r="M78" s="52" t="e">
        <f>_xlfn.XLOOKUP($A78,Inputs!$A:$A,Inputs!M:M,,0)</f>
        <v>#N/A</v>
      </c>
    </row>
    <row r="79" spans="1:235">
      <c r="A79" s="116" t="s">
        <v>688</v>
      </c>
      <c r="B79" s="52" t="e">
        <f>_xlfn.XLOOKUP($A79,Inputs!$A:$A,Inputs!B:B,,0)</f>
        <v>#N/A</v>
      </c>
      <c r="C79" s="52" t="e">
        <f>_xlfn.XLOOKUP($A79,Inputs!$A:$A,Inputs!C:C,,0)</f>
        <v>#N/A</v>
      </c>
      <c r="D79" s="52" t="e">
        <f>_xlfn.XLOOKUP($A79,Inputs!$A:$A,Inputs!D:D,,0)</f>
        <v>#N/A</v>
      </c>
      <c r="E79" s="52" t="e">
        <f>_xlfn.XLOOKUP($A79,Inputs!$A:$A,Inputs!E:E,,0)</f>
        <v>#N/A</v>
      </c>
      <c r="F79" s="52" t="e">
        <f>_xlfn.XLOOKUP($A79,Inputs!$A:$A,Inputs!F:F,,0)</f>
        <v>#N/A</v>
      </c>
      <c r="G79" s="52" t="e">
        <f>_xlfn.XLOOKUP($A79,Inputs!$A:$A,Inputs!G:G,,0)</f>
        <v>#N/A</v>
      </c>
      <c r="H79" s="52" t="e">
        <f>_xlfn.XLOOKUP($A79,Inputs!$A:$A,Inputs!H:H,,0)</f>
        <v>#N/A</v>
      </c>
      <c r="I79" s="52" t="e">
        <f>_xlfn.XLOOKUP($A79,Inputs!$A:$A,Inputs!I:I,,0)</f>
        <v>#N/A</v>
      </c>
      <c r="J79" s="52" t="e">
        <f>_xlfn.XLOOKUP($A79,Inputs!$A:$A,Inputs!J:J,,0)</f>
        <v>#N/A</v>
      </c>
      <c r="K79" s="52" t="e">
        <f>_xlfn.XLOOKUP($A79,Inputs!$A:$A,Inputs!K:K,,0)</f>
        <v>#N/A</v>
      </c>
      <c r="L79" s="52" t="e">
        <f>_xlfn.XLOOKUP($A79,Inputs!$A:$A,Inputs!L:L,,0)</f>
        <v>#N/A</v>
      </c>
      <c r="M79" s="52" t="e">
        <f>_xlfn.XLOOKUP($A79,Inputs!$A:$A,Inputs!M:M,,0)</f>
        <v>#N/A</v>
      </c>
    </row>
    <row r="80" spans="1:235">
      <c r="A80" s="110" t="s">
        <v>46</v>
      </c>
      <c r="B80" s="52">
        <f>_xlfn.XLOOKUP($A80,Inputs!$A:$A,Inputs!B:B,,0)</f>
        <v>0.88814229249011856</v>
      </c>
      <c r="C80" s="52" t="str">
        <f>_xlfn.XLOOKUP($A80,Inputs!$A:$A,Inputs!C:C,,0)</f>
        <v>Yahoo finance</v>
      </c>
      <c r="D80" s="52">
        <f>_xlfn.XLOOKUP($A80,Inputs!$A:$A,Inputs!D:D,,0)</f>
        <v>0</v>
      </c>
      <c r="E80" s="52">
        <f>_xlfn.XLOOKUP($A80,Inputs!$A:$A,Inputs!E:E,,0)</f>
        <v>0</v>
      </c>
      <c r="F80" s="52">
        <f>_xlfn.XLOOKUP($A80,Inputs!$A:$A,Inputs!F:F,,0)</f>
        <v>0</v>
      </c>
      <c r="G80" s="52">
        <f>_xlfn.XLOOKUP($A80,Inputs!$A:$A,Inputs!G:G,,0)</f>
        <v>0</v>
      </c>
      <c r="H80" s="52">
        <f>_xlfn.XLOOKUP($A80,Inputs!$A:$A,Inputs!H:H,,0)</f>
        <v>0</v>
      </c>
      <c r="I80" s="52">
        <f>_xlfn.XLOOKUP($A80,Inputs!$A:$A,Inputs!I:I,,0)</f>
        <v>0</v>
      </c>
      <c r="J80" s="52">
        <f>_xlfn.XLOOKUP($A80,Inputs!$A:$A,Inputs!J:J,,0)</f>
        <v>0</v>
      </c>
      <c r="K80" s="52">
        <f>_xlfn.XLOOKUP($A80,Inputs!$A:$A,Inputs!K:K,,0)</f>
        <v>0</v>
      </c>
      <c r="L80" s="52">
        <f>_xlfn.XLOOKUP($A80,Inputs!$A:$A,Inputs!L:L,,0)</f>
        <v>0</v>
      </c>
      <c r="M80" s="52">
        <f>_xlfn.XLOOKUP($A80,Inputs!$A:$A,Inputs!M:M,,0)</f>
        <v>0</v>
      </c>
    </row>
    <row r="81" spans="1:13">
      <c r="A81" s="116" t="s">
        <v>50</v>
      </c>
      <c r="B81" s="52">
        <f>_xlfn.XLOOKUP($A81,Inputs!$A:$A,Inputs!B:B,,0)</f>
        <v>6.9900000000000004E-2</v>
      </c>
      <c r="C81" s="52" t="str">
        <f>_xlfn.XLOOKUP($A81,Inputs!$A:$A,Inputs!C:C,,0)</f>
        <v>Yahoo finance</v>
      </c>
      <c r="D81" s="52">
        <f>_xlfn.XLOOKUP($A81,Inputs!$A:$A,Inputs!D:D,,0)</f>
        <v>0</v>
      </c>
      <c r="E81" s="52">
        <f>_xlfn.XLOOKUP($A81,Inputs!$A:$A,Inputs!E:E,,0)</f>
        <v>0</v>
      </c>
      <c r="F81" s="52">
        <f>_xlfn.XLOOKUP($A81,Inputs!$A:$A,Inputs!F:F,,0)</f>
        <v>0</v>
      </c>
      <c r="G81" s="52">
        <f>_xlfn.XLOOKUP($A81,Inputs!$A:$A,Inputs!G:G,,0)</f>
        <v>0</v>
      </c>
      <c r="H81" s="52">
        <f>_xlfn.XLOOKUP($A81,Inputs!$A:$A,Inputs!H:H,,0)</f>
        <v>0</v>
      </c>
      <c r="I81" s="52">
        <f>_xlfn.XLOOKUP($A81,Inputs!$A:$A,Inputs!I:I,,0)</f>
        <v>0</v>
      </c>
      <c r="J81" s="52">
        <f>_xlfn.XLOOKUP($A81,Inputs!$A:$A,Inputs!J:J,,0)</f>
        <v>0</v>
      </c>
      <c r="K81" s="52">
        <f>_xlfn.XLOOKUP($A81,Inputs!$A:$A,Inputs!K:K,,0)</f>
        <v>0</v>
      </c>
      <c r="L81" s="52">
        <f>_xlfn.XLOOKUP($A81,Inputs!$A:$A,Inputs!L:L,,0)</f>
        <v>0</v>
      </c>
      <c r="M81" s="52">
        <f>_xlfn.XLOOKUP($A81,Inputs!$A:$A,Inputs!M:M,,0)</f>
        <v>0</v>
      </c>
    </row>
    <row r="82" spans="1:13">
      <c r="A82" s="110" t="s">
        <v>689</v>
      </c>
      <c r="B82" s="52" t="str">
        <f>_xlfn.XLOOKUP($A82,Inputs!$A:$A,Inputs!B:B,,0)</f>
        <v>BBB</v>
      </c>
      <c r="C82" s="52" t="str">
        <f>_xlfn.XLOOKUP($A82,Inputs!$A:$A,Inputs!C:C,,0)</f>
        <v>10-K</v>
      </c>
      <c r="D82" s="52">
        <f>_xlfn.XLOOKUP($A82,Inputs!$A:$A,Inputs!D:D,,0)</f>
        <v>0</v>
      </c>
      <c r="E82" s="52">
        <f>_xlfn.XLOOKUP($A82,Inputs!$A:$A,Inputs!E:E,,0)</f>
        <v>0</v>
      </c>
      <c r="F82" s="52">
        <f>_xlfn.XLOOKUP($A82,Inputs!$A:$A,Inputs!F:F,,0)</f>
        <v>0</v>
      </c>
      <c r="G82" s="52">
        <f>_xlfn.XLOOKUP($A82,Inputs!$A:$A,Inputs!G:G,,0)</f>
        <v>0</v>
      </c>
      <c r="H82" s="52">
        <f>_xlfn.XLOOKUP($A82,Inputs!$A:$A,Inputs!H:H,,0)</f>
        <v>0</v>
      </c>
      <c r="I82" s="52">
        <f>_xlfn.XLOOKUP($A82,Inputs!$A:$A,Inputs!I:I,,0)</f>
        <v>0</v>
      </c>
      <c r="J82" s="52">
        <f>_xlfn.XLOOKUP($A82,Inputs!$A:$A,Inputs!J:J,,0)</f>
        <v>0</v>
      </c>
      <c r="K82" s="52">
        <f>_xlfn.XLOOKUP($A82,Inputs!$A:$A,Inputs!K:K,,0)</f>
        <v>0</v>
      </c>
      <c r="L82" s="52">
        <f>_xlfn.XLOOKUP($A82,Inputs!$A:$A,Inputs!L:L,,0)</f>
        <v>0</v>
      </c>
      <c r="M82" s="52">
        <f>_xlfn.XLOOKUP($A82,Inputs!$A:$A,Inputs!M:M,,0)</f>
        <v>0</v>
      </c>
    </row>
    <row r="83" spans="1:13">
      <c r="A83" s="110" t="s">
        <v>690</v>
      </c>
      <c r="B83" s="52" t="e">
        <f>_xlfn.XLOOKUP($A83,Inputs!$A:$A,Inputs!B:B,,0)</f>
        <v>#N/A</v>
      </c>
      <c r="C83" s="52" t="e">
        <f>_xlfn.XLOOKUP($A83,Inputs!$A:$A,Inputs!C:C,,0)</f>
        <v>#N/A</v>
      </c>
      <c r="D83" s="52" t="e">
        <f>_xlfn.XLOOKUP($A83,Inputs!$A:$A,Inputs!D:D,,0)</f>
        <v>#N/A</v>
      </c>
      <c r="E83" s="52" t="e">
        <f>_xlfn.XLOOKUP($A83,Inputs!$A:$A,Inputs!E:E,,0)</f>
        <v>#N/A</v>
      </c>
      <c r="F83" s="52" t="e">
        <f>_xlfn.XLOOKUP($A83,Inputs!$A:$A,Inputs!F:F,,0)</f>
        <v>#N/A</v>
      </c>
      <c r="G83" s="52" t="e">
        <f>_xlfn.XLOOKUP($A83,Inputs!$A:$A,Inputs!G:G,,0)</f>
        <v>#N/A</v>
      </c>
      <c r="H83" s="52" t="e">
        <f>_xlfn.XLOOKUP($A83,Inputs!$A:$A,Inputs!H:H,,0)</f>
        <v>#N/A</v>
      </c>
      <c r="I83" s="52" t="e">
        <f>_xlfn.XLOOKUP($A83,Inputs!$A:$A,Inputs!I:I,,0)</f>
        <v>#N/A</v>
      </c>
      <c r="J83" s="52" t="e">
        <f>_xlfn.XLOOKUP($A83,Inputs!$A:$A,Inputs!J:J,,0)</f>
        <v>#N/A</v>
      </c>
      <c r="K83" s="52" t="e">
        <f>_xlfn.XLOOKUP($A83,Inputs!$A:$A,Inputs!K:K,,0)</f>
        <v>#N/A</v>
      </c>
      <c r="L83" s="52" t="e">
        <f>_xlfn.XLOOKUP($A83,Inputs!$A:$A,Inputs!L:L,,0)</f>
        <v>#N/A</v>
      </c>
      <c r="M83" s="52" t="e">
        <f>_xlfn.XLOOKUP($A83,Inputs!$A:$A,Inputs!M:M,,0)</f>
        <v>#N/A</v>
      </c>
    </row>
    <row r="84" spans="1:13">
      <c r="A84" s="116" t="s">
        <v>691</v>
      </c>
      <c r="B84" s="52">
        <f>_xlfn.XLOOKUP($A84,Inputs!$A:$A,Inputs!B:B,,0)</f>
        <v>0</v>
      </c>
      <c r="C84" s="52" t="str">
        <f>_xlfn.XLOOKUP($A84,Inputs!$A:$A,Inputs!C:C,,0)</f>
        <v>Yahoo Finance</v>
      </c>
      <c r="D84" s="52">
        <f>_xlfn.XLOOKUP($A84,Inputs!$A:$A,Inputs!D:D,,0)</f>
        <v>0</v>
      </c>
      <c r="E84" s="52">
        <f>_xlfn.XLOOKUP($A84,Inputs!$A:$A,Inputs!E:E,,0)</f>
        <v>0</v>
      </c>
      <c r="F84" s="52">
        <f>_xlfn.XLOOKUP($A84,Inputs!$A:$A,Inputs!F:F,,0)</f>
        <v>0</v>
      </c>
      <c r="G84" s="52">
        <f>_xlfn.XLOOKUP($A84,Inputs!$A:$A,Inputs!G:G,,0)</f>
        <v>0</v>
      </c>
      <c r="H84" s="52">
        <f>_xlfn.XLOOKUP($A84,Inputs!$A:$A,Inputs!H:H,,0)</f>
        <v>0</v>
      </c>
      <c r="I84" s="52">
        <f>_xlfn.XLOOKUP($A84,Inputs!$A:$A,Inputs!I:I,,0)</f>
        <v>0</v>
      </c>
      <c r="J84" s="52">
        <f>_xlfn.XLOOKUP($A84,Inputs!$A:$A,Inputs!J:J,,0)</f>
        <v>0</v>
      </c>
      <c r="K84" s="52">
        <f>_xlfn.XLOOKUP($A84,Inputs!$A:$A,Inputs!K:K,,0)</f>
        <v>0</v>
      </c>
      <c r="L84" s="52">
        <f>_xlfn.XLOOKUP($A84,Inputs!$A:$A,Inputs!L:L,,0)</f>
        <v>0</v>
      </c>
      <c r="M84" s="52">
        <f>_xlfn.XLOOKUP($A84,Inputs!$A:$A,Inputs!M:M,,0)</f>
        <v>0</v>
      </c>
    </row>
    <row r="85" spans="1:13">
      <c r="B85" s="44"/>
      <c r="C85" s="44"/>
      <c r="D85" s="44"/>
      <c r="E85" s="44"/>
      <c r="F85" s="44"/>
      <c r="G85" s="44"/>
      <c r="H85" s="44"/>
      <c r="I85" s="44"/>
      <c r="J85" s="44"/>
      <c r="K85" s="44"/>
      <c r="L85" s="44"/>
      <c r="M85" s="44"/>
    </row>
    <row r="86" spans="1:13">
      <c r="B86" s="43">
        <v>2020</v>
      </c>
      <c r="C86" s="43">
        <v>2021</v>
      </c>
      <c r="D86" s="43">
        <v>2022</v>
      </c>
      <c r="G86" s="43"/>
      <c r="H86" s="44"/>
      <c r="I86" s="44"/>
      <c r="J86" s="44"/>
      <c r="K86" s="44"/>
      <c r="L86" s="44"/>
      <c r="M86" s="44"/>
    </row>
    <row r="87" spans="1:13">
      <c r="A87" s="110" t="s">
        <v>692</v>
      </c>
      <c r="B87" s="56">
        <v>0</v>
      </c>
      <c r="C87" s="56">
        <v>0</v>
      </c>
      <c r="D87" s="57">
        <v>0</v>
      </c>
      <c r="G87" s="44"/>
      <c r="H87" s="44"/>
      <c r="I87" s="44"/>
      <c r="J87" s="44"/>
      <c r="K87" s="44"/>
      <c r="L87" s="44"/>
      <c r="M87" s="44"/>
    </row>
    <row r="88" spans="1:13">
      <c r="A88" s="116" t="s">
        <v>71</v>
      </c>
      <c r="B88" s="56">
        <v>0</v>
      </c>
      <c r="C88" s="56">
        <v>0</v>
      </c>
      <c r="D88" s="57">
        <v>0</v>
      </c>
    </row>
    <row r="90" spans="1:13" ht="12.95">
      <c r="A90" s="13" t="s">
        <v>693</v>
      </c>
      <c r="B90" s="43" t="s">
        <v>694</v>
      </c>
      <c r="C90" s="43" t="s">
        <v>695</v>
      </c>
      <c r="D90" s="43" t="s">
        <v>696</v>
      </c>
      <c r="E90" s="43" t="s">
        <v>697</v>
      </c>
      <c r="G90" s="43"/>
    </row>
    <row r="91" spans="1:13">
      <c r="B91" s="59" t="e">
        <f>VLOOKUP($A91,Inputs!$A$5:$M$98,MATCH(B$4,Inputs!$B$5:$M$5,0)+1,FALSE)</f>
        <v>#N/A</v>
      </c>
      <c r="C91" s="59" t="e">
        <f>VLOOKUP($A91,Inputs!$A$5:$M$98,MATCH(C$4,Inputs!$B$5:$M$5,0)+1,FALSE)</f>
        <v>#N/A</v>
      </c>
      <c r="D91" s="59" t="e">
        <f>VLOOKUP($A91,Inputs!$A$5:$M$98,MATCH(D$4,Inputs!$B$5:$M$5,0)+1,FALSE)</f>
        <v>#N/A</v>
      </c>
      <c r="E91" s="59" t="e">
        <f>VLOOKUP($A91,Inputs!$A$5:$M$98,MATCH(E$4,Inputs!$B$5:$M$5,0)+1,FALSE)</f>
        <v>#N/A</v>
      </c>
    </row>
    <row r="92" spans="1:13">
      <c r="B92" s="60"/>
      <c r="C92" s="60"/>
      <c r="D92" s="2"/>
      <c r="E92" s="60"/>
      <c r="F92" s="2"/>
    </row>
    <row r="93" spans="1:13">
      <c r="B93" s="60"/>
      <c r="C93" s="60"/>
      <c r="D93" s="2"/>
      <c r="E93" s="60"/>
      <c r="F93" s="2"/>
    </row>
    <row r="94" spans="1:13">
      <c r="B94" s="60"/>
      <c r="C94" s="60"/>
      <c r="D94" s="2"/>
      <c r="E94" s="60"/>
      <c r="F94" s="2"/>
    </row>
    <row r="95" spans="1:13">
      <c r="B95" s="60"/>
      <c r="C95" s="60"/>
      <c r="D95" s="2"/>
      <c r="E95" s="60"/>
      <c r="F95" s="2"/>
    </row>
    <row r="96" spans="1:13">
      <c r="B96" s="60"/>
      <c r="C96" s="60"/>
      <c r="D96" s="2"/>
      <c r="E96" s="60"/>
      <c r="F96" s="2"/>
    </row>
    <row r="97" spans="2:6">
      <c r="B97" s="60"/>
      <c r="C97" s="60"/>
      <c r="D97" s="2"/>
      <c r="E97" s="60"/>
      <c r="F97" s="2"/>
    </row>
    <row r="98" spans="2:6">
      <c r="B98" s="60"/>
      <c r="C98" s="60"/>
      <c r="D98" s="2"/>
      <c r="E98" s="60"/>
      <c r="F98" s="2"/>
    </row>
    <row r="99" spans="2:6">
      <c r="B99" s="60"/>
      <c r="C99" s="60"/>
      <c r="D99" s="2"/>
      <c r="E99" s="60"/>
      <c r="F99" s="2"/>
    </row>
  </sheetData>
  <mergeCells count="7">
    <mergeCell ref="A77:M77"/>
    <mergeCell ref="A1:M1"/>
    <mergeCell ref="A2:M2"/>
    <mergeCell ref="A3:M3"/>
    <mergeCell ref="A38:M38"/>
    <mergeCell ref="A47:M47"/>
    <mergeCell ref="A66:M66"/>
  </mergeCells>
  <pageMargins left="0.7" right="0.7" top="0.75" bottom="0.75" header="0.3" footer="0.3"/>
  <pageSetup paperSize="9" orientation="portrait" horizontalDpi="4294967293"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115-0CBC-4ABB-BE5B-970F623C3B18}">
  <dimension ref="A1:EV100"/>
  <sheetViews>
    <sheetView zoomScale="80" zoomScaleNormal="115" workbookViewId="0">
      <pane ySplit="5" topLeftCell="A42" activePane="bottomLeft" state="frozen"/>
      <selection pane="bottomLeft" activeCell="J66" sqref="J66"/>
    </sheetView>
  </sheetViews>
  <sheetFormatPr defaultColWidth="10.5703125" defaultRowHeight="14.1"/>
  <cols>
    <col min="1" max="1" width="40" style="20" bestFit="1" customWidth="1"/>
    <col min="2" max="5" width="13.42578125" style="20" customWidth="1"/>
    <col min="6" max="6" width="13.140625" style="20" customWidth="1"/>
    <col min="7" max="9" width="13.85546875" style="20" customWidth="1"/>
    <col min="10" max="10" width="14" style="20" customWidth="1"/>
    <col min="11" max="11" width="15.140625" style="22" customWidth="1"/>
    <col min="12" max="12" width="17" style="22" customWidth="1"/>
    <col min="13" max="13" width="14" style="20" customWidth="1"/>
    <col min="14" max="14" width="21.42578125" style="20" bestFit="1" customWidth="1"/>
    <col min="15" max="15" width="32.140625" style="20" customWidth="1"/>
    <col min="16" max="16" width="11.42578125" style="20" customWidth="1"/>
    <col min="17" max="23" width="0" style="20" hidden="1" customWidth="1"/>
    <col min="24" max="24" width="15.5703125" style="20" bestFit="1" customWidth="1"/>
    <col min="25" max="25" width="17.42578125" style="20" bestFit="1" customWidth="1"/>
    <col min="26" max="33" width="0" style="20" hidden="1" customWidth="1"/>
    <col min="34" max="16384" width="10.5703125" style="20"/>
  </cols>
  <sheetData>
    <row r="1" spans="1:33">
      <c r="B1" s="48"/>
      <c r="C1" s="48"/>
      <c r="D1" s="48"/>
      <c r="E1" s="48"/>
      <c r="F1" s="48"/>
      <c r="G1" s="48"/>
      <c r="H1" s="48"/>
      <c r="I1" s="48"/>
      <c r="J1" s="48"/>
      <c r="K1" s="48"/>
      <c r="L1" s="48"/>
      <c r="M1" s="48"/>
      <c r="N1"/>
      <c r="O1"/>
    </row>
    <row r="2" spans="1:33">
      <c r="G2" s="1516" t="s">
        <v>698</v>
      </c>
      <c r="H2" s="1516"/>
      <c r="I2" s="1516"/>
      <c r="J2" s="1516"/>
      <c r="K2" s="23"/>
      <c r="L2" s="23"/>
      <c r="M2" s="23"/>
      <c r="N2" s="23"/>
      <c r="O2" s="23"/>
    </row>
    <row r="3" spans="1:33">
      <c r="C3" s="696"/>
      <c r="G3" s="20" t="s">
        <v>320</v>
      </c>
      <c r="H3" s="20" t="e" vm="1">
        <v>#VALUE!</v>
      </c>
      <c r="M3"/>
      <c r="N3"/>
      <c r="O3"/>
    </row>
    <row r="4" spans="1:33">
      <c r="D4" s="1516" t="s">
        <v>699</v>
      </c>
      <c r="E4" s="1516"/>
      <c r="F4" s="1516"/>
      <c r="G4" s="1516"/>
      <c r="H4" s="1516"/>
      <c r="I4" s="1516"/>
      <c r="J4" s="1516"/>
      <c r="K4" s="1516"/>
      <c r="L4" s="1516"/>
      <c r="M4" s="1516"/>
      <c r="N4"/>
      <c r="O4"/>
    </row>
    <row r="5" spans="1:33">
      <c r="A5" s="48" t="s">
        <v>700</v>
      </c>
      <c r="B5" s="333">
        <v>2023</v>
      </c>
      <c r="C5" s="333">
        <f>B5-1</f>
        <v>2022</v>
      </c>
      <c r="D5" s="333">
        <f t="shared" ref="D5:M5" si="0">C5-1</f>
        <v>2021</v>
      </c>
      <c r="E5" s="333">
        <f t="shared" si="0"/>
        <v>2020</v>
      </c>
      <c r="F5" s="333">
        <f t="shared" si="0"/>
        <v>2019</v>
      </c>
      <c r="G5" s="333">
        <f t="shared" si="0"/>
        <v>2018</v>
      </c>
      <c r="H5" s="333">
        <f t="shared" si="0"/>
        <v>2017</v>
      </c>
      <c r="I5" s="333">
        <f t="shared" si="0"/>
        <v>2016</v>
      </c>
      <c r="J5" s="333">
        <f t="shared" si="0"/>
        <v>2015</v>
      </c>
      <c r="K5" s="333">
        <f t="shared" si="0"/>
        <v>2014</v>
      </c>
      <c r="L5" s="333">
        <f t="shared" si="0"/>
        <v>2013</v>
      </c>
      <c r="M5" s="333">
        <f t="shared" si="0"/>
        <v>2012</v>
      </c>
      <c r="N5"/>
      <c r="O5"/>
      <c r="Q5" s="9" t="s">
        <v>701</v>
      </c>
      <c r="R5" s="1517" t="s">
        <v>702</v>
      </c>
      <c r="S5" s="1517"/>
      <c r="T5" s="20" t="s">
        <v>703</v>
      </c>
      <c r="Z5" s="48">
        <v>2016</v>
      </c>
      <c r="AA5" s="48">
        <v>2015</v>
      </c>
      <c r="AB5" s="48">
        <v>2014</v>
      </c>
      <c r="AC5" s="48">
        <v>2013</v>
      </c>
      <c r="AD5" s="48">
        <v>2012</v>
      </c>
      <c r="AE5" s="48">
        <v>2011</v>
      </c>
      <c r="AF5" s="48">
        <v>2010</v>
      </c>
      <c r="AG5" s="48">
        <v>2009</v>
      </c>
    </row>
    <row r="6" spans="1:33">
      <c r="A6" s="24" t="s">
        <v>124</v>
      </c>
      <c r="B6" s="992">
        <v>5491</v>
      </c>
      <c r="C6" s="992">
        <v>5034</v>
      </c>
      <c r="D6" s="992">
        <v>4625.8999999999996</v>
      </c>
      <c r="E6" s="992">
        <v>3534.4</v>
      </c>
      <c r="F6" s="992">
        <v>4266.2</v>
      </c>
      <c r="G6" s="992">
        <v>4167.3999999999996</v>
      </c>
      <c r="H6" s="992">
        <v>4055.5</v>
      </c>
      <c r="I6" s="992">
        <v>4097.3</v>
      </c>
      <c r="J6" s="992">
        <v>4176.8999999999996</v>
      </c>
      <c r="K6" s="992">
        <v>3999.8</v>
      </c>
      <c r="L6" s="256">
        <v>3740</v>
      </c>
      <c r="M6" s="256">
        <v>3562.8</v>
      </c>
      <c r="N6" s="26" t="s">
        <v>704</v>
      </c>
      <c r="O6" t="s">
        <v>705</v>
      </c>
      <c r="P6"/>
      <c r="Q6" s="20" t="s">
        <v>706</v>
      </c>
      <c r="R6" s="20" t="s">
        <v>706</v>
      </c>
      <c r="X6" s="27"/>
      <c r="Y6" s="27"/>
      <c r="Z6" s="25">
        <v>38537</v>
      </c>
      <c r="AA6" s="25">
        <v>47011</v>
      </c>
      <c r="AB6" s="25">
        <v>55184</v>
      </c>
      <c r="AC6" s="25">
        <v>55656</v>
      </c>
      <c r="AD6" s="25">
        <v>65875</v>
      </c>
      <c r="AE6" s="25">
        <v>60138</v>
      </c>
      <c r="AF6" s="25">
        <v>42588</v>
      </c>
      <c r="AG6" s="25">
        <v>32396</v>
      </c>
    </row>
    <row r="7" spans="1:33">
      <c r="A7" s="24" t="s">
        <v>657</v>
      </c>
      <c r="B7" s="256">
        <v>2420.5</v>
      </c>
      <c r="C7" s="256">
        <v>2175.3000000000002</v>
      </c>
      <c r="D7" s="256">
        <v>1972</v>
      </c>
      <c r="E7" s="256">
        <v>1247.9000000000001</v>
      </c>
      <c r="F7" s="256">
        <v>1640.5</v>
      </c>
      <c r="G7" s="256">
        <v>1552.5</v>
      </c>
      <c r="H7" s="993">
        <v>1356.2</v>
      </c>
      <c r="I7" s="994">
        <v>1386.6</v>
      </c>
      <c r="J7" s="256">
        <v>1452.7</v>
      </c>
      <c r="K7" s="256">
        <v>1343.4</v>
      </c>
      <c r="L7" s="256">
        <v>1240.0999999999999</v>
      </c>
      <c r="M7" s="256">
        <v>1125.8</v>
      </c>
      <c r="N7" s="26" t="s">
        <v>704</v>
      </c>
      <c r="O7" t="str">
        <f>+A7</f>
        <v>Gross Profit</v>
      </c>
      <c r="P7"/>
      <c r="Q7" s="20" t="s">
        <v>706</v>
      </c>
      <c r="R7" s="20" t="s">
        <v>707</v>
      </c>
      <c r="Z7" s="29">
        <f>Z6-28044</f>
        <v>10493</v>
      </c>
      <c r="AA7" s="29">
        <f>AA6-33546</f>
        <v>13465</v>
      </c>
      <c r="AB7" s="29">
        <f>AB6-40718</f>
        <v>14466</v>
      </c>
      <c r="AC7" s="29">
        <f>AC6-40727</f>
        <v>14929</v>
      </c>
      <c r="AD7" s="30">
        <f>+AD6-47055</f>
        <v>18820</v>
      </c>
      <c r="AE7" s="30">
        <f>+AE6-43578</f>
        <v>16560</v>
      </c>
      <c r="AF7" s="30">
        <f>+AF6-30367</f>
        <v>12221</v>
      </c>
      <c r="AG7" s="30">
        <f>+AG6-23886</f>
        <v>8510</v>
      </c>
    </row>
    <row r="8" spans="1:33">
      <c r="A8" s="24" t="s">
        <v>303</v>
      </c>
      <c r="B8" s="995">
        <f>987.9-12.3</f>
        <v>975.6</v>
      </c>
      <c r="C8" s="995">
        <f>941.5+16.3</f>
        <v>957.8</v>
      </c>
      <c r="D8" s="995">
        <f>905.4-2.5</f>
        <v>902.9</v>
      </c>
      <c r="E8" s="995">
        <f>444.5+1.3</f>
        <v>445.8</v>
      </c>
      <c r="F8" s="995">
        <f>853.9+1.5</f>
        <v>855.4</v>
      </c>
      <c r="G8" s="995">
        <f>841.1-1.4</f>
        <v>839.7</v>
      </c>
      <c r="H8" s="996">
        <f>759.9+1.1</f>
        <v>761</v>
      </c>
      <c r="I8" s="997">
        <f>827.7-0.1</f>
        <v>827.6</v>
      </c>
      <c r="J8" s="997">
        <f>867.2+5.6</f>
        <v>872.80000000000007</v>
      </c>
      <c r="K8" s="997">
        <f>812.1-8.9</f>
        <v>803.2</v>
      </c>
      <c r="L8" s="997">
        <f>722.8+5.9</f>
        <v>728.69999999999993</v>
      </c>
      <c r="M8" s="997">
        <f>695.1-39.2</f>
        <v>655.9</v>
      </c>
      <c r="N8" s="26" t="s">
        <v>704</v>
      </c>
      <c r="O8" t="s">
        <v>303</v>
      </c>
      <c r="P8"/>
      <c r="Q8" s="20" t="s">
        <v>706</v>
      </c>
      <c r="R8" s="31" t="s">
        <v>708</v>
      </c>
      <c r="Z8" s="29">
        <f>Z7-4383</f>
        <v>6110</v>
      </c>
      <c r="AA8" s="29">
        <f>AA7-4951</f>
        <v>8514</v>
      </c>
      <c r="AB8" s="29">
        <f>AB7-6529</f>
        <v>7937</v>
      </c>
      <c r="AC8" s="29">
        <f>AC7-5547</f>
        <v>9382</v>
      </c>
      <c r="AD8" s="30">
        <f>AD7-5919-2466-797-580-485</f>
        <v>8573</v>
      </c>
      <c r="AE8" s="30">
        <f>+AE7-5203-2297-826-1081</f>
        <v>7153</v>
      </c>
      <c r="AF8" s="30">
        <f>+AF7-4248-1905-914-1191</f>
        <v>3963</v>
      </c>
      <c r="AG8" s="30">
        <f>+AG7-3645-1421-1045-1822</f>
        <v>577</v>
      </c>
    </row>
    <row r="9" spans="1:33">
      <c r="A9" s="24" t="s">
        <v>661</v>
      </c>
      <c r="B9" s="256">
        <f>108.6+12.3</f>
        <v>120.89999999999999</v>
      </c>
      <c r="C9" s="641">
        <v>-16.3</v>
      </c>
      <c r="D9" s="641">
        <v>2.5</v>
      </c>
      <c r="E9" s="641">
        <v>-1.3</v>
      </c>
      <c r="F9" s="641">
        <v>-1.5</v>
      </c>
      <c r="G9" s="641">
        <v>1.4</v>
      </c>
      <c r="H9" s="641">
        <v>-1.1000000000000001</v>
      </c>
      <c r="I9" s="641">
        <v>0.1</v>
      </c>
      <c r="J9" s="641">
        <v>-5.6</v>
      </c>
      <c r="K9" s="641">
        <f>8.9+12.6</f>
        <v>21.5</v>
      </c>
      <c r="L9" s="641">
        <v>-5.9</v>
      </c>
      <c r="M9" s="641">
        <v>39.200000000000003</v>
      </c>
      <c r="N9" s="26" t="s">
        <v>704</v>
      </c>
      <c r="O9" t="s">
        <v>709</v>
      </c>
      <c r="P9"/>
      <c r="Q9" s="20" t="s">
        <v>706</v>
      </c>
      <c r="R9" s="20" t="s">
        <v>710</v>
      </c>
      <c r="S9" s="20" t="s">
        <v>711</v>
      </c>
      <c r="T9" s="20" t="s">
        <v>712</v>
      </c>
      <c r="U9" s="20" t="s">
        <v>713</v>
      </c>
      <c r="V9" s="20" t="s">
        <v>714</v>
      </c>
      <c r="Z9" s="29">
        <f>1853+596+595+1904+6+8</f>
        <v>4962</v>
      </c>
      <c r="AA9" s="29">
        <f>2119+587+2023+11</f>
        <v>4740</v>
      </c>
      <c r="AB9" s="29">
        <f>2380+624+1619-8+16</f>
        <v>4631</v>
      </c>
      <c r="AC9" s="29">
        <f>2046+727+981+6+14</f>
        <v>3774</v>
      </c>
      <c r="AD9" s="30">
        <f>-14+41</f>
        <v>27</v>
      </c>
      <c r="AE9" s="29">
        <v>53</v>
      </c>
      <c r="AF9" s="29">
        <f>58+24</f>
        <v>82</v>
      </c>
      <c r="AG9" s="29">
        <f>12-68</f>
        <v>-56</v>
      </c>
    </row>
    <row r="10" spans="1:33">
      <c r="A10" s="24" t="s">
        <v>304</v>
      </c>
      <c r="B10" s="256">
        <v>-80.7</v>
      </c>
      <c r="C10" s="256">
        <v>-72.2</v>
      </c>
      <c r="D10" s="256">
        <v>-82.3</v>
      </c>
      <c r="E10" s="256">
        <v>-102.1</v>
      </c>
      <c r="F10" s="256">
        <v>-105.4</v>
      </c>
      <c r="G10" s="256">
        <v>-107.5</v>
      </c>
      <c r="H10" s="993">
        <v>-33.799999999999997</v>
      </c>
      <c r="I10" s="994">
        <v>-37.5</v>
      </c>
      <c r="J10" s="641">
        <v>-31.1</v>
      </c>
      <c r="K10" s="641">
        <v>-29.9</v>
      </c>
      <c r="L10" s="256">
        <v>-27.6</v>
      </c>
      <c r="M10" s="256">
        <v>-28.6</v>
      </c>
      <c r="N10" s="26" t="s">
        <v>704</v>
      </c>
      <c r="O10" t="s">
        <v>715</v>
      </c>
      <c r="P10"/>
      <c r="Q10" s="20" t="s">
        <v>706</v>
      </c>
      <c r="R10" s="20" t="s">
        <v>716</v>
      </c>
      <c r="Z10" s="29">
        <f>505+518</f>
        <v>1023</v>
      </c>
      <c r="AA10" s="29">
        <f>507-161</f>
        <v>346</v>
      </c>
      <c r="AB10" s="29">
        <f>484-322</f>
        <v>162</v>
      </c>
      <c r="AC10" s="29">
        <f>465+35</f>
        <v>500</v>
      </c>
      <c r="AD10" s="30">
        <f>467-130</f>
        <v>337</v>
      </c>
      <c r="AE10" s="29">
        <f>396+32</f>
        <v>428</v>
      </c>
      <c r="AF10" s="29">
        <f>343-130</f>
        <v>213</v>
      </c>
      <c r="AG10" s="29">
        <f>389-381</f>
        <v>8</v>
      </c>
    </row>
    <row r="11" spans="1:33">
      <c r="A11" s="24" t="s">
        <v>305</v>
      </c>
      <c r="B11" s="256">
        <v>-215.3</v>
      </c>
      <c r="C11" s="256">
        <v>-158.6</v>
      </c>
      <c r="D11" s="995">
        <v>-145.6</v>
      </c>
      <c r="E11" s="995">
        <v>-55.7</v>
      </c>
      <c r="F11" s="995">
        <v>-138.30000000000001</v>
      </c>
      <c r="G11" s="995">
        <v>-134.5</v>
      </c>
      <c r="H11" s="995">
        <v>-134.30000000000001</v>
      </c>
      <c r="I11" s="995">
        <v>-154.9</v>
      </c>
      <c r="J11" s="995">
        <v>-169.3</v>
      </c>
      <c r="K11" s="995">
        <v>-159.9</v>
      </c>
      <c r="L11" s="256">
        <v>-142</v>
      </c>
      <c r="M11" s="256">
        <v>-157.9</v>
      </c>
      <c r="N11" s="26" t="s">
        <v>704</v>
      </c>
      <c r="O11" t="s">
        <v>305</v>
      </c>
      <c r="P11"/>
      <c r="Q11" s="20" t="s">
        <v>706</v>
      </c>
      <c r="R11" s="20" t="s">
        <v>717</v>
      </c>
      <c r="Z11" s="25">
        <v>192</v>
      </c>
      <c r="AA11" s="25">
        <v>916</v>
      </c>
      <c r="AB11" s="25">
        <v>692</v>
      </c>
      <c r="AC11" s="25">
        <v>1319</v>
      </c>
      <c r="AD11" s="28">
        <f>2528</f>
        <v>2528</v>
      </c>
      <c r="AE11" s="25">
        <f>1720</f>
        <v>1720</v>
      </c>
      <c r="AF11" s="25">
        <f>968</f>
        <v>968</v>
      </c>
      <c r="AG11" s="25">
        <f>-270</f>
        <v>-270</v>
      </c>
    </row>
    <row r="12" spans="1:33">
      <c r="A12" s="24" t="s">
        <v>65</v>
      </c>
      <c r="B12" s="995">
        <v>800.5</v>
      </c>
      <c r="C12" s="995">
        <v>710.7</v>
      </c>
      <c r="D12" s="995">
        <v>677.5</v>
      </c>
      <c r="E12" s="995">
        <v>286.7</v>
      </c>
      <c r="F12" s="995">
        <v>610.20000000000005</v>
      </c>
      <c r="G12" s="995">
        <v>599.1</v>
      </c>
      <c r="H12" s="995">
        <v>591.79999999999995</v>
      </c>
      <c r="I12" s="995">
        <v>635.29999999999995</v>
      </c>
      <c r="J12" s="995">
        <v>666.8</v>
      </c>
      <c r="K12" s="995">
        <v>634.9</v>
      </c>
      <c r="L12" s="256">
        <v>553.20000000000005</v>
      </c>
      <c r="M12" s="256">
        <v>508.6</v>
      </c>
      <c r="N12" s="26" t="s">
        <v>704</v>
      </c>
      <c r="O12" t="s">
        <v>65</v>
      </c>
      <c r="P12"/>
      <c r="Q12" s="20" t="s">
        <v>718</v>
      </c>
      <c r="R12" s="20" t="s">
        <v>719</v>
      </c>
      <c r="Z12" s="25">
        <v>-67</v>
      </c>
      <c r="AA12" s="25">
        <v>2512</v>
      </c>
      <c r="AB12" s="25">
        <v>2452</v>
      </c>
      <c r="AC12" s="25">
        <v>3789</v>
      </c>
      <c r="AD12" s="25">
        <v>5681</v>
      </c>
      <c r="AE12" s="25">
        <f>4928+24</f>
        <v>4952</v>
      </c>
      <c r="AF12" s="25">
        <v>2700</v>
      </c>
      <c r="AG12" s="25">
        <v>895</v>
      </c>
    </row>
    <row r="13" spans="1:33">
      <c r="B13" s="334">
        <f>SUM(B8:B11)</f>
        <v>800.5</v>
      </c>
      <c r="C13" s="334">
        <f>SUM(C8:C11)</f>
        <v>710.69999999999993</v>
      </c>
      <c r="D13" s="334">
        <f t="shared" ref="D13:M13" si="1">SUM(D8:D11)</f>
        <v>677.5</v>
      </c>
      <c r="E13" s="334">
        <f t="shared" si="1"/>
        <v>286.7</v>
      </c>
      <c r="F13" s="334">
        <f t="shared" si="1"/>
        <v>610.20000000000005</v>
      </c>
      <c r="G13" s="334">
        <f t="shared" si="1"/>
        <v>599.1</v>
      </c>
      <c r="H13" s="334">
        <f t="shared" si="1"/>
        <v>591.79999999999995</v>
      </c>
      <c r="I13" s="334">
        <f t="shared" si="1"/>
        <v>635.30000000000007</v>
      </c>
      <c r="J13" s="334">
        <f>SUM(J8:J11)</f>
        <v>666.8</v>
      </c>
      <c r="K13" s="334">
        <f t="shared" si="1"/>
        <v>634.90000000000009</v>
      </c>
      <c r="L13" s="334">
        <f t="shared" si="1"/>
        <v>553.19999999999993</v>
      </c>
      <c r="M13" s="334">
        <f t="shared" si="1"/>
        <v>508.6</v>
      </c>
      <c r="N13"/>
      <c r="O13"/>
      <c r="P13"/>
      <c r="Z13" s="22">
        <f t="shared" ref="Z13:AG13" si="2">Z8-Z10-Z9-Z11</f>
        <v>-67</v>
      </c>
      <c r="AA13" s="22">
        <f t="shared" si="2"/>
        <v>2512</v>
      </c>
      <c r="AB13" s="22">
        <f t="shared" si="2"/>
        <v>2452</v>
      </c>
      <c r="AC13" s="22">
        <f t="shared" si="2"/>
        <v>3789</v>
      </c>
      <c r="AD13" s="22">
        <f t="shared" si="2"/>
        <v>5681</v>
      </c>
      <c r="AE13" s="22">
        <f t="shared" si="2"/>
        <v>4952</v>
      </c>
      <c r="AF13" s="22">
        <f t="shared" si="2"/>
        <v>2700</v>
      </c>
      <c r="AG13" s="22">
        <f t="shared" si="2"/>
        <v>895</v>
      </c>
    </row>
    <row r="14" spans="1:33">
      <c r="A14" s="48" t="s">
        <v>720</v>
      </c>
      <c r="B14" s="335">
        <f>B12-B13</f>
        <v>0</v>
      </c>
      <c r="C14" s="335">
        <f t="shared" ref="C14:M14" si="3">C12-C13</f>
        <v>0</v>
      </c>
      <c r="D14" s="335">
        <f t="shared" si="3"/>
        <v>0</v>
      </c>
      <c r="E14" s="335">
        <f t="shared" si="3"/>
        <v>0</v>
      </c>
      <c r="F14" s="335">
        <f t="shared" si="3"/>
        <v>0</v>
      </c>
      <c r="G14" s="335">
        <f t="shared" si="3"/>
        <v>0</v>
      </c>
      <c r="H14" s="335">
        <f t="shared" si="3"/>
        <v>0</v>
      </c>
      <c r="I14" s="335">
        <f t="shared" si="3"/>
        <v>0</v>
      </c>
      <c r="J14" s="335">
        <f t="shared" si="3"/>
        <v>0</v>
      </c>
      <c r="K14" s="335">
        <f t="shared" si="3"/>
        <v>0</v>
      </c>
      <c r="L14" s="335">
        <f t="shared" si="3"/>
        <v>0</v>
      </c>
      <c r="M14" s="335">
        <f t="shared" si="3"/>
        <v>0</v>
      </c>
      <c r="N14"/>
      <c r="O14"/>
      <c r="P14"/>
      <c r="Z14" s="33">
        <f t="shared" ref="Z14:AG14" si="4">Z12-Z13</f>
        <v>0</v>
      </c>
      <c r="AA14" s="33">
        <f t="shared" si="4"/>
        <v>0</v>
      </c>
      <c r="AB14" s="33">
        <f t="shared" si="4"/>
        <v>0</v>
      </c>
      <c r="AC14" s="33">
        <f t="shared" si="4"/>
        <v>0</v>
      </c>
      <c r="AD14" s="33">
        <f t="shared" si="4"/>
        <v>0</v>
      </c>
      <c r="AE14" s="33">
        <f t="shared" si="4"/>
        <v>0</v>
      </c>
      <c r="AF14" s="33">
        <f t="shared" si="4"/>
        <v>0</v>
      </c>
      <c r="AG14" s="33">
        <f t="shared" si="4"/>
        <v>0</v>
      </c>
    </row>
    <row r="15" spans="1:33">
      <c r="A15"/>
      <c r="B15" s="336"/>
      <c r="C15" s="336"/>
      <c r="D15" s="336"/>
      <c r="E15" s="336"/>
      <c r="F15" s="336"/>
      <c r="G15" s="336"/>
      <c r="H15" s="336"/>
      <c r="I15" s="336"/>
      <c r="J15" s="336"/>
      <c r="K15" s="336"/>
      <c r="L15" s="336"/>
      <c r="M15" s="336"/>
      <c r="N15"/>
      <c r="O15"/>
      <c r="P15"/>
      <c r="Z15" s="25"/>
      <c r="AA15" s="25"/>
      <c r="AB15" s="25"/>
      <c r="AC15" s="25"/>
      <c r="AD15" s="25"/>
      <c r="AE15" s="25"/>
      <c r="AF15" s="25"/>
      <c r="AG15" s="25"/>
    </row>
    <row r="16" spans="1:33">
      <c r="A16" s="24" t="s">
        <v>721</v>
      </c>
      <c r="B16" s="998">
        <v>121.3</v>
      </c>
      <c r="C16" s="998">
        <v>124.1</v>
      </c>
      <c r="D16" s="998">
        <v>127.6</v>
      </c>
      <c r="E16" s="998">
        <v>128.4</v>
      </c>
      <c r="F16" s="998">
        <v>129.19999999999999</v>
      </c>
      <c r="G16" s="998">
        <v>135.6</v>
      </c>
      <c r="H16" s="998">
        <v>142</v>
      </c>
      <c r="I16" s="998">
        <v>144</v>
      </c>
      <c r="J16" s="998">
        <v>148</v>
      </c>
      <c r="K16" s="998">
        <v>148.30000000000001</v>
      </c>
      <c r="L16" s="999">
        <v>151.1</v>
      </c>
      <c r="M16" s="999">
        <v>158.9</v>
      </c>
      <c r="N16" s="26"/>
      <c r="O16"/>
      <c r="P16"/>
      <c r="Z16" s="25"/>
      <c r="AA16" s="25"/>
      <c r="AB16" s="25"/>
      <c r="AC16" s="25"/>
      <c r="AD16" s="25"/>
      <c r="AE16" s="25"/>
      <c r="AF16" s="25"/>
      <c r="AG16" s="25"/>
    </row>
    <row r="17" spans="1:152">
      <c r="A17" s="24" t="s">
        <v>722</v>
      </c>
      <c r="B17" s="998">
        <v>122.4</v>
      </c>
      <c r="C17" s="998">
        <v>124.7</v>
      </c>
      <c r="D17" s="998">
        <v>129.30000000000001</v>
      </c>
      <c r="E17" s="998">
        <v>129.19999999999999</v>
      </c>
      <c r="F17" s="998">
        <v>130.19999999999999</v>
      </c>
      <c r="G17" s="998">
        <v>136.30000000000001</v>
      </c>
      <c r="H17" s="998">
        <v>142.4</v>
      </c>
      <c r="I17" s="998">
        <v>145</v>
      </c>
      <c r="J17" s="998">
        <v>150.5</v>
      </c>
      <c r="K17" s="998">
        <v>151.9</v>
      </c>
      <c r="L17" s="999">
        <v>155.6</v>
      </c>
      <c r="M17" s="999">
        <v>163.19999999999999</v>
      </c>
      <c r="N17" s="26"/>
      <c r="O17"/>
      <c r="P17"/>
      <c r="Z17" s="25"/>
      <c r="AA17" s="25"/>
      <c r="AB17" s="25"/>
      <c r="AC17" s="25"/>
      <c r="AD17" s="25"/>
      <c r="AE17" s="25"/>
      <c r="AF17" s="25"/>
      <c r="AG17" s="25"/>
    </row>
    <row r="18" spans="1:152" customFormat="1" ht="12.6">
      <c r="B18" s="1000"/>
      <c r="C18" s="1000"/>
      <c r="D18" s="1000"/>
      <c r="E18" s="1000"/>
      <c r="F18" s="1000"/>
      <c r="G18" s="1000"/>
      <c r="H18" s="1000"/>
      <c r="I18" s="1000"/>
      <c r="J18" s="1000"/>
      <c r="K18" s="1000"/>
      <c r="L18" s="1000"/>
      <c r="M18" s="1000"/>
    </row>
    <row r="19" spans="1:152">
      <c r="A19" s="24" t="s">
        <v>723</v>
      </c>
      <c r="B19" s="1001">
        <v>-3.8</v>
      </c>
      <c r="C19" s="1001">
        <v>1.2</v>
      </c>
      <c r="D19" s="1001">
        <v>-2.4</v>
      </c>
      <c r="E19" s="1001">
        <v>-2.5</v>
      </c>
      <c r="F19" s="1001">
        <v>2</v>
      </c>
      <c r="G19" s="1001">
        <v>-5.3</v>
      </c>
      <c r="H19" s="1002">
        <v>7.8</v>
      </c>
      <c r="I19" s="1001">
        <v>0.3</v>
      </c>
      <c r="J19" s="1001">
        <v>-3.1</v>
      </c>
      <c r="K19" s="1001">
        <v>-6.6</v>
      </c>
      <c r="L19" s="1001">
        <v>3</v>
      </c>
      <c r="M19" s="1001">
        <v>0</v>
      </c>
      <c r="N19" s="26"/>
      <c r="O19"/>
      <c r="P19"/>
      <c r="Z19" s="25"/>
      <c r="AA19" s="25"/>
      <c r="AB19" s="25"/>
      <c r="AC19" s="25"/>
      <c r="AD19" s="25"/>
      <c r="AE19" s="25"/>
      <c r="AF19" s="25"/>
      <c r="AG19" s="25"/>
    </row>
    <row r="20" spans="1:152">
      <c r="A20" s="9" t="s">
        <v>724</v>
      </c>
      <c r="B20" s="1001">
        <v>719.6</v>
      </c>
      <c r="C20" s="1001">
        <v>771.5</v>
      </c>
      <c r="D20" s="1001">
        <v>746.9</v>
      </c>
      <c r="E20" s="1001">
        <v>226</v>
      </c>
      <c r="F20" s="1001">
        <v>622.29999999999995</v>
      </c>
      <c r="G20" s="1001" t="s">
        <v>725</v>
      </c>
      <c r="H20" s="1002">
        <v>566.5</v>
      </c>
      <c r="I20" s="1001">
        <v>630.20000000000005</v>
      </c>
      <c r="J20" s="1001">
        <v>657.9</v>
      </c>
      <c r="K20" s="1001">
        <v>660.2</v>
      </c>
      <c r="L20" s="1001">
        <v>525.6</v>
      </c>
      <c r="M20" s="1001">
        <v>492.6</v>
      </c>
      <c r="N20" s="26"/>
      <c r="O20"/>
      <c r="P20"/>
      <c r="Z20" s="25"/>
      <c r="AA20" s="25"/>
      <c r="AB20" s="25"/>
      <c r="AC20" s="25"/>
      <c r="AD20" s="25"/>
      <c r="AE20" s="25"/>
      <c r="AF20" s="25"/>
      <c r="AG20" s="25"/>
    </row>
    <row r="21" spans="1:152" customFormat="1" ht="12.6">
      <c r="B21" s="1000"/>
      <c r="C21" s="1000"/>
      <c r="D21" s="1000"/>
      <c r="E21" s="1000"/>
      <c r="F21" s="1000"/>
      <c r="G21" s="1000"/>
      <c r="H21" s="1000"/>
      <c r="I21" s="1000"/>
      <c r="J21" s="1000"/>
      <c r="K21" s="1000"/>
      <c r="L21" s="1000"/>
      <c r="M21" s="1000"/>
    </row>
    <row r="22" spans="1:152">
      <c r="A22" s="20" t="s">
        <v>662</v>
      </c>
      <c r="B22" s="1003">
        <f t="shared" ref="B22:J22" si="5">B23-C23</f>
        <v>-22.500000000000227</v>
      </c>
      <c r="C22" s="1003">
        <f t="shared" si="5"/>
        <v>270.10000000000014</v>
      </c>
      <c r="D22" s="1003">
        <f>D23-E23</f>
        <v>282.5</v>
      </c>
      <c r="E22" s="1003">
        <f t="shared" si="5"/>
        <v>-435.4000000000002</v>
      </c>
      <c r="F22" s="1003">
        <f t="shared" si="5"/>
        <v>341.20000000000016</v>
      </c>
      <c r="G22" s="1003">
        <f t="shared" si="5"/>
        <v>-251.40000000000009</v>
      </c>
      <c r="H22" s="1003">
        <f t="shared" si="5"/>
        <v>-56.699999999999818</v>
      </c>
      <c r="I22" s="1003">
        <f>I23-J23</f>
        <v>480.59999999999974</v>
      </c>
      <c r="J22" s="1003">
        <f t="shared" si="5"/>
        <v>-48.599999999999852</v>
      </c>
      <c r="K22" s="1003">
        <f>K23-L23</f>
        <v>-1575.4</v>
      </c>
      <c r="L22" s="1003">
        <f>L23-M23</f>
        <v>141.79999999999995</v>
      </c>
      <c r="M22" s="1003">
        <f>M23-N23</f>
        <v>1887.5</v>
      </c>
      <c r="N22" s="32" t="s">
        <v>726</v>
      </c>
      <c r="O22" s="20" t="s">
        <v>727</v>
      </c>
      <c r="P22"/>
      <c r="Q22" s="20" t="s">
        <v>718</v>
      </c>
      <c r="Z22" s="25"/>
      <c r="AA22" s="25"/>
      <c r="AB22" s="25"/>
      <c r="AC22" s="25"/>
      <c r="AD22" s="28"/>
      <c r="AE22" s="25"/>
      <c r="AF22" s="25"/>
      <c r="AG22" s="25"/>
    </row>
    <row r="23" spans="1:152">
      <c r="A23" s="24" t="s">
        <v>728</v>
      </c>
      <c r="B23" s="999">
        <f t="shared" ref="B23" si="6">B27-B42-B28</f>
        <v>1013.6999999999998</v>
      </c>
      <c r="C23" s="999">
        <f t="shared" ref="C23:M23" si="7">C27-C42-C28</f>
        <v>1036.2</v>
      </c>
      <c r="D23" s="999">
        <f t="shared" si="7"/>
        <v>766.09999999999991</v>
      </c>
      <c r="E23" s="999">
        <f>E27-E42-E28</f>
        <v>483.59999999999991</v>
      </c>
      <c r="F23" s="999">
        <f>F27-F42-F28</f>
        <v>919.00000000000011</v>
      </c>
      <c r="G23" s="999">
        <f t="shared" si="7"/>
        <v>577.79999999999995</v>
      </c>
      <c r="H23" s="999">
        <f>H27-H42-H28</f>
        <v>829.2</v>
      </c>
      <c r="I23" s="999">
        <f t="shared" si="7"/>
        <v>885.89999999999986</v>
      </c>
      <c r="J23" s="999">
        <f t="shared" si="7"/>
        <v>405.30000000000013</v>
      </c>
      <c r="K23" s="999">
        <f t="shared" si="7"/>
        <v>453.9</v>
      </c>
      <c r="L23" s="999">
        <f t="shared" si="7"/>
        <v>2029.3</v>
      </c>
      <c r="M23" s="999">
        <f t="shared" si="7"/>
        <v>1887.5</v>
      </c>
      <c r="N23" s="32"/>
      <c r="O23"/>
      <c r="P23"/>
      <c r="Z23" s="25"/>
      <c r="AA23" s="25"/>
      <c r="AB23" s="25"/>
      <c r="AC23" s="25"/>
      <c r="AD23" s="28"/>
      <c r="AE23" s="25"/>
      <c r="AF23" s="25"/>
      <c r="AG23" s="25"/>
    </row>
    <row r="24" spans="1:152">
      <c r="A24" s="7">
        <v>2625</v>
      </c>
      <c r="B24" s="1004">
        <v>2625</v>
      </c>
      <c r="C24" s="1004">
        <v>2625</v>
      </c>
      <c r="D24" s="1004">
        <v>2625</v>
      </c>
      <c r="E24" s="1004">
        <v>2625</v>
      </c>
      <c r="F24" s="1004">
        <v>2625</v>
      </c>
      <c r="G24" s="1004">
        <v>2625</v>
      </c>
      <c r="H24" s="1004">
        <v>2625</v>
      </c>
      <c r="I24" s="1004">
        <v>2625</v>
      </c>
      <c r="J24" s="1004">
        <v>2625</v>
      </c>
      <c r="K24" s="1004">
        <v>2625</v>
      </c>
      <c r="L24" s="1004">
        <v>2625</v>
      </c>
      <c r="M24" s="1004">
        <v>2625</v>
      </c>
      <c r="N24" s="7">
        <v>2625</v>
      </c>
      <c r="O24"/>
      <c r="P24"/>
      <c r="Q24" s="20" t="s">
        <v>718</v>
      </c>
      <c r="R24" s="20" t="s">
        <v>729</v>
      </c>
      <c r="T24" s="20" t="s">
        <v>730</v>
      </c>
      <c r="Z24" s="25">
        <v>1799</v>
      </c>
      <c r="AA24" s="25">
        <v>1757</v>
      </c>
      <c r="AB24" s="25">
        <v>1620</v>
      </c>
      <c r="AC24" s="25">
        <v>1111</v>
      </c>
      <c r="AD24" s="25">
        <v>1617</v>
      </c>
      <c r="AE24" s="25">
        <v>1159</v>
      </c>
      <c r="AF24" s="25">
        <v>1084</v>
      </c>
      <c r="AG24" s="25">
        <v>1029</v>
      </c>
    </row>
    <row r="25" spans="1:152">
      <c r="A25" s="48" t="s">
        <v>495</v>
      </c>
      <c r="B25" s="1004">
        <v>2625</v>
      </c>
      <c r="C25" s="1004">
        <v>2625</v>
      </c>
      <c r="D25" s="1004">
        <v>2625</v>
      </c>
      <c r="E25" s="1004">
        <v>2625</v>
      </c>
      <c r="F25" s="1004">
        <v>2625</v>
      </c>
      <c r="G25" s="1004">
        <v>2625</v>
      </c>
      <c r="H25" s="1004">
        <v>2625</v>
      </c>
      <c r="I25" s="1004">
        <v>2625</v>
      </c>
      <c r="J25" s="1004">
        <v>2625</v>
      </c>
      <c r="K25" s="1004">
        <v>2625</v>
      </c>
      <c r="L25" s="1004">
        <v>2625</v>
      </c>
      <c r="M25" s="1004">
        <v>2625</v>
      </c>
      <c r="N25" s="7">
        <v>2625</v>
      </c>
      <c r="O25"/>
      <c r="P25"/>
      <c r="Q25" s="20" t="s">
        <v>718</v>
      </c>
      <c r="R25" s="20" t="s">
        <v>731</v>
      </c>
      <c r="S25" s="20" t="s">
        <v>732</v>
      </c>
      <c r="T25" s="20" t="s">
        <v>733</v>
      </c>
      <c r="Z25" s="25">
        <v>23</v>
      </c>
      <c r="AA25" s="25">
        <f>-33+2025</f>
        <v>1992</v>
      </c>
      <c r="AB25" s="25">
        <v>3817</v>
      </c>
      <c r="AC25" s="25">
        <v>1776</v>
      </c>
      <c r="AD25" s="25">
        <v>-244</v>
      </c>
      <c r="AE25" s="25">
        <v>-312</v>
      </c>
      <c r="AF25" s="25">
        <v>-449</v>
      </c>
      <c r="AG25" s="25">
        <v>-110</v>
      </c>
    </row>
    <row r="26" spans="1:152" ht="14.45" thickBot="1">
      <c r="A26" s="101" t="s">
        <v>734</v>
      </c>
      <c r="B26" s="1005"/>
      <c r="C26" s="1005"/>
      <c r="D26" s="1005"/>
      <c r="E26" s="1005"/>
      <c r="F26" s="1005"/>
      <c r="G26" s="1005"/>
      <c r="H26" s="1005"/>
      <c r="I26" s="1005"/>
      <c r="J26" s="1005"/>
      <c r="K26" s="1005"/>
      <c r="L26" s="1005"/>
      <c r="M26" s="1005"/>
      <c r="N26" s="7">
        <v>1922</v>
      </c>
      <c r="O26" s="7">
        <v>2625</v>
      </c>
      <c r="P26"/>
      <c r="Z26" s="25"/>
      <c r="AA26" s="25"/>
      <c r="AB26" s="25"/>
      <c r="AC26" s="25"/>
      <c r="AD26" s="25"/>
      <c r="AE26" s="25"/>
      <c r="AF26" s="25"/>
      <c r="AG26" s="25"/>
    </row>
    <row r="27" spans="1:152" ht="14.45" thickBot="1">
      <c r="A27" s="9" t="s">
        <v>735</v>
      </c>
      <c r="B27" s="1006">
        <v>2447.6999999999998</v>
      </c>
      <c r="C27" s="1006">
        <v>2234.5</v>
      </c>
      <c r="D27" s="1006">
        <v>2407.1999999999998</v>
      </c>
      <c r="E27" s="1006">
        <v>2288.6</v>
      </c>
      <c r="F27" s="1006">
        <v>1955.4</v>
      </c>
      <c r="G27" s="1006">
        <v>1977.8</v>
      </c>
      <c r="H27" s="1006">
        <v>1797.5</v>
      </c>
      <c r="I27" s="1006">
        <v>1660.6</v>
      </c>
      <c r="J27" s="1006">
        <v>1642.2</v>
      </c>
      <c r="K27" s="1006">
        <v>1616</v>
      </c>
      <c r="L27" s="1007">
        <v>1468.1</v>
      </c>
      <c r="M27" s="1007">
        <v>1207.8</v>
      </c>
      <c r="N27" s="7"/>
      <c r="O27" s="7"/>
      <c r="P27"/>
      <c r="Z27" s="25"/>
      <c r="AA27" s="25"/>
      <c r="AB27" s="25"/>
      <c r="AC27" s="25"/>
      <c r="AD27" s="25"/>
      <c r="AE27" s="25"/>
      <c r="AF27" s="25"/>
      <c r="AG27" s="25"/>
    </row>
    <row r="28" spans="1:152">
      <c r="A28" s="98" t="s">
        <v>308</v>
      </c>
      <c r="B28" s="1008">
        <v>188.3</v>
      </c>
      <c r="C28" s="1008">
        <v>105</v>
      </c>
      <c r="D28" s="1008">
        <v>433</v>
      </c>
      <c r="E28" s="1008">
        <v>608.20000000000005</v>
      </c>
      <c r="F28" s="1008">
        <v>86.6</v>
      </c>
      <c r="G28" s="1008">
        <v>156.30000000000001</v>
      </c>
      <c r="H28" s="1008">
        <v>53.5</v>
      </c>
      <c r="I28" s="1008">
        <v>49.7</v>
      </c>
      <c r="J28" s="1008">
        <v>66.3</v>
      </c>
      <c r="K28" s="1008">
        <v>275.5</v>
      </c>
      <c r="L28" s="1008">
        <v>273.3</v>
      </c>
      <c r="M28" s="1008">
        <v>136.30000000000001</v>
      </c>
      <c r="N28" s="35" t="s">
        <v>736</v>
      </c>
      <c r="O28" t="s">
        <v>308</v>
      </c>
      <c r="P28"/>
      <c r="Z28" s="34"/>
      <c r="AA28" s="34"/>
      <c r="AB28" s="34"/>
      <c r="AC28" s="34"/>
      <c r="AD28" s="34"/>
      <c r="AE28" s="33"/>
      <c r="AF28" s="33"/>
      <c r="AG28" s="33"/>
    </row>
    <row r="29" spans="1:152">
      <c r="A29" s="99" t="s">
        <v>671</v>
      </c>
      <c r="B29" s="1009">
        <f>1333.3-64.9</f>
        <v>1268.3999999999999</v>
      </c>
      <c r="C29" s="1009">
        <f>1297.3-42.9</f>
        <v>1254.3999999999999</v>
      </c>
      <c r="D29" s="1009">
        <f>1187.1-24.9</f>
        <v>1162.1999999999998</v>
      </c>
      <c r="E29" s="1009">
        <f>1041.5-14</f>
        <v>1027.5</v>
      </c>
      <c r="F29" s="1009">
        <f>1260-26.4</f>
        <v>1233.5999999999999</v>
      </c>
      <c r="G29" s="1009">
        <f>1230.5-23.8</f>
        <v>1206.7</v>
      </c>
      <c r="H29" s="1009">
        <f>1138.5-21.7</f>
        <v>1116.8</v>
      </c>
      <c r="I29" s="1009">
        <f>1025.1-23.6</f>
        <v>1001.4999999999999</v>
      </c>
      <c r="J29" s="1009">
        <f>1050.5-86.1-22.5</f>
        <v>941.9</v>
      </c>
      <c r="K29" s="1009">
        <f>844.3-89.9-25.5</f>
        <v>728.9</v>
      </c>
      <c r="L29" s="1001">
        <f>808-94-21.6</f>
        <v>692.4</v>
      </c>
      <c r="M29" s="1001">
        <f>718.1-86.8-21.2</f>
        <v>610.1</v>
      </c>
      <c r="N29" s="35" t="s">
        <v>736</v>
      </c>
      <c r="O29" t="s">
        <v>671</v>
      </c>
      <c r="P29"/>
      <c r="Z29" s="34"/>
      <c r="AA29" s="34"/>
      <c r="AB29" s="34"/>
      <c r="AC29" s="34"/>
      <c r="AD29" s="34"/>
      <c r="AE29" s="33"/>
      <c r="AF29" s="33"/>
      <c r="AG29" s="33"/>
    </row>
    <row r="30" spans="1:152">
      <c r="A30" s="98" t="s">
        <v>310</v>
      </c>
      <c r="B30" s="999">
        <v>769</v>
      </c>
      <c r="C30" s="999" t="s">
        <v>737</v>
      </c>
      <c r="D30" s="998">
        <v>633</v>
      </c>
      <c r="E30" s="998">
        <v>536.9</v>
      </c>
      <c r="F30" s="998">
        <v>527.6</v>
      </c>
      <c r="G30" s="998">
        <v>502.8</v>
      </c>
      <c r="H30" s="998">
        <v>490.1</v>
      </c>
      <c r="I30" s="998">
        <v>451.1</v>
      </c>
      <c r="J30" s="998">
        <v>486.5</v>
      </c>
      <c r="K30" s="998">
        <v>416.8</v>
      </c>
      <c r="L30" s="999">
        <v>385.6</v>
      </c>
      <c r="M30" s="999">
        <v>331.8</v>
      </c>
      <c r="N30" s="35" t="s">
        <v>736</v>
      </c>
      <c r="O30" t="s">
        <v>310</v>
      </c>
      <c r="P30"/>
      <c r="Q30" s="20" t="s">
        <v>738</v>
      </c>
      <c r="R30" s="20" t="s">
        <v>739</v>
      </c>
      <c r="Z30" s="25">
        <v>7168</v>
      </c>
      <c r="AA30" s="25">
        <v>6460</v>
      </c>
      <c r="AB30" s="25">
        <v>7341</v>
      </c>
      <c r="AC30" s="25">
        <v>6081</v>
      </c>
      <c r="AD30" s="25">
        <v>5490</v>
      </c>
      <c r="AE30" s="25">
        <v>3057</v>
      </c>
      <c r="AF30" s="25">
        <v>3592</v>
      </c>
      <c r="AG30" s="25">
        <v>4867</v>
      </c>
    </row>
    <row r="31" spans="1:152" s="21" customFormat="1">
      <c r="A31" s="98" t="s">
        <v>740</v>
      </c>
      <c r="B31" s="1001">
        <f>B27-SUM(B28:B30)</f>
        <v>222</v>
      </c>
      <c r="C31" s="1001">
        <f t="shared" ref="C31:M31" si="8">C27-SUM(C28:C30)</f>
        <v>875.10000000000014</v>
      </c>
      <c r="D31" s="1001">
        <f t="shared" si="8"/>
        <v>179</v>
      </c>
      <c r="E31" s="1001">
        <f>E27-SUM(E28:E30)</f>
        <v>116</v>
      </c>
      <c r="F31" s="1001">
        <f t="shared" si="8"/>
        <v>107.60000000000036</v>
      </c>
      <c r="G31" s="1001">
        <f t="shared" si="8"/>
        <v>112</v>
      </c>
      <c r="H31" s="1001">
        <f t="shared" si="8"/>
        <v>137.09999999999991</v>
      </c>
      <c r="I31" s="1001">
        <f t="shared" si="8"/>
        <v>158.30000000000018</v>
      </c>
      <c r="J31" s="1001">
        <f t="shared" si="8"/>
        <v>147.50000000000023</v>
      </c>
      <c r="K31" s="1001">
        <f t="shared" si="8"/>
        <v>194.79999999999995</v>
      </c>
      <c r="L31" s="1001">
        <f t="shared" si="8"/>
        <v>116.79999999999973</v>
      </c>
      <c r="M31" s="1001">
        <f t="shared" si="8"/>
        <v>129.59999999999991</v>
      </c>
      <c r="N31" s="35" t="s">
        <v>736</v>
      </c>
      <c r="O31" t="s">
        <v>310</v>
      </c>
      <c r="P31"/>
      <c r="Q31" s="20" t="s">
        <v>738</v>
      </c>
      <c r="R31" s="20" t="s">
        <v>741</v>
      </c>
      <c r="S31" s="20" t="s">
        <v>742</v>
      </c>
      <c r="T31" s="20" t="s">
        <v>743</v>
      </c>
      <c r="U31" s="20"/>
      <c r="V31" s="20"/>
      <c r="W31" s="20"/>
      <c r="X31" s="20"/>
      <c r="Y31" s="20"/>
      <c r="Z31" s="29">
        <f>5981+8522+1029+13556</f>
        <v>29088</v>
      </c>
      <c r="AA31" s="29">
        <f>6695+8991+1170+13651</f>
        <v>30507</v>
      </c>
      <c r="AB31" s="29">
        <f>7737+9027+1364+14644</f>
        <v>32772</v>
      </c>
      <c r="AC31" s="29">
        <v>33499</v>
      </c>
      <c r="AD31" s="29">
        <v>33911</v>
      </c>
      <c r="AE31" s="29">
        <v>31031</v>
      </c>
      <c r="AF31" s="29">
        <v>28849</v>
      </c>
      <c r="AG31" s="29">
        <v>27162</v>
      </c>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c r="CY31" s="20"/>
      <c r="CZ31" s="20"/>
      <c r="DA31" s="20"/>
      <c r="DB31" s="20"/>
      <c r="DC31" s="20"/>
      <c r="DD31" s="20"/>
      <c r="DE31" s="20"/>
      <c r="DF31" s="20"/>
      <c r="DG31" s="20"/>
      <c r="DH31" s="20"/>
      <c r="DI31" s="20"/>
      <c r="DJ31" s="20"/>
      <c r="DK31" s="20"/>
      <c r="DL31" s="20"/>
      <c r="DM31" s="20"/>
      <c r="DN31" s="20"/>
      <c r="DO31" s="20"/>
      <c r="DP31" s="20"/>
      <c r="DQ31" s="20"/>
      <c r="DR31" s="20"/>
      <c r="DS31" s="20"/>
      <c r="DT31" s="20"/>
      <c r="DU31" s="20"/>
      <c r="DV31" s="20"/>
      <c r="DW31" s="20"/>
      <c r="DX31" s="20"/>
      <c r="DY31" s="20"/>
      <c r="DZ31" s="20"/>
      <c r="EA31" s="20"/>
      <c r="EB31" s="20"/>
      <c r="EC31" s="20"/>
      <c r="ED31" s="20"/>
      <c r="EE31" s="20"/>
      <c r="EF31" s="20"/>
      <c r="EG31" s="20"/>
      <c r="EH31" s="20"/>
      <c r="EI31" s="20"/>
      <c r="EJ31" s="20"/>
      <c r="EK31" s="20"/>
      <c r="EL31" s="20"/>
      <c r="EM31" s="20"/>
      <c r="EN31" s="20"/>
      <c r="EO31" s="20"/>
      <c r="EP31" s="20"/>
      <c r="EQ31" s="20"/>
      <c r="ER31" s="20"/>
      <c r="ES31" s="20"/>
      <c r="ET31" s="20"/>
      <c r="EU31" s="20"/>
      <c r="EV31" s="20"/>
    </row>
    <row r="32" spans="1:152" s="21" customFormat="1">
      <c r="A32" s="9" t="s">
        <v>744</v>
      </c>
      <c r="B32" s="1007">
        <f t="shared" ref="B32:M32" si="9">B38-B27</f>
        <v>2276.6000000000004</v>
      </c>
      <c r="C32" s="1007">
        <f t="shared" si="9"/>
        <v>1749.3000000000002</v>
      </c>
      <c r="D32" s="1007">
        <f t="shared" si="9"/>
        <v>1574.6000000000004</v>
      </c>
      <c r="E32" s="1007">
        <f t="shared" si="9"/>
        <v>1469.4</v>
      </c>
      <c r="F32" s="1007">
        <f t="shared" si="9"/>
        <v>1717.9</v>
      </c>
      <c r="G32" s="1007">
        <f t="shared" si="9"/>
        <v>1764.8</v>
      </c>
      <c r="H32" s="1007">
        <f t="shared" si="9"/>
        <v>764</v>
      </c>
      <c r="I32" s="1007">
        <f t="shared" si="9"/>
        <v>744.20000000000027</v>
      </c>
      <c r="J32" s="1007">
        <f t="shared" si="9"/>
        <v>687.89999999999986</v>
      </c>
      <c r="K32" s="1007">
        <f t="shared" si="9"/>
        <v>666.30000000000018</v>
      </c>
      <c r="L32" s="1007">
        <f t="shared" si="9"/>
        <v>676.5</v>
      </c>
      <c r="M32" s="1007">
        <f t="shared" si="9"/>
        <v>685.8</v>
      </c>
      <c r="N32" s="35"/>
      <c r="O32"/>
      <c r="P32"/>
      <c r="Q32" s="20"/>
      <c r="R32" s="20"/>
      <c r="S32" s="20"/>
      <c r="T32" s="20"/>
      <c r="U32" s="20"/>
      <c r="V32" s="20"/>
      <c r="W32" s="20"/>
      <c r="X32" s="20"/>
      <c r="Y32" s="20"/>
      <c r="Z32" s="29"/>
      <c r="AA32" s="29"/>
      <c r="AB32" s="29"/>
      <c r="AC32" s="29"/>
      <c r="AD32" s="29"/>
      <c r="AE32" s="29"/>
      <c r="AF32" s="29"/>
      <c r="AG32" s="29"/>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c r="CI32" s="20"/>
      <c r="CJ32" s="20"/>
      <c r="CK32" s="20"/>
      <c r="CL32" s="20"/>
      <c r="CM32" s="20"/>
      <c r="CN32" s="20"/>
      <c r="CO32" s="20"/>
      <c r="CP32" s="20"/>
      <c r="CQ32" s="20"/>
      <c r="CR32" s="20"/>
      <c r="CS32" s="20"/>
      <c r="CT32" s="20"/>
      <c r="CU32" s="20"/>
      <c r="CV32" s="20"/>
      <c r="CW32" s="20"/>
      <c r="CX32" s="20"/>
      <c r="CY32" s="20"/>
      <c r="CZ32" s="20"/>
      <c r="DA32" s="20"/>
      <c r="DB32" s="20"/>
      <c r="DC32" s="20"/>
      <c r="DD32" s="20"/>
      <c r="DE32" s="20"/>
      <c r="DF32" s="20"/>
      <c r="DG32" s="20"/>
      <c r="DH32" s="20"/>
      <c r="DI32" s="20"/>
      <c r="DJ32" s="20"/>
      <c r="DK32" s="20"/>
      <c r="DL32" s="20"/>
      <c r="DM32" s="20"/>
      <c r="DN32" s="20"/>
      <c r="DO32" s="20"/>
      <c r="DP32" s="20"/>
      <c r="DQ32" s="20"/>
      <c r="DR32" s="20"/>
      <c r="DS32" s="20"/>
      <c r="DT32" s="20"/>
      <c r="DU32" s="20"/>
      <c r="DV32" s="20"/>
      <c r="DW32" s="20"/>
      <c r="DX32" s="20"/>
      <c r="DY32" s="20"/>
      <c r="DZ32" s="20"/>
      <c r="EA32" s="20"/>
      <c r="EB32" s="20"/>
      <c r="EC32" s="20"/>
      <c r="ED32" s="20"/>
      <c r="EE32" s="20"/>
      <c r="EF32" s="20"/>
      <c r="EG32" s="20"/>
      <c r="EH32" s="20"/>
      <c r="EI32" s="20"/>
      <c r="EJ32" s="20"/>
      <c r="EK32" s="20"/>
      <c r="EL32" s="20"/>
      <c r="EM32" s="20"/>
      <c r="EN32" s="20"/>
      <c r="EO32" s="20"/>
      <c r="EP32" s="20"/>
      <c r="EQ32" s="20"/>
      <c r="ER32" s="20"/>
      <c r="ES32" s="20"/>
      <c r="ET32" s="20"/>
      <c r="EU32" s="20"/>
      <c r="EV32" s="20"/>
    </row>
    <row r="33" spans="1:33">
      <c r="A33" s="100" t="s">
        <v>672</v>
      </c>
      <c r="B33" s="999">
        <v>687.5</v>
      </c>
      <c r="C33" s="999">
        <v>644.79999999999995</v>
      </c>
      <c r="D33" s="999">
        <v>601.1</v>
      </c>
      <c r="E33" s="999">
        <v>474.8</v>
      </c>
      <c r="F33" s="999">
        <v>578.5</v>
      </c>
      <c r="G33" s="999">
        <v>564.9</v>
      </c>
      <c r="H33" s="999">
        <v>558.9</v>
      </c>
      <c r="I33" s="999">
        <v>578.6</v>
      </c>
      <c r="J33" s="999">
        <v>536.4</v>
      </c>
      <c r="K33" s="999">
        <v>503.3</v>
      </c>
      <c r="L33" s="999">
        <v>509.2</v>
      </c>
      <c r="M33" s="999">
        <v>537.29999999999995</v>
      </c>
      <c r="N33" s="35"/>
      <c r="O33"/>
      <c r="P33"/>
      <c r="Q33" s="20" t="s">
        <v>738</v>
      </c>
      <c r="R33" s="20" t="s">
        <v>745</v>
      </c>
      <c r="Z33" s="25">
        <v>8614</v>
      </c>
      <c r="AA33" s="25">
        <v>9700</v>
      </c>
      <c r="AB33" s="25">
        <v>12205</v>
      </c>
      <c r="AC33" s="25">
        <v>12625</v>
      </c>
      <c r="AD33" s="25">
        <v>15547</v>
      </c>
      <c r="AE33" s="25">
        <v>14544</v>
      </c>
      <c r="AF33" s="25">
        <v>9587</v>
      </c>
      <c r="AG33" s="25">
        <v>6360</v>
      </c>
    </row>
    <row r="34" spans="1:33">
      <c r="A34" s="100" t="s">
        <v>746</v>
      </c>
      <c r="B34" s="999">
        <v>734.6</v>
      </c>
      <c r="C34" s="999">
        <v>662</v>
      </c>
      <c r="D34" s="999" t="s">
        <v>747</v>
      </c>
      <c r="E34" s="999" t="s">
        <v>748</v>
      </c>
      <c r="F34" s="999" t="s">
        <v>749</v>
      </c>
      <c r="G34" s="999" t="s">
        <v>750</v>
      </c>
      <c r="H34" s="999">
        <v>0</v>
      </c>
      <c r="I34" s="999">
        <v>0</v>
      </c>
      <c r="J34" s="999">
        <v>0</v>
      </c>
      <c r="K34" s="999">
        <v>0</v>
      </c>
      <c r="L34" s="999">
        <v>0</v>
      </c>
      <c r="M34" s="999">
        <v>0</v>
      </c>
      <c r="N34" s="35"/>
      <c r="O34"/>
      <c r="P34"/>
      <c r="Z34" s="25"/>
      <c r="AA34" s="25"/>
      <c r="AB34" s="25"/>
      <c r="AC34" s="25"/>
      <c r="AD34" s="25"/>
      <c r="AE34" s="25"/>
      <c r="AF34" s="25"/>
      <c r="AG34" s="25"/>
    </row>
    <row r="35" spans="1:33">
      <c r="A35" s="100" t="s">
        <v>751</v>
      </c>
      <c r="B35" s="1001">
        <v>38</v>
      </c>
      <c r="C35" s="1001">
        <v>114.6</v>
      </c>
      <c r="D35" s="1001">
        <v>46.2</v>
      </c>
      <c r="E35" s="1001">
        <v>5</v>
      </c>
      <c r="F35" s="1001">
        <v>5</v>
      </c>
      <c r="G35" s="1001">
        <v>5.0999999999999996</v>
      </c>
      <c r="H35" s="1001">
        <v>2.1</v>
      </c>
      <c r="I35" s="1001">
        <v>2.1</v>
      </c>
      <c r="J35" s="1001">
        <v>2.2000000000000002</v>
      </c>
      <c r="K35" s="1001">
        <v>2.1</v>
      </c>
      <c r="L35" s="1001">
        <v>7.9</v>
      </c>
      <c r="M35" s="1001">
        <v>7.2</v>
      </c>
      <c r="N35" s="35"/>
      <c r="O35"/>
      <c r="P35"/>
      <c r="Z35" s="25"/>
      <c r="AA35" s="25"/>
      <c r="AB35" s="25"/>
      <c r="AC35" s="25"/>
      <c r="AD35" s="25"/>
      <c r="AE35" s="25"/>
      <c r="AF35" s="25"/>
      <c r="AG35" s="25"/>
    </row>
    <row r="36" spans="1:33">
      <c r="A36" s="100" t="s">
        <v>752</v>
      </c>
      <c r="B36" s="999">
        <f>B32-SUM(B33:B35)</f>
        <v>816.50000000000045</v>
      </c>
      <c r="C36" s="999">
        <f>C32-SUM(C33:C35)</f>
        <v>327.90000000000032</v>
      </c>
      <c r="D36" s="999">
        <f t="shared" ref="D36" si="10">D32-SUM(D33:D35)</f>
        <v>927.3000000000003</v>
      </c>
      <c r="E36" s="999">
        <f>E32-SUM(E33:E35)</f>
        <v>989.60000000000014</v>
      </c>
      <c r="F36" s="999">
        <f t="shared" ref="F36" si="11">F32-SUM(F33:F35)</f>
        <v>1134.4000000000001</v>
      </c>
      <c r="G36" s="999">
        <f t="shared" ref="G36" si="12">G32-SUM(G33:G35)</f>
        <v>1194.8</v>
      </c>
      <c r="H36" s="999">
        <f t="shared" ref="H36" si="13">H32-SUM(H33:H35)</f>
        <v>203</v>
      </c>
      <c r="I36" s="999">
        <f t="shared" ref="I36" si="14">I32-SUM(I33:I35)</f>
        <v>163.50000000000023</v>
      </c>
      <c r="J36" s="999">
        <f t="shared" ref="J36" si="15">J32-SUM(J33:J35)</f>
        <v>149.29999999999984</v>
      </c>
      <c r="K36" s="999">
        <f t="shared" ref="K36" si="16">K32-SUM(K33:K35)</f>
        <v>160.90000000000015</v>
      </c>
      <c r="L36" s="999">
        <f t="shared" ref="L36" si="17">L32-SUM(L33:L35)</f>
        <v>159.39999999999998</v>
      </c>
      <c r="M36" s="999">
        <f t="shared" ref="M36" si="18">M32-SUM(M33:M35)</f>
        <v>141.29999999999995</v>
      </c>
      <c r="N36" s="35" t="s">
        <v>736</v>
      </c>
      <c r="O36" t="s">
        <v>672</v>
      </c>
      <c r="P36"/>
      <c r="Z36" s="25"/>
      <c r="AA36" s="25"/>
      <c r="AB36" s="25"/>
      <c r="AC36" s="25"/>
      <c r="AD36" s="25"/>
      <c r="AE36" s="25"/>
      <c r="AF36" s="25"/>
      <c r="AG36" s="25"/>
    </row>
    <row r="37" spans="1:33">
      <c r="A37" s="100" t="s">
        <v>673</v>
      </c>
      <c r="B37" s="999">
        <f>B31+B36</f>
        <v>1038.5000000000005</v>
      </c>
      <c r="C37" s="999">
        <f>C31+C36</f>
        <v>1203.0000000000005</v>
      </c>
      <c r="D37" s="999">
        <f t="shared" ref="D37:M37" si="19">D31+D36</f>
        <v>1106.3000000000002</v>
      </c>
      <c r="E37" s="999">
        <f t="shared" si="19"/>
        <v>1105.6000000000001</v>
      </c>
      <c r="F37" s="999">
        <f t="shared" si="19"/>
        <v>1242.0000000000005</v>
      </c>
      <c r="G37" s="999">
        <f t="shared" si="19"/>
        <v>1306.8</v>
      </c>
      <c r="H37" s="999">
        <f t="shared" si="19"/>
        <v>340.09999999999991</v>
      </c>
      <c r="I37" s="999">
        <f t="shared" si="19"/>
        <v>321.80000000000041</v>
      </c>
      <c r="J37" s="999">
        <f t="shared" si="19"/>
        <v>296.80000000000007</v>
      </c>
      <c r="K37" s="999">
        <f t="shared" si="19"/>
        <v>355.7000000000001</v>
      </c>
      <c r="L37" s="999">
        <f t="shared" si="19"/>
        <v>276.1999999999997</v>
      </c>
      <c r="M37" s="999">
        <f t="shared" si="19"/>
        <v>270.89999999999986</v>
      </c>
      <c r="N37" s="35" t="s">
        <v>736</v>
      </c>
      <c r="O37"/>
      <c r="P37"/>
      <c r="Z37" s="25"/>
      <c r="AA37" s="25"/>
      <c r="AB37" s="25"/>
      <c r="AC37" s="25"/>
      <c r="AD37" s="25"/>
      <c r="AE37" s="25"/>
      <c r="AF37" s="25"/>
      <c r="AG37" s="25"/>
    </row>
    <row r="38" spans="1:33">
      <c r="A38" s="9" t="s">
        <v>42</v>
      </c>
      <c r="B38" s="1007">
        <v>4724.3</v>
      </c>
      <c r="C38" s="1007">
        <v>3983.8</v>
      </c>
      <c r="D38" s="1007">
        <v>3981.8</v>
      </c>
      <c r="E38" s="1007">
        <v>3758</v>
      </c>
      <c r="F38" s="1007">
        <v>3673.3</v>
      </c>
      <c r="G38" s="1007">
        <v>3742.6</v>
      </c>
      <c r="H38" s="1007">
        <v>2561.5</v>
      </c>
      <c r="I38" s="1007">
        <v>2404.8000000000002</v>
      </c>
      <c r="J38" s="1007">
        <v>2330.1</v>
      </c>
      <c r="K38" s="1007">
        <v>2282.3000000000002</v>
      </c>
      <c r="L38" s="1007">
        <v>2144.6</v>
      </c>
      <c r="M38" s="1007">
        <v>1893.6</v>
      </c>
      <c r="N38" s="35" t="s">
        <v>736</v>
      </c>
      <c r="O38" t="s">
        <v>42</v>
      </c>
      <c r="P38"/>
      <c r="Q38" s="20" t="s">
        <v>738</v>
      </c>
      <c r="R38" s="20" t="s">
        <v>753</v>
      </c>
      <c r="Z38" s="25">
        <v>15322</v>
      </c>
      <c r="AA38" s="25">
        <v>16090</v>
      </c>
      <c r="AB38" s="25">
        <f>16577</f>
        <v>16577</v>
      </c>
      <c r="AC38" s="25">
        <v>17075</v>
      </c>
      <c r="AD38" s="25">
        <v>16461</v>
      </c>
      <c r="AE38" s="25">
        <v>14395</v>
      </c>
      <c r="AF38" s="25">
        <v>12539</v>
      </c>
      <c r="AG38" s="25">
        <v>12386</v>
      </c>
    </row>
    <row r="39" spans="1:33">
      <c r="B39" s="1003"/>
      <c r="C39" s="1010"/>
      <c r="D39" s="1003"/>
      <c r="E39" s="1003"/>
      <c r="F39" s="1003"/>
      <c r="G39" s="1003"/>
      <c r="H39" s="1003"/>
      <c r="I39" s="1003"/>
      <c r="J39" s="1003"/>
      <c r="K39" s="1003"/>
      <c r="L39" s="1003"/>
      <c r="M39" s="1003"/>
      <c r="N39" s="35" t="s">
        <v>736</v>
      </c>
      <c r="O39"/>
      <c r="P39"/>
      <c r="Z39" s="22">
        <f t="shared" ref="Z39:AG39" si="20">Z40-SUM(Z30:Z38)</f>
        <v>14512</v>
      </c>
      <c r="AA39" s="22">
        <f t="shared" si="20"/>
        <v>15585</v>
      </c>
      <c r="AB39" s="22">
        <f t="shared" si="20"/>
        <v>15786</v>
      </c>
      <c r="AC39" s="22">
        <f t="shared" si="20"/>
        <v>15616</v>
      </c>
      <c r="AD39" s="22">
        <f t="shared" si="20"/>
        <v>17947</v>
      </c>
      <c r="AE39" s="22">
        <f t="shared" si="20"/>
        <v>18419</v>
      </c>
      <c r="AF39" s="22">
        <f t="shared" si="20"/>
        <v>9453</v>
      </c>
      <c r="AG39" s="22">
        <f t="shared" si="20"/>
        <v>9263</v>
      </c>
    </row>
    <row r="40" spans="1:33">
      <c r="B40" s="1003"/>
      <c r="C40" s="1003"/>
      <c r="D40" s="1003"/>
      <c r="E40" s="1003"/>
      <c r="F40" s="1003"/>
      <c r="G40" s="1003"/>
      <c r="H40" s="1003"/>
      <c r="I40" s="1003"/>
      <c r="J40" s="1003"/>
      <c r="K40" s="1003"/>
      <c r="L40" s="1003"/>
      <c r="M40" s="1003"/>
      <c r="N40" s="35" t="s">
        <v>736</v>
      </c>
      <c r="O40"/>
      <c r="P40"/>
      <c r="Q40" s="20" t="s">
        <v>738</v>
      </c>
      <c r="R40" s="20" t="s">
        <v>754</v>
      </c>
      <c r="Z40" s="36">
        <v>74704</v>
      </c>
      <c r="AA40" s="36">
        <v>78342</v>
      </c>
      <c r="AB40" s="36">
        <v>84681</v>
      </c>
      <c r="AC40" s="36">
        <v>84896</v>
      </c>
      <c r="AD40" s="36">
        <v>89356</v>
      </c>
      <c r="AE40" s="36">
        <v>81446</v>
      </c>
      <c r="AF40" s="36">
        <v>64020</v>
      </c>
      <c r="AG40" s="36">
        <v>60038</v>
      </c>
    </row>
    <row r="41" spans="1:33">
      <c r="A41" s="101" t="s">
        <v>755</v>
      </c>
      <c r="B41" s="1007"/>
      <c r="C41" s="1007"/>
      <c r="D41" s="1007"/>
      <c r="E41" s="1007"/>
      <c r="F41" s="1007"/>
      <c r="G41" s="1007"/>
      <c r="H41" s="1007"/>
      <c r="I41" s="1007"/>
      <c r="J41" s="1007"/>
      <c r="K41" s="1007"/>
      <c r="L41" s="1007"/>
      <c r="M41" s="1007"/>
      <c r="N41" s="35" t="s">
        <v>736</v>
      </c>
      <c r="O41"/>
      <c r="P41"/>
      <c r="Z41" s="27"/>
      <c r="AA41" s="27"/>
      <c r="AB41" s="27"/>
      <c r="AC41" s="27"/>
      <c r="AD41" s="27"/>
      <c r="AE41" s="27"/>
      <c r="AF41" s="27"/>
      <c r="AG41" s="27"/>
    </row>
    <row r="42" spans="1:33">
      <c r="A42" s="9" t="s">
        <v>314</v>
      </c>
      <c r="B42" s="1007">
        <v>1245.7</v>
      </c>
      <c r="C42" s="1007">
        <v>1093.3</v>
      </c>
      <c r="D42" s="1007">
        <v>1208.0999999999999</v>
      </c>
      <c r="E42" s="1007">
        <v>1196.8</v>
      </c>
      <c r="F42" s="1007">
        <v>949.8</v>
      </c>
      <c r="G42" s="1007">
        <v>1243.7</v>
      </c>
      <c r="H42" s="1007">
        <v>914.8</v>
      </c>
      <c r="I42" s="1007">
        <v>725</v>
      </c>
      <c r="J42" s="1007">
        <v>1170.5999999999999</v>
      </c>
      <c r="K42" s="1007">
        <v>886.6</v>
      </c>
      <c r="L42" s="1007">
        <v>-834.5</v>
      </c>
      <c r="M42" s="1007">
        <v>-816</v>
      </c>
      <c r="N42" s="35" t="s">
        <v>736</v>
      </c>
      <c r="O42" t="s">
        <v>314</v>
      </c>
      <c r="P42"/>
      <c r="Z42" s="27"/>
      <c r="AA42" s="27"/>
      <c r="AB42" s="27"/>
      <c r="AC42" s="27"/>
      <c r="AD42" s="27"/>
      <c r="AE42" s="27"/>
      <c r="AF42" s="27"/>
      <c r="AG42" s="27"/>
    </row>
    <row r="43" spans="1:33">
      <c r="A43" s="98" t="s">
        <v>756</v>
      </c>
      <c r="B43" s="998">
        <v>991.8</v>
      </c>
      <c r="C43" s="998">
        <v>791.1</v>
      </c>
      <c r="D43" s="998">
        <v>798.4</v>
      </c>
      <c r="E43" s="998">
        <v>555.29999999999995</v>
      </c>
      <c r="F43" s="998">
        <v>592</v>
      </c>
      <c r="G43" s="998">
        <v>596.29999999999995</v>
      </c>
      <c r="H43" s="998">
        <v>580.20000000000005</v>
      </c>
      <c r="I43" s="998">
        <v>615.79999999999995</v>
      </c>
      <c r="J43" s="998">
        <v>673.5</v>
      </c>
      <c r="K43" s="998">
        <v>636.5</v>
      </c>
      <c r="L43" s="1001">
        <v>594</v>
      </c>
      <c r="M43" s="1001">
        <v>537.20000000000005</v>
      </c>
      <c r="N43" s="35"/>
      <c r="O43"/>
      <c r="P43"/>
      <c r="Z43" s="34"/>
      <c r="AA43" s="34"/>
      <c r="AB43" s="34"/>
      <c r="AC43" s="34"/>
      <c r="AD43" s="34"/>
      <c r="AE43" s="33"/>
      <c r="AF43" s="33"/>
      <c r="AG43" s="33"/>
    </row>
    <row r="44" spans="1:33" s="9" customFormat="1">
      <c r="A44" s="24" t="s">
        <v>675</v>
      </c>
      <c r="B44" s="998" t="s">
        <v>757</v>
      </c>
      <c r="C44" s="998">
        <v>102.3</v>
      </c>
      <c r="D44" s="998">
        <v>233.1</v>
      </c>
      <c r="E44" s="998">
        <v>93.4</v>
      </c>
      <c r="F44" s="998">
        <v>73.7</v>
      </c>
      <c r="G44" s="998">
        <v>377.3</v>
      </c>
      <c r="H44" s="998">
        <v>180</v>
      </c>
      <c r="I44" s="998">
        <v>35.299999999999997</v>
      </c>
      <c r="J44" s="998">
        <v>128.6</v>
      </c>
      <c r="K44" s="998">
        <v>2.8</v>
      </c>
      <c r="L44" s="998">
        <v>2.6</v>
      </c>
      <c r="M44" s="998">
        <v>5.4</v>
      </c>
      <c r="N44" s="35" t="s">
        <v>736</v>
      </c>
      <c r="O44" t="s">
        <v>758</v>
      </c>
      <c r="P44"/>
      <c r="Q44" s="20" t="s">
        <v>738</v>
      </c>
      <c r="R44" s="9" t="s">
        <v>759</v>
      </c>
      <c r="Z44" s="36">
        <v>26132</v>
      </c>
      <c r="AA44" s="36">
        <v>26242</v>
      </c>
      <c r="AB44" s="36">
        <v>27877</v>
      </c>
      <c r="AC44" s="36">
        <v>27297</v>
      </c>
      <c r="AD44" s="36">
        <v>29415</v>
      </c>
      <c r="AE44" s="36">
        <f>93+3895+8161+3386+2410+2691+298+1967+558+5102</f>
        <v>28561</v>
      </c>
      <c r="AF44" s="36">
        <f>204+3852+5856+2880+1670+1831+281+1521+495+3430</f>
        <v>22020</v>
      </c>
      <c r="AG44" s="36">
        <f>433+3650+2993+3351+797+1217+262+888+302+5399</f>
        <v>19292</v>
      </c>
    </row>
    <row r="45" spans="1:33" s="9" customFormat="1">
      <c r="A45" s="24" t="s">
        <v>676</v>
      </c>
      <c r="B45" s="999">
        <v>167.8</v>
      </c>
      <c r="C45" s="999">
        <v>146.19999999999999</v>
      </c>
      <c r="D45" s="1001">
        <v>162.6</v>
      </c>
      <c r="E45" s="1001">
        <v>170.1</v>
      </c>
      <c r="F45" s="1001">
        <v>0</v>
      </c>
      <c r="G45" s="999">
        <v>0</v>
      </c>
      <c r="H45" s="999">
        <v>0</v>
      </c>
      <c r="I45" s="999">
        <v>0</v>
      </c>
      <c r="J45" s="999">
        <v>0</v>
      </c>
      <c r="K45" s="999">
        <v>0</v>
      </c>
      <c r="L45" s="999">
        <v>0</v>
      </c>
      <c r="M45" s="999">
        <v>0</v>
      </c>
      <c r="N45" s="35"/>
      <c r="O45"/>
      <c r="P45"/>
      <c r="Q45" s="20"/>
      <c r="Z45" s="36"/>
      <c r="AA45" s="36"/>
      <c r="AB45" s="36"/>
      <c r="AC45" s="36"/>
      <c r="AD45" s="36"/>
      <c r="AE45" s="36"/>
      <c r="AF45" s="36"/>
      <c r="AG45" s="36"/>
    </row>
    <row r="46" spans="1:33">
      <c r="A46" s="98" t="s">
        <v>677</v>
      </c>
      <c r="B46" s="999">
        <f t="shared" ref="B46" si="21">B42-SUM(B43:B45)</f>
        <v>86.100000000000136</v>
      </c>
      <c r="C46" s="999">
        <f t="shared" ref="C46:M46" si="22">C42-SUM(C43:C45)</f>
        <v>53.700000000000045</v>
      </c>
      <c r="D46" s="999">
        <f t="shared" si="22"/>
        <v>14</v>
      </c>
      <c r="E46" s="999">
        <f t="shared" si="22"/>
        <v>378</v>
      </c>
      <c r="F46" s="999">
        <f>F42-SUM(F43:F45)</f>
        <v>284.09999999999991</v>
      </c>
      <c r="G46" s="999">
        <f t="shared" si="22"/>
        <v>270.10000000000014</v>
      </c>
      <c r="H46" s="999">
        <f>H42-SUM(H43:H45)</f>
        <v>154.59999999999991</v>
      </c>
      <c r="I46" s="999">
        <f t="shared" si="22"/>
        <v>73.900000000000091</v>
      </c>
      <c r="J46" s="999">
        <f t="shared" si="22"/>
        <v>368.49999999999989</v>
      </c>
      <c r="K46" s="999">
        <f t="shared" si="22"/>
        <v>247.30000000000007</v>
      </c>
      <c r="L46" s="999">
        <f t="shared" si="22"/>
        <v>-1431.1</v>
      </c>
      <c r="M46" s="999">
        <f t="shared" si="22"/>
        <v>-1358.6</v>
      </c>
      <c r="N46" s="35" t="s">
        <v>736</v>
      </c>
      <c r="O46"/>
      <c r="P46"/>
      <c r="R46" s="20" t="s">
        <v>760</v>
      </c>
      <c r="Z46" s="29">
        <v>7303</v>
      </c>
      <c r="AA46" s="29">
        <v>6967</v>
      </c>
      <c r="AB46" s="29">
        <v>4708</v>
      </c>
      <c r="AC46" s="29">
        <v>3679</v>
      </c>
      <c r="AD46" s="29">
        <v>5287</v>
      </c>
      <c r="AE46" s="29">
        <v>5660</v>
      </c>
      <c r="AF46" s="29">
        <v>3925</v>
      </c>
      <c r="AG46" s="29">
        <v>5701</v>
      </c>
    </row>
    <row r="47" spans="1:33" ht="14.45" thickBot="1">
      <c r="A47" s="9" t="s">
        <v>678</v>
      </c>
      <c r="B47" s="1007">
        <f t="shared" ref="B47:M47" si="23">B51-B42</f>
        <v>1966.7</v>
      </c>
      <c r="C47" s="1007">
        <f t="shared" si="23"/>
        <v>1730.0000000000002</v>
      </c>
      <c r="D47" s="1007">
        <f t="shared" si="23"/>
        <v>1763.7000000000003</v>
      </c>
      <c r="E47" s="1007">
        <f t="shared" si="23"/>
        <v>1900.3</v>
      </c>
      <c r="F47" s="1007">
        <f t="shared" si="23"/>
        <v>2282</v>
      </c>
      <c r="G47" s="1007">
        <f t="shared" si="23"/>
        <v>2132.6999999999998</v>
      </c>
      <c r="H47" s="1007">
        <f>H51-H42</f>
        <v>1164.1000000000001</v>
      </c>
      <c r="I47" s="1007">
        <f t="shared" si="23"/>
        <v>1169.3</v>
      </c>
      <c r="J47" s="1007">
        <f t="shared" si="23"/>
        <v>847.7</v>
      </c>
      <c r="K47" s="1007">
        <f>K51-K42</f>
        <v>1073.6999999999998</v>
      </c>
      <c r="L47" s="1007">
        <f>L51-L42</f>
        <v>-1023.9000000000001</v>
      </c>
      <c r="M47" s="1007">
        <f t="shared" si="23"/>
        <v>-792</v>
      </c>
      <c r="N47" s="35" t="s">
        <v>736</v>
      </c>
      <c r="O47" t="s">
        <v>761</v>
      </c>
      <c r="P47"/>
      <c r="Z47" s="29"/>
      <c r="AA47" s="29"/>
      <c r="AB47" s="29"/>
      <c r="AC47" s="29"/>
      <c r="AD47" s="29"/>
      <c r="AE47" s="29"/>
      <c r="AF47" s="29"/>
      <c r="AG47" s="29"/>
    </row>
    <row r="48" spans="1:33">
      <c r="A48" s="24" t="s">
        <v>679</v>
      </c>
      <c r="B48" s="1008">
        <v>820.3</v>
      </c>
      <c r="C48" s="1008">
        <v>790.7</v>
      </c>
      <c r="D48" s="1008">
        <v>815.7</v>
      </c>
      <c r="E48" s="1008">
        <v>1163</v>
      </c>
      <c r="F48" s="1008">
        <v>1163.7</v>
      </c>
      <c r="G48" s="1008">
        <v>905.2</v>
      </c>
      <c r="H48" s="1008">
        <v>908.5</v>
      </c>
      <c r="I48" s="1008">
        <v>913.5</v>
      </c>
      <c r="J48" s="1008">
        <v>828.8</v>
      </c>
      <c r="K48" s="1008">
        <v>838.2</v>
      </c>
      <c r="L48" s="1008">
        <v>800.8</v>
      </c>
      <c r="M48" s="1008">
        <v>654.4</v>
      </c>
      <c r="N48" s="35" t="s">
        <v>736</v>
      </c>
      <c r="O48" t="s">
        <v>762</v>
      </c>
      <c r="P48"/>
      <c r="Z48" s="22">
        <f t="shared" ref="Z48:AG48" si="24">Z44-Z46</f>
        <v>18829</v>
      </c>
      <c r="AA48" s="22">
        <f t="shared" si="24"/>
        <v>19275</v>
      </c>
      <c r="AB48" s="22">
        <f t="shared" si="24"/>
        <v>23169</v>
      </c>
      <c r="AC48" s="22">
        <f t="shared" si="24"/>
        <v>23618</v>
      </c>
      <c r="AD48" s="22">
        <f t="shared" si="24"/>
        <v>24128</v>
      </c>
      <c r="AE48" s="22">
        <f t="shared" si="24"/>
        <v>22901</v>
      </c>
      <c r="AF48" s="22">
        <f t="shared" si="24"/>
        <v>18095</v>
      </c>
      <c r="AG48" s="22">
        <f t="shared" si="24"/>
        <v>13591</v>
      </c>
    </row>
    <row r="49" spans="1:33" s="9" customFormat="1">
      <c r="A49" s="24" t="s">
        <v>680</v>
      </c>
      <c r="B49" s="999">
        <v>869.9</v>
      </c>
      <c r="C49" s="1001">
        <v>877.1</v>
      </c>
      <c r="D49" s="1001" t="s">
        <v>763</v>
      </c>
      <c r="E49" s="1001" t="s">
        <v>764</v>
      </c>
      <c r="F49" s="1001">
        <v>0</v>
      </c>
      <c r="G49" s="1001">
        <v>0</v>
      </c>
      <c r="H49" s="1001">
        <v>0</v>
      </c>
      <c r="I49" s="1001">
        <v>0</v>
      </c>
      <c r="J49" s="1001">
        <v>0</v>
      </c>
      <c r="K49" s="1001">
        <v>0</v>
      </c>
      <c r="L49" s="1001">
        <v>0</v>
      </c>
      <c r="M49" s="1001">
        <v>0</v>
      </c>
      <c r="N49" s="35"/>
      <c r="O49"/>
      <c r="P49"/>
      <c r="Q49" s="20" t="s">
        <v>738</v>
      </c>
      <c r="R49" s="9" t="s">
        <v>765</v>
      </c>
      <c r="Z49" s="36">
        <f>61491-Z44</f>
        <v>35359</v>
      </c>
      <c r="AA49" s="36">
        <f>63457-AA44</f>
        <v>37215</v>
      </c>
      <c r="AB49" s="36">
        <f>67855-AB44</f>
        <v>39978</v>
      </c>
      <c r="AC49" s="36">
        <v>36721</v>
      </c>
      <c r="AD49" s="36">
        <v>41973</v>
      </c>
      <c r="AE49" s="36">
        <f>8415+16529+10956+3583</f>
        <v>39483</v>
      </c>
      <c r="AF49" s="36">
        <f>4505+15932+7584+2654</f>
        <v>30675</v>
      </c>
      <c r="AG49" s="36">
        <f>5652+16195+7420+2179</f>
        <v>31446</v>
      </c>
    </row>
    <row r="50" spans="1:33">
      <c r="A50" s="98" t="s">
        <v>681</v>
      </c>
      <c r="B50" s="999">
        <f t="shared" ref="B50" si="25">B47-SUM(B48:B49)</f>
        <v>276.50000000000023</v>
      </c>
      <c r="C50" s="999">
        <f t="shared" ref="C50:M50" si="26">C47-SUM(C48:C49)</f>
        <v>62.200000000000045</v>
      </c>
      <c r="D50" s="999">
        <f t="shared" si="26"/>
        <v>948.00000000000023</v>
      </c>
      <c r="E50" s="999">
        <f t="shared" si="26"/>
        <v>737.3</v>
      </c>
      <c r="F50" s="999">
        <f t="shared" si="26"/>
        <v>1118.3</v>
      </c>
      <c r="G50" s="999">
        <f t="shared" si="26"/>
        <v>1227.4999999999998</v>
      </c>
      <c r="H50" s="999">
        <f t="shared" si="26"/>
        <v>255.60000000000014</v>
      </c>
      <c r="I50" s="999">
        <f t="shared" si="26"/>
        <v>255.79999999999995</v>
      </c>
      <c r="J50" s="999">
        <f t="shared" si="26"/>
        <v>18.900000000000091</v>
      </c>
      <c r="K50" s="999">
        <f>K47-SUM(K48:K49)</f>
        <v>235.49999999999977</v>
      </c>
      <c r="L50" s="999">
        <f t="shared" si="26"/>
        <v>-1824.7</v>
      </c>
      <c r="M50" s="999">
        <f t="shared" si="26"/>
        <v>-1446.4</v>
      </c>
      <c r="N50" s="35" t="s">
        <v>736</v>
      </c>
      <c r="O50" t="s">
        <v>766</v>
      </c>
      <c r="P50"/>
      <c r="R50" s="20" t="s">
        <v>767</v>
      </c>
      <c r="Z50" s="25">
        <v>22818</v>
      </c>
      <c r="AA50" s="25">
        <v>25169</v>
      </c>
      <c r="AB50" s="25">
        <v>27784</v>
      </c>
      <c r="AC50" s="25">
        <v>26719</v>
      </c>
      <c r="AD50" s="25">
        <v>27752</v>
      </c>
      <c r="AE50" s="25">
        <v>24944</v>
      </c>
      <c r="AF50" s="25">
        <v>20437</v>
      </c>
      <c r="AG50" s="25">
        <v>21847</v>
      </c>
    </row>
    <row r="51" spans="1:33">
      <c r="A51" s="9" t="s">
        <v>48</v>
      </c>
      <c r="B51" s="1011">
        <v>3212.4</v>
      </c>
      <c r="C51" s="1011">
        <v>2823.3</v>
      </c>
      <c r="D51" s="1011">
        <v>2971.8</v>
      </c>
      <c r="E51" s="1011">
        <v>3097.1</v>
      </c>
      <c r="F51" s="1011">
        <v>3231.8</v>
      </c>
      <c r="G51" s="1011">
        <v>3376.4</v>
      </c>
      <c r="H51" s="1011">
        <v>2078.9</v>
      </c>
      <c r="I51" s="1011">
        <v>1894.3</v>
      </c>
      <c r="J51" s="1011">
        <v>2018.3</v>
      </c>
      <c r="K51" s="1011">
        <v>1960.3</v>
      </c>
      <c r="L51" s="1012">
        <v>-1858.4</v>
      </c>
      <c r="M51" s="1012">
        <v>-1608</v>
      </c>
      <c r="N51" s="35" t="s">
        <v>736</v>
      </c>
      <c r="O51" t="s">
        <v>48</v>
      </c>
      <c r="P51"/>
      <c r="Z51" s="25"/>
      <c r="AA51" s="25"/>
      <c r="AB51" s="25"/>
      <c r="AC51" s="25"/>
      <c r="AD51" s="25"/>
      <c r="AE51" s="25"/>
      <c r="AF51" s="25"/>
      <c r="AG51" s="25"/>
    </row>
    <row r="52" spans="1:33">
      <c r="B52" s="1003"/>
      <c r="C52" s="1003"/>
      <c r="D52" s="1003"/>
      <c r="E52" s="1003"/>
      <c r="F52" s="1003"/>
      <c r="G52" s="1003"/>
      <c r="H52" s="1003"/>
      <c r="I52" s="1003"/>
      <c r="J52" s="1003"/>
      <c r="K52" s="1003"/>
      <c r="L52" s="1003"/>
      <c r="M52" s="1003"/>
      <c r="N52" s="35" t="s">
        <v>736</v>
      </c>
      <c r="O52"/>
      <c r="P52"/>
      <c r="Z52" s="22">
        <f t="shared" ref="Z52:AG52" si="27">Z49-Z50</f>
        <v>12541</v>
      </c>
      <c r="AA52" s="22">
        <f t="shared" si="27"/>
        <v>12046</v>
      </c>
      <c r="AB52" s="22">
        <f t="shared" si="27"/>
        <v>12194</v>
      </c>
      <c r="AC52" s="22">
        <f t="shared" si="27"/>
        <v>10002</v>
      </c>
      <c r="AD52" s="22">
        <f t="shared" si="27"/>
        <v>14221</v>
      </c>
      <c r="AE52" s="22">
        <f t="shared" si="27"/>
        <v>14539</v>
      </c>
      <c r="AF52" s="22">
        <f t="shared" si="27"/>
        <v>10238</v>
      </c>
      <c r="AG52" s="22">
        <f t="shared" si="27"/>
        <v>9599</v>
      </c>
    </row>
    <row r="53" spans="1:33" s="9" customFormat="1">
      <c r="A53" s="20"/>
      <c r="B53" s="1003"/>
      <c r="C53" s="1003"/>
      <c r="D53" s="1003"/>
      <c r="E53" s="1003"/>
      <c r="F53" s="1003"/>
      <c r="G53" s="1003"/>
      <c r="H53" s="1003"/>
      <c r="I53" s="1003"/>
      <c r="J53" s="1003"/>
      <c r="K53" s="1003"/>
      <c r="L53" s="1003"/>
      <c r="M53" s="1003"/>
      <c r="N53" s="35" t="s">
        <v>736</v>
      </c>
      <c r="O53"/>
      <c r="P53"/>
      <c r="Z53" s="33">
        <f>+Z49+Z44</f>
        <v>61491</v>
      </c>
      <c r="AA53" s="33">
        <f>+AA49+AA44</f>
        <v>63457</v>
      </c>
      <c r="AB53" s="33">
        <f>+AB49+AB44</f>
        <v>67855</v>
      </c>
      <c r="AC53" s="33">
        <f>AC44+AC49</f>
        <v>64018</v>
      </c>
      <c r="AD53" s="33">
        <f>AD49+AD44</f>
        <v>71388</v>
      </c>
      <c r="AE53" s="33">
        <f>AE49+AE44</f>
        <v>68044</v>
      </c>
      <c r="AF53" s="33">
        <f>AF49+AF44</f>
        <v>52695</v>
      </c>
      <c r="AG53" s="33">
        <f>AG49+AG44</f>
        <v>50738</v>
      </c>
    </row>
    <row r="54" spans="1:33">
      <c r="A54" s="37" t="s">
        <v>683</v>
      </c>
      <c r="B54" s="1013">
        <v>126.9</v>
      </c>
      <c r="C54" s="1013">
        <v>4.5999999999999996</v>
      </c>
      <c r="D54" s="1013">
        <v>0</v>
      </c>
      <c r="E54" s="1013">
        <v>0</v>
      </c>
      <c r="F54" s="1013">
        <v>0</v>
      </c>
      <c r="G54" s="1013">
        <v>0</v>
      </c>
      <c r="H54" s="1013">
        <v>0</v>
      </c>
      <c r="I54" s="1013">
        <v>0</v>
      </c>
      <c r="J54" s="1013">
        <v>0</v>
      </c>
      <c r="K54" s="1013">
        <v>-0.1</v>
      </c>
      <c r="L54" s="1013"/>
      <c r="M54" s="1013"/>
      <c r="N54" s="35" t="s">
        <v>736</v>
      </c>
      <c r="O54" t="s">
        <v>683</v>
      </c>
      <c r="P54"/>
    </row>
    <row r="55" spans="1:33">
      <c r="B55" s="1003"/>
      <c r="C55" s="1003"/>
      <c r="D55" s="1003"/>
      <c r="E55" s="1003"/>
      <c r="F55" s="1003"/>
      <c r="G55" s="1003"/>
      <c r="H55" s="1003"/>
      <c r="I55" s="1003"/>
      <c r="J55" s="1003"/>
      <c r="K55" s="1003"/>
      <c r="L55" s="1003"/>
      <c r="M55" s="1003"/>
      <c r="N55" s="35" t="s">
        <v>736</v>
      </c>
      <c r="O55"/>
      <c r="P55"/>
    </row>
    <row r="56" spans="1:33" s="9" customFormat="1">
      <c r="A56" s="9" t="s">
        <v>684</v>
      </c>
      <c r="B56" s="1007">
        <f t="shared" ref="B56" si="28">B38-B51-B54</f>
        <v>1385</v>
      </c>
      <c r="C56" s="1007">
        <f t="shared" ref="C56:M56" si="29">C38-C51-C54</f>
        <v>1155.9000000000001</v>
      </c>
      <c r="D56" s="1007">
        <f t="shared" si="29"/>
        <v>1010</v>
      </c>
      <c r="E56" s="1007">
        <f t="shared" si="29"/>
        <v>660.90000000000009</v>
      </c>
      <c r="F56" s="1007">
        <f t="shared" si="29"/>
        <v>441.5</v>
      </c>
      <c r="G56" s="1007">
        <f t="shared" si="29"/>
        <v>366.19999999999982</v>
      </c>
      <c r="H56" s="1007">
        <f t="shared" si="29"/>
        <v>482.59999999999991</v>
      </c>
      <c r="I56" s="1007">
        <f t="shared" si="29"/>
        <v>510.50000000000023</v>
      </c>
      <c r="J56" s="1007">
        <f t="shared" si="29"/>
        <v>311.79999999999995</v>
      </c>
      <c r="K56" s="1007">
        <f>K38-K51-K54</f>
        <v>322.10000000000025</v>
      </c>
      <c r="L56" s="1007">
        <f>L38-L51-L54</f>
        <v>4003</v>
      </c>
      <c r="M56" s="1007">
        <f t="shared" si="29"/>
        <v>3501.6</v>
      </c>
      <c r="N56" s="35" t="s">
        <v>736</v>
      </c>
      <c r="O56"/>
      <c r="P56"/>
      <c r="Q56" s="20" t="s">
        <v>738</v>
      </c>
      <c r="R56" s="9" t="s">
        <v>768</v>
      </c>
    </row>
    <row r="57" spans="1:33">
      <c r="A57" s="9"/>
      <c r="B57" s="1007"/>
      <c r="C57" s="1007"/>
      <c r="D57" s="1007"/>
      <c r="E57" s="1007"/>
      <c r="F57" s="1007"/>
      <c r="G57" s="1007"/>
      <c r="H57" s="1007"/>
      <c r="I57" s="1007"/>
      <c r="J57" s="1007"/>
      <c r="K57" s="1007"/>
      <c r="L57" s="1007"/>
      <c r="M57" s="1007"/>
      <c r="N57" s="35"/>
      <c r="O57"/>
      <c r="P57"/>
    </row>
    <row r="58" spans="1:33">
      <c r="A58" s="48" t="s">
        <v>769</v>
      </c>
      <c r="B58" s="1007"/>
      <c r="C58" s="1007"/>
      <c r="D58" s="1007"/>
      <c r="E58" s="1007"/>
      <c r="F58" s="1007"/>
      <c r="G58" s="1007"/>
      <c r="H58" s="1007"/>
      <c r="I58" s="1007"/>
      <c r="J58" s="1007"/>
      <c r="K58" s="1007"/>
      <c r="L58" s="1007"/>
      <c r="M58" s="1007"/>
      <c r="N58" s="35"/>
      <c r="O58"/>
      <c r="P58"/>
    </row>
    <row r="59" spans="1:33">
      <c r="A59" s="9" t="s">
        <v>130</v>
      </c>
      <c r="B59" s="1014">
        <v>1120.3</v>
      </c>
      <c r="C59" s="1014">
        <v>798.8</v>
      </c>
      <c r="D59" s="1014">
        <v>971.4</v>
      </c>
      <c r="E59" s="1014">
        <v>824.8</v>
      </c>
      <c r="F59" s="1014">
        <v>927.2</v>
      </c>
      <c r="G59" s="1014">
        <v>868.8</v>
      </c>
      <c r="H59" s="1014">
        <v>615.20000000000005</v>
      </c>
      <c r="I59" s="1014">
        <v>699.5</v>
      </c>
      <c r="J59" s="1014">
        <v>608.29999999999995</v>
      </c>
      <c r="K59" s="1014">
        <v>743.2</v>
      </c>
      <c r="L59" s="1007">
        <v>614.79999999999995</v>
      </c>
      <c r="M59" s="1007">
        <v>659</v>
      </c>
      <c r="N59" s="35"/>
      <c r="O59"/>
      <c r="P59"/>
    </row>
    <row r="60" spans="1:33">
      <c r="A60" s="24" t="s">
        <v>65</v>
      </c>
      <c r="B60" s="999">
        <f t="shared" ref="B60:M60" si="30">B12</f>
        <v>800.5</v>
      </c>
      <c r="C60" s="999">
        <f t="shared" si="30"/>
        <v>710.7</v>
      </c>
      <c r="D60" s="999">
        <f t="shared" si="30"/>
        <v>677.5</v>
      </c>
      <c r="E60" s="999">
        <f t="shared" si="30"/>
        <v>286.7</v>
      </c>
      <c r="F60" s="999">
        <f t="shared" si="30"/>
        <v>610.20000000000005</v>
      </c>
      <c r="G60" s="999">
        <f t="shared" si="30"/>
        <v>599.1</v>
      </c>
      <c r="H60" s="999">
        <f t="shared" si="30"/>
        <v>591.79999999999995</v>
      </c>
      <c r="I60" s="999">
        <f t="shared" si="30"/>
        <v>635.29999999999995</v>
      </c>
      <c r="J60" s="999">
        <f t="shared" si="30"/>
        <v>666.8</v>
      </c>
      <c r="K60" s="999">
        <f t="shared" si="30"/>
        <v>634.9</v>
      </c>
      <c r="L60" s="999">
        <f t="shared" si="30"/>
        <v>553.20000000000005</v>
      </c>
      <c r="M60" s="999">
        <f t="shared" si="30"/>
        <v>508.6</v>
      </c>
      <c r="N60" s="35"/>
      <c r="O60"/>
      <c r="P60"/>
    </row>
    <row r="61" spans="1:33">
      <c r="A61" s="98" t="s">
        <v>57</v>
      </c>
      <c r="B61" s="1001">
        <v>246.8</v>
      </c>
      <c r="C61" s="1001">
        <f>80.6+72.7+12.5+1.1</f>
        <v>166.9</v>
      </c>
      <c r="D61" s="1001">
        <f>90.3+112.6+4.3</f>
        <v>207.2</v>
      </c>
      <c r="E61" s="1001">
        <f>136.8+196.6+0.4</f>
        <v>333.79999999999995</v>
      </c>
      <c r="F61" s="1001">
        <f>124.9+138.1</f>
        <v>263</v>
      </c>
      <c r="G61" s="999">
        <f>122.3+138+0.3</f>
        <v>260.60000000000002</v>
      </c>
      <c r="H61" s="999">
        <f>122.6+0.4</f>
        <v>123</v>
      </c>
      <c r="I61" s="999">
        <f>116.3+0.4</f>
        <v>116.7</v>
      </c>
      <c r="J61" s="999">
        <f>117.7+0.3</f>
        <v>118</v>
      </c>
      <c r="K61" s="999">
        <v>114.8</v>
      </c>
      <c r="L61" s="999">
        <v>117.4</v>
      </c>
      <c r="M61" s="999">
        <v>117.2</v>
      </c>
      <c r="N61" s="35"/>
      <c r="O61"/>
      <c r="P61"/>
    </row>
    <row r="62" spans="1:33">
      <c r="A62" s="98" t="s">
        <v>770</v>
      </c>
      <c r="B62" s="999">
        <f>-15.5+15.3+3.7+47.6</f>
        <v>51.1</v>
      </c>
      <c r="C62" s="999">
        <f>-0.8+22.8+156.5+12</f>
        <v>190.5</v>
      </c>
      <c r="D62" s="999">
        <f>-1.6-96.5+165.4+235.2-2.7</f>
        <v>299.8</v>
      </c>
      <c r="E62" s="999">
        <f>1.1-9.6-205.4-29.5-22.9</f>
        <v>-266.3</v>
      </c>
      <c r="F62" s="999">
        <f>1.7-25.6-34-3.3-5.3</f>
        <v>-66.5</v>
      </c>
      <c r="G62" s="999">
        <f>-4.3-36.2-97.6+35.8-0.2</f>
        <v>-102.5</v>
      </c>
      <c r="H62" s="999">
        <f>6.1+39-126-16.9</f>
        <v>-97.800000000000011</v>
      </c>
      <c r="I62" s="999">
        <f>0.3-35.3-733.7-49.7-19.3</f>
        <v>-837.7</v>
      </c>
      <c r="J62" s="999">
        <f>2.9-57-214.5+29.4+1.6</f>
        <v>-237.60000000000002</v>
      </c>
      <c r="K62" s="999">
        <f>-15.9-43.9-28.9+49.1-2.3</f>
        <v>-41.899999999999984</v>
      </c>
      <c r="L62" s="999">
        <f>9.3+53.8-90.9+50.7-17.3</f>
        <v>5.5999999999999908</v>
      </c>
      <c r="M62" s="999">
        <f>-3.2-40.1-21.7+7.4-50.2</f>
        <v>-107.80000000000001</v>
      </c>
      <c r="N62" s="35"/>
      <c r="O62"/>
      <c r="P62"/>
    </row>
    <row r="63" spans="1:33">
      <c r="A63" s="98" t="s">
        <v>771</v>
      </c>
      <c r="B63" s="999">
        <f>B59-B60-B61-B62</f>
        <v>21.899999999999942</v>
      </c>
      <c r="C63" s="999">
        <f t="shared" ref="C63" si="31">C59-C60-C61-C62</f>
        <v>-269.30000000000007</v>
      </c>
      <c r="D63" s="999">
        <f>D59-D60-D61-D62</f>
        <v>-213.10000000000002</v>
      </c>
      <c r="E63" s="999">
        <f t="shared" ref="E63:M63" si="32">E59-E60-E61-E62</f>
        <v>470.59999999999997</v>
      </c>
      <c r="F63" s="999">
        <f t="shared" si="32"/>
        <v>120.5</v>
      </c>
      <c r="G63" s="999">
        <f t="shared" si="32"/>
        <v>111.59999999999991</v>
      </c>
      <c r="H63" s="999">
        <f t="shared" si="32"/>
        <v>-1.7999999999998977</v>
      </c>
      <c r="I63" s="999">
        <f t="shared" si="32"/>
        <v>785.2</v>
      </c>
      <c r="J63" s="999">
        <f>J59-J60-J61-J62</f>
        <v>61.100000000000023</v>
      </c>
      <c r="K63" s="999">
        <f t="shared" si="32"/>
        <v>35.400000000000055</v>
      </c>
      <c r="L63" s="999">
        <f>L59-L60-L61-L62</f>
        <v>-61.400000000000091</v>
      </c>
      <c r="M63" s="999">
        <f t="shared" si="32"/>
        <v>141</v>
      </c>
      <c r="N63" s="35"/>
      <c r="O63"/>
      <c r="P63"/>
    </row>
    <row r="64" spans="1:33">
      <c r="A64" s="9" t="s">
        <v>131</v>
      </c>
      <c r="B64" s="1014">
        <v>-334.4</v>
      </c>
      <c r="C64" s="1014">
        <v>-271.39999999999998</v>
      </c>
      <c r="D64" s="1014">
        <v>-292.5</v>
      </c>
      <c r="E64" s="1014">
        <v>-130.9</v>
      </c>
      <c r="F64" s="1014">
        <v>-139.1</v>
      </c>
      <c r="G64" s="1014">
        <v>-125.9</v>
      </c>
      <c r="H64" s="1014">
        <v>-112.2</v>
      </c>
      <c r="I64" s="1014">
        <v>-154.30000000000001</v>
      </c>
      <c r="J64" s="1014">
        <v>-139.30000000000001</v>
      </c>
      <c r="K64" s="1014">
        <v>-106</v>
      </c>
      <c r="L64" s="1007">
        <v>-102.6</v>
      </c>
      <c r="M64" s="1007">
        <v>-85.7</v>
      </c>
      <c r="N64" s="35"/>
      <c r="O64"/>
      <c r="P64"/>
    </row>
    <row r="65" spans="1:16">
      <c r="A65" s="98" t="s">
        <v>132</v>
      </c>
      <c r="B65" s="999">
        <f>-131+2+3.3</f>
        <v>-125.7</v>
      </c>
      <c r="C65" s="999">
        <f>-205.1+41.7</f>
        <v>-163.39999999999998</v>
      </c>
      <c r="D65" s="1001">
        <f>-243.6+3.4+15.5</f>
        <v>-224.7</v>
      </c>
      <c r="E65" s="999">
        <f>-144.6+0.5+28.4</f>
        <v>-115.69999999999999</v>
      </c>
      <c r="F65" s="999">
        <f>-136.4+0.3</f>
        <v>-136.1</v>
      </c>
      <c r="G65" s="999">
        <f>-123.2+0.3</f>
        <v>-122.9</v>
      </c>
      <c r="H65" s="999">
        <f>-112.8+1</f>
        <v>-111.8</v>
      </c>
      <c r="I65" s="999">
        <f>-157+2.7</f>
        <v>-154.30000000000001</v>
      </c>
      <c r="J65" s="999">
        <f>-147.5+0.2</f>
        <v>-147.30000000000001</v>
      </c>
      <c r="K65" s="999">
        <f>-113.5+1.9</f>
        <v>-111.6</v>
      </c>
      <c r="L65" s="999">
        <f>-102.9+0.4</f>
        <v>-102.5</v>
      </c>
      <c r="M65" s="999">
        <f>-92.4+1.5+5.3</f>
        <v>-85.600000000000009</v>
      </c>
      <c r="N65" s="35"/>
      <c r="O65"/>
      <c r="P65"/>
    </row>
    <row r="66" spans="1:16" ht="15" customHeight="1">
      <c r="A66" s="98" t="s">
        <v>133</v>
      </c>
      <c r="B66" s="999">
        <f>-152.3-0.9</f>
        <v>-153.20000000000002</v>
      </c>
      <c r="C66" s="999">
        <f>-28.8-64.7-1.9</f>
        <v>-95.4</v>
      </c>
      <c r="D66" s="999">
        <v>-34.299999999999997</v>
      </c>
      <c r="E66" s="999">
        <v>-2.4</v>
      </c>
      <c r="F66" s="999">
        <v>-3</v>
      </c>
      <c r="G66" s="999">
        <v>0</v>
      </c>
      <c r="H66" s="999">
        <v>0.4</v>
      </c>
      <c r="I66" s="999">
        <v>0</v>
      </c>
      <c r="J66" s="999">
        <v>0</v>
      </c>
      <c r="K66" s="999">
        <v>0</v>
      </c>
      <c r="L66" s="999">
        <v>-0.1</v>
      </c>
      <c r="M66" s="1001">
        <v>0</v>
      </c>
      <c r="N66" s="35"/>
      <c r="O66"/>
      <c r="P66"/>
    </row>
    <row r="67" spans="1:16">
      <c r="A67" s="98" t="s">
        <v>772</v>
      </c>
      <c r="B67" s="999">
        <f>B64-B65-B66</f>
        <v>-55.499999999999972</v>
      </c>
      <c r="C67" s="999">
        <f>C64-C65-C66</f>
        <v>-12.599999999999994</v>
      </c>
      <c r="D67" s="999">
        <f>D64-D65-D66</f>
        <v>-33.500000000000014</v>
      </c>
      <c r="E67" s="999">
        <f t="shared" ref="E67" si="33">E64-E65-E66</f>
        <v>-12.800000000000017</v>
      </c>
      <c r="F67" s="999">
        <f t="shared" ref="F67:K67" si="34">F64-F65-F66</f>
        <v>0</v>
      </c>
      <c r="G67" s="999">
        <f t="shared" si="34"/>
        <v>-3</v>
      </c>
      <c r="H67" s="999">
        <f t="shared" si="34"/>
        <v>-0.80000000000000571</v>
      </c>
      <c r="I67" s="999">
        <f>I64-I65-I66</f>
        <v>0</v>
      </c>
      <c r="J67" s="999">
        <f t="shared" si="34"/>
        <v>8</v>
      </c>
      <c r="K67" s="999">
        <f t="shared" si="34"/>
        <v>5.5999999999999943</v>
      </c>
      <c r="L67" s="1001">
        <f>L64-L65-L66</f>
        <v>5.6898930012039273E-15</v>
      </c>
      <c r="M67" s="999">
        <f>M64-M65-M66</f>
        <v>-9.9999999999994316E-2</v>
      </c>
      <c r="N67" s="35"/>
      <c r="O67"/>
      <c r="P67"/>
    </row>
    <row r="68" spans="1:16">
      <c r="A68" s="9" t="s">
        <v>134</v>
      </c>
      <c r="B68" s="1014">
        <v>-663.3</v>
      </c>
      <c r="C68" s="1014">
        <v>-727.1</v>
      </c>
      <c r="D68" s="1014">
        <v>-993.4</v>
      </c>
      <c r="E68" s="1014">
        <v>-231.7</v>
      </c>
      <c r="F68" s="1014">
        <v>-769.2</v>
      </c>
      <c r="G68" s="1014">
        <v>-718.4</v>
      </c>
      <c r="H68" s="1014">
        <v>-507.6</v>
      </c>
      <c r="I68" s="1014">
        <v>-584.4</v>
      </c>
      <c r="J68" s="1014">
        <v>-689.2</v>
      </c>
      <c r="K68" s="1014">
        <v>-636.1</v>
      </c>
      <c r="L68" s="1007">
        <v>-371.8</v>
      </c>
      <c r="M68" s="1007">
        <v>-491.1</v>
      </c>
      <c r="N68" s="35"/>
      <c r="O68"/>
      <c r="P68"/>
    </row>
    <row r="69" spans="1:16">
      <c r="A69" s="98" t="s">
        <v>773</v>
      </c>
      <c r="B69" s="999">
        <v>0</v>
      </c>
      <c r="C69" s="999">
        <v>0</v>
      </c>
      <c r="D69" s="999">
        <v>0</v>
      </c>
      <c r="E69" s="999">
        <v>0</v>
      </c>
      <c r="F69" s="999">
        <v>250.2</v>
      </c>
      <c r="G69" s="999">
        <v>0</v>
      </c>
      <c r="H69" s="999">
        <v>0</v>
      </c>
      <c r="I69" s="999">
        <v>297.3</v>
      </c>
      <c r="J69" s="999">
        <v>0</v>
      </c>
      <c r="K69" s="999">
        <v>0</v>
      </c>
      <c r="L69" s="999">
        <v>250</v>
      </c>
      <c r="M69" s="999">
        <v>0</v>
      </c>
      <c r="N69" s="35"/>
      <c r="O69"/>
      <c r="P69"/>
    </row>
    <row r="70" spans="1:16">
      <c r="A70" s="98" t="s">
        <v>774</v>
      </c>
      <c r="B70" s="999">
        <v>-2.5</v>
      </c>
      <c r="C70" s="999">
        <v>0</v>
      </c>
      <c r="D70" s="999">
        <v>-325</v>
      </c>
      <c r="E70" s="999">
        <v>0</v>
      </c>
      <c r="F70" s="999">
        <v>0</v>
      </c>
      <c r="G70" s="999">
        <v>0</v>
      </c>
      <c r="H70" s="999">
        <v>0</v>
      </c>
      <c r="I70" s="999">
        <v>-212.6</v>
      </c>
      <c r="J70" s="999">
        <v>0</v>
      </c>
      <c r="K70" s="999">
        <v>0</v>
      </c>
      <c r="L70" s="999">
        <v>-85.5</v>
      </c>
      <c r="M70" s="999">
        <v>0</v>
      </c>
      <c r="N70" s="35"/>
      <c r="O70"/>
      <c r="P70"/>
    </row>
    <row r="71" spans="1:16">
      <c r="A71" s="98" t="s">
        <v>775</v>
      </c>
      <c r="B71" s="999">
        <v>0</v>
      </c>
      <c r="C71" s="999">
        <v>0.1</v>
      </c>
      <c r="D71" s="999">
        <v>0</v>
      </c>
      <c r="E71" s="999">
        <v>0</v>
      </c>
      <c r="F71" s="999">
        <v>0</v>
      </c>
      <c r="G71" s="999">
        <v>0</v>
      </c>
      <c r="H71" s="999">
        <v>0</v>
      </c>
      <c r="I71" s="999">
        <v>0</v>
      </c>
      <c r="J71" s="999">
        <v>0</v>
      </c>
      <c r="K71" s="999">
        <v>0</v>
      </c>
      <c r="L71" s="999">
        <v>0</v>
      </c>
      <c r="M71" s="999">
        <v>0</v>
      </c>
      <c r="N71" s="35"/>
      <c r="O71"/>
      <c r="P71"/>
    </row>
    <row r="72" spans="1:16">
      <c r="A72" s="98" t="s">
        <v>776</v>
      </c>
      <c r="B72" s="999">
        <v>-156.1</v>
      </c>
      <c r="C72" s="999">
        <v>-157.1</v>
      </c>
      <c r="D72" s="999">
        <v>-172.3</v>
      </c>
      <c r="E72" s="999">
        <v>-171</v>
      </c>
      <c r="F72" s="999">
        <v>-162.6</v>
      </c>
      <c r="G72" s="999">
        <v>-146.1</v>
      </c>
      <c r="H72" s="999">
        <v>0</v>
      </c>
      <c r="I72" s="999">
        <v>0</v>
      </c>
      <c r="J72" s="999">
        <v>0</v>
      </c>
      <c r="K72" s="999">
        <v>0</v>
      </c>
      <c r="L72" s="999">
        <v>0</v>
      </c>
      <c r="M72" s="999">
        <v>0</v>
      </c>
      <c r="N72" s="35"/>
      <c r="O72"/>
      <c r="P72"/>
    </row>
    <row r="73" spans="1:16">
      <c r="A73" s="98" t="s">
        <v>135</v>
      </c>
      <c r="B73" s="1009">
        <v>-248.3</v>
      </c>
      <c r="C73" s="1009">
        <v>-237.4</v>
      </c>
      <c r="D73" s="1009">
        <v>-344.5</v>
      </c>
      <c r="E73" s="1009">
        <v>0</v>
      </c>
      <c r="F73" s="1009">
        <v>-213.6</v>
      </c>
      <c r="G73" s="1009">
        <v>-215.7</v>
      </c>
      <c r="H73" s="1009">
        <v>-479.7</v>
      </c>
      <c r="I73" s="1009">
        <v>-314.10000000000002</v>
      </c>
      <c r="J73" s="1009">
        <v>-567.5</v>
      </c>
      <c r="K73" s="1009">
        <v>-434.4</v>
      </c>
      <c r="L73" s="999">
        <v>-164.8</v>
      </c>
      <c r="M73" s="999">
        <v>-147.69999999999999</v>
      </c>
      <c r="N73" s="32" t="s">
        <v>777</v>
      </c>
      <c r="O73" t="s">
        <v>778</v>
      </c>
      <c r="P73"/>
    </row>
    <row r="74" spans="1:16">
      <c r="A74" s="100" t="s">
        <v>666</v>
      </c>
      <c r="B74" s="999">
        <v>-177.3</v>
      </c>
      <c r="C74" s="999">
        <v>-228.5</v>
      </c>
      <c r="D74" s="999">
        <v>-8.6999999999999993</v>
      </c>
      <c r="E74" s="999">
        <v>-19.3</v>
      </c>
      <c r="F74" s="999">
        <v>-300.2</v>
      </c>
      <c r="G74" s="999">
        <v>-325</v>
      </c>
      <c r="H74" s="1015">
        <v>-105.1</v>
      </c>
      <c r="I74" s="999">
        <v>-187.6</v>
      </c>
      <c r="J74" s="1015">
        <v>-150.69999999999999</v>
      </c>
      <c r="K74" s="999">
        <v>-137.9</v>
      </c>
      <c r="L74" s="999">
        <v>-295.8</v>
      </c>
      <c r="M74" s="999">
        <v>-241.9</v>
      </c>
      <c r="N74" s="32" t="s">
        <v>777</v>
      </c>
      <c r="O74" t="str">
        <f>+A74</f>
        <v>Share buyback</v>
      </c>
      <c r="P74"/>
    </row>
    <row r="75" spans="1:16">
      <c r="A75" s="98" t="s">
        <v>772</v>
      </c>
      <c r="B75" s="999">
        <f>B68-B69-B70-B71-B72-B73-B74</f>
        <v>-79.099999999999909</v>
      </c>
      <c r="C75" s="999">
        <f t="shared" ref="C75:M75" si="35">C68-C69-C70-C71-C72-C73-C74</f>
        <v>-104.20000000000005</v>
      </c>
      <c r="D75" s="999">
        <f t="shared" si="35"/>
        <v>-142.89999999999998</v>
      </c>
      <c r="E75" s="999">
        <f t="shared" si="35"/>
        <v>-41.399999999999991</v>
      </c>
      <c r="F75" s="999">
        <f t="shared" si="35"/>
        <v>-343.00000000000006</v>
      </c>
      <c r="G75" s="999">
        <f t="shared" si="35"/>
        <v>-31.599999999999966</v>
      </c>
      <c r="H75" s="999">
        <f t="shared" si="35"/>
        <v>77.19999999999996</v>
      </c>
      <c r="I75" s="999">
        <f t="shared" si="35"/>
        <v>-167.4</v>
      </c>
      <c r="J75" s="999">
        <f t="shared" si="35"/>
        <v>28.999999999999943</v>
      </c>
      <c r="K75" s="999">
        <f t="shared" si="35"/>
        <v>-63.80000000000004</v>
      </c>
      <c r="L75" s="999">
        <f t="shared" si="35"/>
        <v>-75.699999999999932</v>
      </c>
      <c r="M75" s="999">
        <f t="shared" si="35"/>
        <v>-101.50000000000003</v>
      </c>
      <c r="N75" s="35"/>
      <c r="O75"/>
      <c r="P75"/>
    </row>
    <row r="76" spans="1:16" s="21" customFormat="1">
      <c r="A76" s="931" t="s">
        <v>138</v>
      </c>
      <c r="B76" s="932"/>
      <c r="C76" s="932"/>
      <c r="D76" s="932"/>
      <c r="E76" s="932"/>
      <c r="F76" s="932"/>
      <c r="G76" s="932"/>
      <c r="H76" s="932"/>
      <c r="I76" s="932"/>
      <c r="J76" s="932"/>
      <c r="K76" s="932"/>
      <c r="L76" s="932"/>
      <c r="M76" s="932"/>
      <c r="N76" s="26"/>
      <c r="O76" s="26"/>
      <c r="P76" s="26"/>
    </row>
    <row r="77" spans="1:16">
      <c r="A77" s="9" t="s">
        <v>685</v>
      </c>
      <c r="B77" s="255">
        <f t="shared" ref="B77" si="36">B59+B64+B68+B76</f>
        <v>122.60000000000002</v>
      </c>
      <c r="C77" s="255">
        <f t="shared" ref="C77:M77" si="37">C59+C64+C68+C76</f>
        <v>-199.70000000000005</v>
      </c>
      <c r="D77" s="255">
        <f t="shared" si="37"/>
        <v>-314.5</v>
      </c>
      <c r="E77" s="255">
        <f t="shared" si="37"/>
        <v>462.2</v>
      </c>
      <c r="F77" s="255">
        <f t="shared" si="37"/>
        <v>18.899999999999977</v>
      </c>
      <c r="G77" s="255">
        <f t="shared" si="37"/>
        <v>24.5</v>
      </c>
      <c r="H77" s="255">
        <f t="shared" si="37"/>
        <v>-4.5999999999999659</v>
      </c>
      <c r="I77" s="255">
        <f t="shared" si="37"/>
        <v>-39.199999999999932</v>
      </c>
      <c r="J77" s="255">
        <f t="shared" si="37"/>
        <v>-220.2000000000001</v>
      </c>
      <c r="K77" s="255">
        <f t="shared" si="37"/>
        <v>1.1000000000000227</v>
      </c>
      <c r="L77" s="255">
        <f t="shared" si="37"/>
        <v>140.39999999999992</v>
      </c>
      <c r="M77" s="255">
        <f t="shared" si="37"/>
        <v>82.199999999999932</v>
      </c>
      <c r="N77" s="35"/>
      <c r="O77"/>
      <c r="P77"/>
    </row>
    <row r="78" spans="1:16">
      <c r="M78" s="22"/>
      <c r="N78"/>
      <c r="O78" t="s">
        <v>779</v>
      </c>
      <c r="P78"/>
    </row>
    <row r="79" spans="1:16">
      <c r="A79" s="48" t="s">
        <v>780</v>
      </c>
      <c r="B79" s="48"/>
      <c r="C79" s="48"/>
      <c r="D79" s="48"/>
      <c r="E79" s="1517" t="s">
        <v>693</v>
      </c>
      <c r="F79" s="1517"/>
      <c r="G79" s="1517"/>
      <c r="H79" s="1517" t="s">
        <v>781</v>
      </c>
      <c r="I79" s="1517"/>
      <c r="J79" s="48" t="s">
        <v>695</v>
      </c>
      <c r="K79" s="48" t="s">
        <v>696</v>
      </c>
      <c r="L79" s="48" t="s">
        <v>697</v>
      </c>
      <c r="M79" s="33"/>
      <c r="N79"/>
      <c r="O79"/>
      <c r="P79"/>
    </row>
    <row r="80" spans="1:16">
      <c r="A80" s="24" t="s">
        <v>782</v>
      </c>
      <c r="B80" s="25">
        <v>48417</v>
      </c>
      <c r="C80" s="38" t="s">
        <v>783</v>
      </c>
      <c r="D80" s="22"/>
      <c r="E80" s="1514"/>
      <c r="F80" s="1514"/>
      <c r="G80" s="1514"/>
      <c r="H80" s="1515"/>
      <c r="I80" s="1515"/>
      <c r="J80" s="63"/>
      <c r="K80" s="62"/>
      <c r="L80" s="62"/>
      <c r="M80" s="22"/>
      <c r="N80" s="38" t="s">
        <v>784</v>
      </c>
      <c r="O80"/>
      <c r="P80"/>
    </row>
    <row r="81" spans="1:16">
      <c r="A81" s="24" t="s">
        <v>785</v>
      </c>
      <c r="B81" s="25">
        <v>116610</v>
      </c>
      <c r="C81" s="38" t="s">
        <v>786</v>
      </c>
      <c r="D81" s="22"/>
      <c r="E81" s="1514"/>
      <c r="F81" s="1514"/>
      <c r="G81" s="1514"/>
      <c r="H81" s="1515"/>
      <c r="I81" s="1515"/>
      <c r="J81" s="63"/>
      <c r="K81" s="62"/>
      <c r="L81" s="62"/>
      <c r="M81" s="22"/>
      <c r="N81" s="38" t="s">
        <v>784</v>
      </c>
      <c r="O81"/>
      <c r="P81"/>
    </row>
    <row r="82" spans="1:16">
      <c r="A82" s="24" t="s">
        <v>46</v>
      </c>
      <c r="B82" s="548">
        <f>(112.35/126.5)*100%</f>
        <v>0.88814229249011856</v>
      </c>
      <c r="C82" s="38" t="s">
        <v>786</v>
      </c>
      <c r="D82" s="64"/>
      <c r="E82" s="1514"/>
      <c r="F82" s="1514"/>
      <c r="G82" s="1514"/>
      <c r="H82" s="1515"/>
      <c r="I82" s="1515"/>
      <c r="J82" s="63"/>
      <c r="K82" s="62"/>
      <c r="L82" s="62"/>
      <c r="M82" s="66"/>
      <c r="N82" s="38" t="s">
        <v>784</v>
      </c>
      <c r="O82"/>
      <c r="P82"/>
    </row>
    <row r="83" spans="1:16">
      <c r="A83" s="24" t="s">
        <v>50</v>
      </c>
      <c r="B83" s="549">
        <v>6.9900000000000004E-2</v>
      </c>
      <c r="C83" s="38" t="s">
        <v>786</v>
      </c>
      <c r="D83" s="65"/>
      <c r="E83" s="1514"/>
      <c r="F83" s="1514"/>
      <c r="G83" s="1514"/>
      <c r="H83" s="1515"/>
      <c r="I83" s="1515"/>
      <c r="J83" s="63"/>
      <c r="K83" s="62"/>
      <c r="L83" s="62"/>
      <c r="M83" s="66"/>
      <c r="N83" s="38" t="s">
        <v>784</v>
      </c>
      <c r="O83"/>
      <c r="P83"/>
    </row>
    <row r="84" spans="1:16">
      <c r="A84" s="24" t="s">
        <v>689</v>
      </c>
      <c r="B84" s="25" t="s">
        <v>787</v>
      </c>
      <c r="C84" s="38" t="s">
        <v>783</v>
      </c>
      <c r="D84" s="22"/>
      <c r="E84" s="1514"/>
      <c r="F84" s="1514"/>
      <c r="G84" s="1514"/>
      <c r="H84" s="1515"/>
      <c r="I84" s="1515"/>
      <c r="J84" s="63"/>
      <c r="K84" s="62"/>
      <c r="L84" s="62"/>
      <c r="M84" s="22"/>
      <c r="N84" s="38" t="s">
        <v>784</v>
      </c>
      <c r="O84"/>
      <c r="P84"/>
    </row>
    <row r="85" spans="1:16">
      <c r="A85" s="24" t="s">
        <v>788</v>
      </c>
      <c r="B85" s="550">
        <v>2.2700000000000001E-2</v>
      </c>
      <c r="C85" s="38" t="s">
        <v>786</v>
      </c>
      <c r="D85" s="22"/>
      <c r="E85" s="1514"/>
      <c r="F85" s="1514"/>
      <c r="G85" s="1514"/>
      <c r="H85" s="1515"/>
      <c r="I85" s="1515"/>
      <c r="J85" s="62"/>
      <c r="K85" s="62"/>
      <c r="L85" s="62"/>
      <c r="M85" s="22"/>
      <c r="N85" s="38" t="s">
        <v>784</v>
      </c>
      <c r="O85"/>
    </row>
    <row r="86" spans="1:16">
      <c r="A86" s="24" t="s">
        <v>691</v>
      </c>
      <c r="B86" s="25"/>
      <c r="C86" s="38" t="s">
        <v>789</v>
      </c>
      <c r="D86" s="22"/>
      <c r="E86" s="1514"/>
      <c r="F86" s="1514"/>
      <c r="G86" s="1514"/>
      <c r="H86" s="1515"/>
      <c r="I86" s="1515"/>
      <c r="J86" s="62"/>
      <c r="K86" s="62"/>
      <c r="L86" s="62"/>
      <c r="M86" s="22"/>
      <c r="N86" s="38" t="s">
        <v>784</v>
      </c>
    </row>
    <row r="87" spans="1:16">
      <c r="B87" s="48">
        <f>B5</f>
        <v>2023</v>
      </c>
      <c r="C87" s="48">
        <f t="shared" ref="C87:D87" si="38">C5</f>
        <v>2022</v>
      </c>
      <c r="D87" s="48">
        <f t="shared" si="38"/>
        <v>2021</v>
      </c>
      <c r="E87" s="39"/>
      <c r="G87" s="39"/>
      <c r="H87" s="39"/>
      <c r="I87" s="39"/>
      <c r="J87" s="39"/>
      <c r="K87" s="39"/>
      <c r="L87" s="39"/>
      <c r="M87" s="39"/>
      <c r="N87"/>
    </row>
    <row r="88" spans="1:16">
      <c r="A88" s="24" t="s">
        <v>692</v>
      </c>
      <c r="B88" s="1095" t="s">
        <v>68</v>
      </c>
      <c r="C88" s="1095" t="s">
        <v>68</v>
      </c>
      <c r="D88" s="1095" t="s">
        <v>68</v>
      </c>
      <c r="E88" s="38" t="s">
        <v>789</v>
      </c>
      <c r="K88" s="20"/>
      <c r="L88" s="20"/>
      <c r="O88"/>
      <c r="P88"/>
    </row>
    <row r="89" spans="1:16">
      <c r="A89" s="24" t="s">
        <v>71</v>
      </c>
      <c r="B89" s="61">
        <v>6.62</v>
      </c>
      <c r="C89" s="61">
        <v>5.51</v>
      </c>
      <c r="D89" s="61">
        <v>5.0999999999999996</v>
      </c>
      <c r="E89" s="38" t="s">
        <v>789</v>
      </c>
      <c r="K89" s="20"/>
      <c r="L89" s="20"/>
      <c r="O89" s="48"/>
    </row>
    <row r="90" spans="1:16">
      <c r="M90"/>
      <c r="N90" s="97"/>
      <c r="O90" s="48"/>
    </row>
    <row r="91" spans="1:16">
      <c r="J91" s="22"/>
      <c r="L91"/>
      <c r="M91"/>
      <c r="N91"/>
    </row>
    <row r="92" spans="1:16">
      <c r="J92" s="22"/>
      <c r="L92"/>
      <c r="M92"/>
      <c r="N92"/>
    </row>
    <row r="93" spans="1:16">
      <c r="J93" s="22"/>
      <c r="L93"/>
      <c r="M93"/>
      <c r="N93"/>
    </row>
    <row r="94" spans="1:16">
      <c r="J94" s="22"/>
      <c r="L94"/>
      <c r="M94"/>
      <c r="N94"/>
    </row>
    <row r="95" spans="1:16">
      <c r="B95" s="638"/>
      <c r="C95" s="638"/>
      <c r="D95" s="638"/>
      <c r="E95" s="638"/>
      <c r="F95" s="638"/>
      <c r="G95" s="638"/>
      <c r="H95" s="638"/>
      <c r="I95" s="638"/>
      <c r="J95" s="638"/>
      <c r="K95" s="638"/>
      <c r="L95" s="638"/>
      <c r="M95" s="638"/>
      <c r="N95"/>
    </row>
    <row r="96" spans="1:16">
      <c r="B96" s="638"/>
      <c r="C96" s="638"/>
      <c r="D96" s="638"/>
      <c r="E96" s="638"/>
      <c r="F96" s="638"/>
      <c r="G96" s="638"/>
      <c r="H96" s="638"/>
      <c r="I96" s="638"/>
      <c r="J96" s="638"/>
      <c r="K96" s="638"/>
      <c r="L96" s="638"/>
      <c r="M96"/>
      <c r="N96"/>
      <c r="O96"/>
    </row>
    <row r="97" spans="1:14">
      <c r="A97" s="639"/>
      <c r="B97" s="640"/>
      <c r="J97" s="22"/>
      <c r="L97"/>
      <c r="M97"/>
      <c r="N97"/>
    </row>
    <row r="98" spans="1:14">
      <c r="G98"/>
      <c r="M98"/>
      <c r="N98"/>
    </row>
    <row r="99" spans="1:14">
      <c r="A99"/>
      <c r="B99"/>
      <c r="C99"/>
      <c r="D99"/>
      <c r="E99"/>
      <c r="F99"/>
      <c r="G99"/>
    </row>
    <row r="100" spans="1:14">
      <c r="A100"/>
      <c r="B100"/>
      <c r="C100"/>
      <c r="D100"/>
      <c r="E100"/>
      <c r="F100"/>
      <c r="G100"/>
    </row>
  </sheetData>
  <mergeCells count="19">
    <mergeCell ref="G2:J2"/>
    <mergeCell ref="D4:M4"/>
    <mergeCell ref="R5:S5"/>
    <mergeCell ref="H79:I79"/>
    <mergeCell ref="E79:G79"/>
    <mergeCell ref="E85:G85"/>
    <mergeCell ref="E86:G86"/>
    <mergeCell ref="H80:I80"/>
    <mergeCell ref="H81:I81"/>
    <mergeCell ref="H82:I82"/>
    <mergeCell ref="H83:I83"/>
    <mergeCell ref="H84:I84"/>
    <mergeCell ref="H85:I85"/>
    <mergeCell ref="H86:I86"/>
    <mergeCell ref="E80:G80"/>
    <mergeCell ref="E81:G81"/>
    <mergeCell ref="E82:G82"/>
    <mergeCell ref="E83:G83"/>
    <mergeCell ref="E84:G84"/>
  </mergeCells>
  <pageMargins left="0.75" right="0.75" top="1" bottom="1" header="0" footer="0"/>
  <pageSetup orientation="portrait" horizontalDpi="4294967292" r:id="rId1"/>
  <headerFooter alignWithMargins="0"/>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defaultColWidth="8.85546875" defaultRowHeight="12.6"/>
  <cols>
    <col min="1" max="9" width="0" hidden="1" customWidth="1"/>
    <col min="11" max="11" width="21.85546875" bestFit="1" customWidth="1"/>
  </cols>
  <sheetData>
    <row r="2" spans="2:27" ht="12.95">
      <c r="E2" s="10" t="s">
        <v>790</v>
      </c>
      <c r="F2" s="10" t="s">
        <v>791</v>
      </c>
      <c r="H2" s="10" t="s">
        <v>430</v>
      </c>
      <c r="K2" s="1518" t="s">
        <v>790</v>
      </c>
      <c r="L2" s="1520" t="s">
        <v>792</v>
      </c>
      <c r="M2" s="1521"/>
      <c r="N2" s="1521"/>
      <c r="O2" s="1521"/>
      <c r="P2" s="1522"/>
      <c r="Q2" s="1521" t="s">
        <v>371</v>
      </c>
      <c r="R2" s="1521"/>
      <c r="S2" s="1521"/>
      <c r="T2" s="1521"/>
      <c r="U2" s="1521"/>
      <c r="V2" s="1521"/>
      <c r="W2" s="1521"/>
      <c r="X2" s="1521"/>
      <c r="Y2" s="1521"/>
      <c r="Z2" s="1521"/>
      <c r="AA2" s="1522"/>
    </row>
    <row r="3" spans="2:27" ht="12.95">
      <c r="E3" t="s">
        <v>793</v>
      </c>
      <c r="F3" t="s">
        <v>794</v>
      </c>
      <c r="H3" s="10" t="s">
        <v>362</v>
      </c>
      <c r="K3" s="1519"/>
      <c r="L3" s="68" t="s">
        <v>795</v>
      </c>
      <c r="M3" s="85" t="s">
        <v>796</v>
      </c>
      <c r="N3" s="85" t="s">
        <v>797</v>
      </c>
      <c r="O3" s="85" t="s">
        <v>798</v>
      </c>
      <c r="P3" s="86" t="s">
        <v>799</v>
      </c>
      <c r="Q3" s="85" t="s">
        <v>800</v>
      </c>
      <c r="R3" s="85" t="s">
        <v>801</v>
      </c>
      <c r="S3" s="85" t="s">
        <v>379</v>
      </c>
      <c r="T3" s="85" t="s">
        <v>802</v>
      </c>
      <c r="U3" s="85" t="s">
        <v>803</v>
      </c>
      <c r="V3" s="85" t="s">
        <v>804</v>
      </c>
      <c r="W3" s="85" t="s">
        <v>805</v>
      </c>
      <c r="X3" s="85" t="s">
        <v>806</v>
      </c>
      <c r="Y3" s="85" t="s">
        <v>807</v>
      </c>
      <c r="Z3" s="85" t="s">
        <v>808</v>
      </c>
      <c r="AA3" s="86" t="s">
        <v>420</v>
      </c>
    </row>
    <row r="4" spans="2:27" ht="12.95">
      <c r="B4" s="69"/>
      <c r="E4" t="s">
        <v>793</v>
      </c>
      <c r="F4" t="s">
        <v>809</v>
      </c>
      <c r="H4" s="10" t="s">
        <v>436</v>
      </c>
      <c r="K4" s="87" t="s">
        <v>793</v>
      </c>
      <c r="L4" s="88" t="s">
        <v>430</v>
      </c>
      <c r="M4" t="s">
        <v>430</v>
      </c>
      <c r="N4" t="s">
        <v>362</v>
      </c>
      <c r="O4" t="s">
        <v>430</v>
      </c>
      <c r="P4" s="89" t="s">
        <v>430</v>
      </c>
      <c r="Q4" t="s">
        <v>362</v>
      </c>
      <c r="R4" t="s">
        <v>362</v>
      </c>
      <c r="S4" t="s">
        <v>430</v>
      </c>
      <c r="T4" t="s">
        <v>430</v>
      </c>
      <c r="U4" t="s">
        <v>436</v>
      </c>
      <c r="V4" t="s">
        <v>430</v>
      </c>
      <c r="W4" t="s">
        <v>430</v>
      </c>
      <c r="X4" t="s">
        <v>430</v>
      </c>
      <c r="Y4" t="s">
        <v>430</v>
      </c>
      <c r="Z4" t="s">
        <v>430</v>
      </c>
      <c r="AA4" s="89" t="s">
        <v>362</v>
      </c>
    </row>
    <row r="5" spans="2:27" ht="14.1">
      <c r="B5" s="81" t="s">
        <v>355</v>
      </c>
      <c r="E5" t="s">
        <v>793</v>
      </c>
      <c r="F5" t="s">
        <v>810</v>
      </c>
      <c r="H5" s="10" t="s">
        <v>811</v>
      </c>
      <c r="K5" s="87" t="s">
        <v>341</v>
      </c>
      <c r="L5" s="88" t="s">
        <v>430</v>
      </c>
      <c r="M5" t="s">
        <v>430</v>
      </c>
      <c r="N5" t="s">
        <v>362</v>
      </c>
      <c r="O5" t="s">
        <v>362</v>
      </c>
      <c r="P5" s="89" t="s">
        <v>430</v>
      </c>
      <c r="Q5" t="s">
        <v>362</v>
      </c>
      <c r="R5" t="s">
        <v>362</v>
      </c>
      <c r="S5" t="s">
        <v>430</v>
      </c>
      <c r="T5" t="s">
        <v>430</v>
      </c>
      <c r="U5" t="s">
        <v>362</v>
      </c>
      <c r="V5" t="s">
        <v>362</v>
      </c>
      <c r="W5" t="s">
        <v>362</v>
      </c>
      <c r="X5" t="s">
        <v>436</v>
      </c>
      <c r="Y5" t="s">
        <v>430</v>
      </c>
      <c r="Z5" t="s">
        <v>436</v>
      </c>
      <c r="AA5" s="89" t="s">
        <v>430</v>
      </c>
    </row>
    <row r="6" spans="2:27">
      <c r="B6" s="83" t="s">
        <v>812</v>
      </c>
      <c r="E6" t="s">
        <v>793</v>
      </c>
      <c r="F6" t="s">
        <v>813</v>
      </c>
      <c r="K6" s="87" t="s">
        <v>814</v>
      </c>
      <c r="L6" s="88" t="s">
        <v>436</v>
      </c>
      <c r="M6" t="s">
        <v>811</v>
      </c>
      <c r="N6" t="s">
        <v>436</v>
      </c>
      <c r="O6" t="s">
        <v>436</v>
      </c>
      <c r="P6" s="89" t="s">
        <v>436</v>
      </c>
      <c r="Q6" t="s">
        <v>362</v>
      </c>
      <c r="R6" t="s">
        <v>436</v>
      </c>
      <c r="S6" t="s">
        <v>436</v>
      </c>
      <c r="T6" t="s">
        <v>430</v>
      </c>
      <c r="U6" t="s">
        <v>362</v>
      </c>
      <c r="V6" t="s">
        <v>362</v>
      </c>
      <c r="W6" t="s">
        <v>430</v>
      </c>
      <c r="X6" t="s">
        <v>436</v>
      </c>
      <c r="Y6" t="s">
        <v>430</v>
      </c>
      <c r="Z6" t="s">
        <v>811</v>
      </c>
      <c r="AA6" s="89" t="s">
        <v>430</v>
      </c>
    </row>
    <row r="7" spans="2:27">
      <c r="B7" s="83" t="s">
        <v>815</v>
      </c>
      <c r="E7" t="s">
        <v>793</v>
      </c>
      <c r="F7" t="s">
        <v>816</v>
      </c>
      <c r="K7" s="87" t="s">
        <v>797</v>
      </c>
      <c r="L7" s="88" t="s">
        <v>811</v>
      </c>
      <c r="M7" t="s">
        <v>811</v>
      </c>
      <c r="N7" t="s">
        <v>362</v>
      </c>
      <c r="O7" t="s">
        <v>811</v>
      </c>
      <c r="P7" s="89" t="s">
        <v>436</v>
      </c>
      <c r="Q7" t="s">
        <v>436</v>
      </c>
      <c r="R7" t="s">
        <v>362</v>
      </c>
      <c r="S7" t="s">
        <v>362</v>
      </c>
      <c r="T7" t="s">
        <v>362</v>
      </c>
      <c r="U7" t="s">
        <v>362</v>
      </c>
      <c r="V7" t="s">
        <v>436</v>
      </c>
      <c r="W7" t="s">
        <v>362</v>
      </c>
      <c r="X7" t="s">
        <v>362</v>
      </c>
      <c r="Y7" t="s">
        <v>436</v>
      </c>
      <c r="Z7" t="s">
        <v>436</v>
      </c>
      <c r="AA7" s="89" t="s">
        <v>430</v>
      </c>
    </row>
    <row r="8" spans="2:27">
      <c r="B8" s="83"/>
      <c r="K8" s="87" t="s">
        <v>817</v>
      </c>
      <c r="L8" s="88" t="s">
        <v>430</v>
      </c>
      <c r="M8" t="s">
        <v>430</v>
      </c>
      <c r="N8" t="s">
        <v>430</v>
      </c>
      <c r="O8" t="s">
        <v>362</v>
      </c>
      <c r="P8" s="89" t="s">
        <v>362</v>
      </c>
      <c r="Q8" t="s">
        <v>430</v>
      </c>
      <c r="R8" t="s">
        <v>362</v>
      </c>
      <c r="S8" t="s">
        <v>362</v>
      </c>
      <c r="T8" t="s">
        <v>436</v>
      </c>
      <c r="U8" t="s">
        <v>362</v>
      </c>
      <c r="V8" t="s">
        <v>430</v>
      </c>
      <c r="W8" t="s">
        <v>430</v>
      </c>
      <c r="X8" t="s">
        <v>362</v>
      </c>
      <c r="Y8" t="s">
        <v>362</v>
      </c>
      <c r="Z8" t="s">
        <v>436</v>
      </c>
      <c r="AA8" s="89" t="s">
        <v>430</v>
      </c>
    </row>
    <row r="9" spans="2:27">
      <c r="B9" s="83" t="s">
        <v>361</v>
      </c>
      <c r="E9" t="s">
        <v>793</v>
      </c>
      <c r="F9" t="s">
        <v>818</v>
      </c>
      <c r="K9" s="87" t="s">
        <v>819</v>
      </c>
      <c r="L9" s="88" t="s">
        <v>430</v>
      </c>
      <c r="M9" t="s">
        <v>430</v>
      </c>
      <c r="N9" t="s">
        <v>430</v>
      </c>
      <c r="O9" t="s">
        <v>430</v>
      </c>
      <c r="P9" s="89" t="s">
        <v>430</v>
      </c>
      <c r="Q9" t="s">
        <v>430</v>
      </c>
      <c r="R9" t="s">
        <v>430</v>
      </c>
      <c r="S9" t="s">
        <v>362</v>
      </c>
      <c r="T9" t="s">
        <v>436</v>
      </c>
      <c r="U9" t="s">
        <v>362</v>
      </c>
      <c r="V9" t="s">
        <v>430</v>
      </c>
      <c r="W9" t="s">
        <v>430</v>
      </c>
      <c r="X9" t="s">
        <v>430</v>
      </c>
      <c r="Y9" t="s">
        <v>430</v>
      </c>
      <c r="Z9" t="s">
        <v>362</v>
      </c>
      <c r="AA9" s="89" t="s">
        <v>430</v>
      </c>
    </row>
    <row r="10" spans="2:27">
      <c r="B10" s="83"/>
      <c r="K10" s="87" t="s">
        <v>820</v>
      </c>
      <c r="L10" s="88" t="s">
        <v>430</v>
      </c>
      <c r="M10" t="s">
        <v>362</v>
      </c>
      <c r="N10" t="s">
        <v>430</v>
      </c>
      <c r="O10" t="s">
        <v>362</v>
      </c>
      <c r="P10" s="89" t="s">
        <v>436</v>
      </c>
      <c r="Q10" t="s">
        <v>430</v>
      </c>
      <c r="R10" t="s">
        <v>430</v>
      </c>
      <c r="S10" t="s">
        <v>430</v>
      </c>
      <c r="T10" t="s">
        <v>430</v>
      </c>
      <c r="U10" t="s">
        <v>430</v>
      </c>
      <c r="V10" t="s">
        <v>430</v>
      </c>
      <c r="W10" t="s">
        <v>430</v>
      </c>
      <c r="X10" t="s">
        <v>430</v>
      </c>
      <c r="Y10" t="s">
        <v>362</v>
      </c>
      <c r="Z10" t="s">
        <v>430</v>
      </c>
      <c r="AA10" s="89" t="s">
        <v>430</v>
      </c>
    </row>
    <row r="11" spans="2:27">
      <c r="B11" s="83" t="s">
        <v>365</v>
      </c>
      <c r="E11" t="s">
        <v>793</v>
      </c>
      <c r="F11" t="s">
        <v>821</v>
      </c>
      <c r="K11" s="87" t="s">
        <v>822</v>
      </c>
      <c r="L11" s="88" t="s">
        <v>430</v>
      </c>
      <c r="M11" t="s">
        <v>362</v>
      </c>
      <c r="N11" t="s">
        <v>430</v>
      </c>
      <c r="O11" t="s">
        <v>430</v>
      </c>
      <c r="P11" s="89" t="s">
        <v>430</v>
      </c>
      <c r="Q11" t="s">
        <v>430</v>
      </c>
      <c r="R11" t="s">
        <v>430</v>
      </c>
      <c r="S11" t="s">
        <v>362</v>
      </c>
      <c r="T11" t="s">
        <v>430</v>
      </c>
      <c r="U11" t="s">
        <v>436</v>
      </c>
      <c r="V11" t="s">
        <v>430</v>
      </c>
      <c r="W11" t="s">
        <v>430</v>
      </c>
      <c r="X11" t="s">
        <v>430</v>
      </c>
      <c r="Y11" t="s">
        <v>430</v>
      </c>
      <c r="Z11" t="s">
        <v>430</v>
      </c>
      <c r="AA11" s="89" t="s">
        <v>430</v>
      </c>
    </row>
    <row r="12" spans="2:27">
      <c r="B12" s="82" t="s">
        <v>823</v>
      </c>
      <c r="E12" t="s">
        <v>793</v>
      </c>
      <c r="F12" t="s">
        <v>824</v>
      </c>
      <c r="K12" s="87" t="s">
        <v>825</v>
      </c>
      <c r="L12" s="88" t="s">
        <v>811</v>
      </c>
      <c r="M12" t="s">
        <v>811</v>
      </c>
      <c r="N12" t="s">
        <v>811</v>
      </c>
      <c r="O12" t="s">
        <v>436</v>
      </c>
      <c r="P12" s="89" t="s">
        <v>436</v>
      </c>
      <c r="Q12" t="s">
        <v>430</v>
      </c>
      <c r="R12" t="s">
        <v>362</v>
      </c>
      <c r="S12" t="s">
        <v>436</v>
      </c>
      <c r="T12" t="s">
        <v>811</v>
      </c>
      <c r="U12" t="s">
        <v>362</v>
      </c>
      <c r="V12" t="s">
        <v>811</v>
      </c>
      <c r="W12" t="s">
        <v>362</v>
      </c>
      <c r="X12" t="s">
        <v>811</v>
      </c>
      <c r="Y12" t="s">
        <v>811</v>
      </c>
      <c r="Z12" t="s">
        <v>811</v>
      </c>
      <c r="AA12" s="89" t="s">
        <v>436</v>
      </c>
    </row>
    <row r="13" spans="2:27" ht="14.1">
      <c r="B13" s="81" t="s">
        <v>371</v>
      </c>
      <c r="E13" t="s">
        <v>793</v>
      </c>
      <c r="F13" t="s">
        <v>826</v>
      </c>
      <c r="K13" s="87" t="s">
        <v>827</v>
      </c>
      <c r="L13" s="88" t="s">
        <v>362</v>
      </c>
      <c r="M13" t="s">
        <v>430</v>
      </c>
      <c r="N13" t="s">
        <v>436</v>
      </c>
      <c r="O13" t="s">
        <v>430</v>
      </c>
      <c r="P13" s="89" t="s">
        <v>430</v>
      </c>
      <c r="Q13" t="s">
        <v>430</v>
      </c>
      <c r="R13" t="s">
        <v>430</v>
      </c>
      <c r="S13" t="s">
        <v>430</v>
      </c>
      <c r="T13" t="s">
        <v>430</v>
      </c>
      <c r="U13" t="s">
        <v>436</v>
      </c>
      <c r="V13" t="s">
        <v>430</v>
      </c>
      <c r="W13" t="s">
        <v>430</v>
      </c>
      <c r="X13" t="s">
        <v>430</v>
      </c>
      <c r="Y13" t="s">
        <v>430</v>
      </c>
      <c r="Z13" t="s">
        <v>362</v>
      </c>
      <c r="AA13" s="89" t="s">
        <v>811</v>
      </c>
    </row>
    <row r="14" spans="2:27">
      <c r="B14" s="73" t="s">
        <v>828</v>
      </c>
      <c r="E14" t="s">
        <v>793</v>
      </c>
      <c r="F14" t="s">
        <v>829</v>
      </c>
      <c r="K14" s="87" t="s">
        <v>830</v>
      </c>
      <c r="L14" s="88" t="s">
        <v>811</v>
      </c>
      <c r="M14" t="s">
        <v>811</v>
      </c>
      <c r="N14" t="s">
        <v>811</v>
      </c>
      <c r="O14" t="s">
        <v>811</v>
      </c>
      <c r="P14" s="89" t="s">
        <v>436</v>
      </c>
      <c r="Q14" t="s">
        <v>436</v>
      </c>
      <c r="R14" t="s">
        <v>436</v>
      </c>
      <c r="S14" t="s">
        <v>362</v>
      </c>
      <c r="T14" t="s">
        <v>436</v>
      </c>
      <c r="U14" t="s">
        <v>430</v>
      </c>
      <c r="V14" t="s">
        <v>811</v>
      </c>
      <c r="W14" t="s">
        <v>362</v>
      </c>
      <c r="X14" t="s">
        <v>362</v>
      </c>
      <c r="Y14" t="s">
        <v>811</v>
      </c>
      <c r="Z14" t="s">
        <v>436</v>
      </c>
      <c r="AA14" s="89" t="s">
        <v>362</v>
      </c>
    </row>
    <row r="15" spans="2:27">
      <c r="B15" s="73" t="s">
        <v>831</v>
      </c>
      <c r="E15" t="s">
        <v>341</v>
      </c>
      <c r="F15" t="s">
        <v>832</v>
      </c>
      <c r="K15" s="87" t="s">
        <v>833</v>
      </c>
      <c r="L15" s="88" t="s">
        <v>430</v>
      </c>
      <c r="M15" t="s">
        <v>430</v>
      </c>
      <c r="N15" t="s">
        <v>362</v>
      </c>
      <c r="O15" t="s">
        <v>430</v>
      </c>
      <c r="P15" s="89" t="s">
        <v>430</v>
      </c>
      <c r="Q15" t="s">
        <v>362</v>
      </c>
      <c r="R15" t="s">
        <v>430</v>
      </c>
      <c r="S15" t="s">
        <v>430</v>
      </c>
      <c r="T15" t="s">
        <v>430</v>
      </c>
      <c r="U15" t="s">
        <v>436</v>
      </c>
      <c r="V15" t="s">
        <v>430</v>
      </c>
      <c r="W15" t="s">
        <v>362</v>
      </c>
      <c r="X15" t="s">
        <v>430</v>
      </c>
      <c r="Y15" t="s">
        <v>362</v>
      </c>
      <c r="Z15" t="s">
        <v>430</v>
      </c>
      <c r="AA15" s="89" t="s">
        <v>430</v>
      </c>
    </row>
    <row r="16" spans="2:27">
      <c r="B16" s="76" t="s">
        <v>834</v>
      </c>
      <c r="E16" t="s">
        <v>341</v>
      </c>
      <c r="F16" t="s">
        <v>835</v>
      </c>
      <c r="K16" s="90" t="s">
        <v>836</v>
      </c>
      <c r="L16" s="91" t="s">
        <v>811</v>
      </c>
      <c r="M16" s="92" t="s">
        <v>436</v>
      </c>
      <c r="N16" s="92" t="s">
        <v>436</v>
      </c>
      <c r="O16" s="92" t="s">
        <v>362</v>
      </c>
      <c r="P16" s="93" t="s">
        <v>436</v>
      </c>
      <c r="Q16" s="92" t="s">
        <v>430</v>
      </c>
      <c r="R16" s="92" t="s">
        <v>362</v>
      </c>
      <c r="S16" s="92" t="s">
        <v>362</v>
      </c>
      <c r="T16" s="92" t="s">
        <v>430</v>
      </c>
      <c r="U16" s="92" t="s">
        <v>362</v>
      </c>
      <c r="V16" s="92" t="s">
        <v>362</v>
      </c>
      <c r="W16" s="92" t="s">
        <v>362</v>
      </c>
      <c r="X16" s="92" t="s">
        <v>362</v>
      </c>
      <c r="Y16" s="92" t="s">
        <v>430</v>
      </c>
      <c r="Z16" s="92" t="s">
        <v>362</v>
      </c>
      <c r="AA16" s="93" t="s">
        <v>430</v>
      </c>
    </row>
    <row r="17" spans="2:22">
      <c r="B17" s="76" t="s">
        <v>837</v>
      </c>
      <c r="E17" t="s">
        <v>341</v>
      </c>
      <c r="F17" t="s">
        <v>838</v>
      </c>
    </row>
    <row r="18" spans="2:22" hidden="1">
      <c r="B18" s="73" t="s">
        <v>839</v>
      </c>
      <c r="E18" t="s">
        <v>341</v>
      </c>
      <c r="F18" t="s">
        <v>840</v>
      </c>
    </row>
    <row r="19" spans="2:22" ht="12.95" hidden="1">
      <c r="B19" s="73" t="s">
        <v>841</v>
      </c>
      <c r="E19" t="s">
        <v>341</v>
      </c>
      <c r="F19" t="s">
        <v>842</v>
      </c>
      <c r="L19" s="94" t="s">
        <v>793</v>
      </c>
      <c r="M19" s="95" t="s">
        <v>341</v>
      </c>
      <c r="N19" s="95" t="s">
        <v>814</v>
      </c>
      <c r="O19" s="95" t="s">
        <v>797</v>
      </c>
      <c r="P19" s="95" t="s">
        <v>819</v>
      </c>
      <c r="Q19" s="95" t="s">
        <v>822</v>
      </c>
      <c r="R19" s="95" t="s">
        <v>825</v>
      </c>
      <c r="S19" s="95" t="s">
        <v>827</v>
      </c>
      <c r="T19" s="95" t="s">
        <v>830</v>
      </c>
      <c r="U19" s="95" t="s">
        <v>833</v>
      </c>
      <c r="V19" s="96" t="s">
        <v>836</v>
      </c>
    </row>
    <row r="20" spans="2:22" hidden="1">
      <c r="B20" s="73" t="s">
        <v>395</v>
      </c>
      <c r="E20" t="s">
        <v>341</v>
      </c>
      <c r="F20" t="s">
        <v>843</v>
      </c>
      <c r="L20" s="88" t="s">
        <v>794</v>
      </c>
      <c r="M20" t="s">
        <v>832</v>
      </c>
      <c r="N20" t="s">
        <v>844</v>
      </c>
      <c r="O20" t="s">
        <v>845</v>
      </c>
      <c r="P20" t="s">
        <v>846</v>
      </c>
      <c r="Q20" t="s">
        <v>847</v>
      </c>
      <c r="R20" t="s">
        <v>848</v>
      </c>
      <c r="S20" t="s">
        <v>849</v>
      </c>
      <c r="T20" t="s">
        <v>850</v>
      </c>
      <c r="U20" t="s">
        <v>851</v>
      </c>
      <c r="V20" s="89" t="s">
        <v>852</v>
      </c>
    </row>
    <row r="21" spans="2:22" hidden="1">
      <c r="B21" s="73" t="s">
        <v>403</v>
      </c>
      <c r="E21" t="s">
        <v>341</v>
      </c>
      <c r="F21" t="s">
        <v>853</v>
      </c>
      <c r="L21" s="88" t="s">
        <v>809</v>
      </c>
      <c r="M21" t="s">
        <v>835</v>
      </c>
      <c r="N21" t="s">
        <v>854</v>
      </c>
      <c r="O21" t="s">
        <v>855</v>
      </c>
      <c r="P21" t="s">
        <v>856</v>
      </c>
      <c r="Q21" t="s">
        <v>857</v>
      </c>
      <c r="R21" t="s">
        <v>858</v>
      </c>
      <c r="S21" t="s">
        <v>859</v>
      </c>
      <c r="T21" t="s">
        <v>860</v>
      </c>
      <c r="U21" t="s">
        <v>861</v>
      </c>
      <c r="V21" s="89" t="s">
        <v>862</v>
      </c>
    </row>
    <row r="22" spans="2:22" hidden="1">
      <c r="B22" s="73" t="s">
        <v>411</v>
      </c>
      <c r="E22" t="s">
        <v>341</v>
      </c>
      <c r="F22" t="s">
        <v>863</v>
      </c>
      <c r="L22" s="88" t="s">
        <v>810</v>
      </c>
      <c r="M22" t="s">
        <v>838</v>
      </c>
      <c r="N22" t="s">
        <v>864</v>
      </c>
      <c r="O22" t="s">
        <v>865</v>
      </c>
      <c r="P22" t="s">
        <v>866</v>
      </c>
      <c r="Q22" t="s">
        <v>867</v>
      </c>
      <c r="R22" t="s">
        <v>868</v>
      </c>
      <c r="S22" t="s">
        <v>869</v>
      </c>
      <c r="T22" t="s">
        <v>870</v>
      </c>
      <c r="U22" t="s">
        <v>871</v>
      </c>
      <c r="V22" s="89" t="s">
        <v>872</v>
      </c>
    </row>
    <row r="23" spans="2:22" hidden="1">
      <c r="B23" s="73" t="s">
        <v>419</v>
      </c>
      <c r="E23" t="s">
        <v>341</v>
      </c>
      <c r="F23" t="s">
        <v>873</v>
      </c>
      <c r="L23" s="88" t="s">
        <v>813</v>
      </c>
      <c r="M23" t="s">
        <v>840</v>
      </c>
      <c r="N23" t="s">
        <v>874</v>
      </c>
      <c r="O23" t="s">
        <v>875</v>
      </c>
      <c r="P23" t="s">
        <v>876</v>
      </c>
      <c r="Q23" t="s">
        <v>877</v>
      </c>
      <c r="R23" t="s">
        <v>878</v>
      </c>
      <c r="S23" t="s">
        <v>879</v>
      </c>
      <c r="T23" t="s">
        <v>880</v>
      </c>
      <c r="U23" t="s">
        <v>881</v>
      </c>
      <c r="V23" s="89" t="s">
        <v>882</v>
      </c>
    </row>
    <row r="24" spans="2:22" hidden="1">
      <c r="B24" s="75" t="s">
        <v>420</v>
      </c>
      <c r="E24" t="s">
        <v>341</v>
      </c>
      <c r="F24" t="s">
        <v>883</v>
      </c>
      <c r="L24" s="88" t="s">
        <v>816</v>
      </c>
      <c r="M24" t="s">
        <v>842</v>
      </c>
      <c r="N24" t="s">
        <v>884</v>
      </c>
      <c r="O24" t="s">
        <v>885</v>
      </c>
      <c r="P24" t="s">
        <v>886</v>
      </c>
      <c r="Q24" t="s">
        <v>887</v>
      </c>
      <c r="R24" t="s">
        <v>888</v>
      </c>
      <c r="S24" t="s">
        <v>889</v>
      </c>
      <c r="T24" t="s">
        <v>890</v>
      </c>
      <c r="U24" t="s">
        <v>891</v>
      </c>
      <c r="V24" s="89" t="s">
        <v>892</v>
      </c>
    </row>
    <row r="25" spans="2:22" hidden="1">
      <c r="E25" t="s">
        <v>341</v>
      </c>
      <c r="F25" t="s">
        <v>893</v>
      </c>
      <c r="L25" s="88" t="s">
        <v>818</v>
      </c>
      <c r="M25" t="s">
        <v>843</v>
      </c>
      <c r="N25" t="s">
        <v>894</v>
      </c>
      <c r="P25" t="s">
        <v>895</v>
      </c>
      <c r="Q25" t="s">
        <v>896</v>
      </c>
      <c r="R25" t="s">
        <v>897</v>
      </c>
      <c r="S25" t="s">
        <v>898</v>
      </c>
      <c r="T25" t="s">
        <v>899</v>
      </c>
      <c r="U25" t="s">
        <v>900</v>
      </c>
      <c r="V25" s="89"/>
    </row>
    <row r="26" spans="2:22" hidden="1">
      <c r="E26" t="s">
        <v>341</v>
      </c>
      <c r="F26" t="s">
        <v>901</v>
      </c>
      <c r="L26" s="88" t="s">
        <v>821</v>
      </c>
      <c r="M26" t="s">
        <v>853</v>
      </c>
      <c r="N26" t="s">
        <v>902</v>
      </c>
      <c r="P26" t="s">
        <v>903</v>
      </c>
      <c r="Q26" t="s">
        <v>904</v>
      </c>
      <c r="R26" t="s">
        <v>905</v>
      </c>
      <c r="S26" t="s">
        <v>906</v>
      </c>
      <c r="T26" t="s">
        <v>907</v>
      </c>
      <c r="U26" t="s">
        <v>908</v>
      </c>
      <c r="V26" s="89"/>
    </row>
    <row r="27" spans="2:22" hidden="1">
      <c r="E27" t="s">
        <v>341</v>
      </c>
      <c r="F27" t="s">
        <v>909</v>
      </c>
      <c r="L27" s="88" t="s">
        <v>824</v>
      </c>
      <c r="M27" t="s">
        <v>863</v>
      </c>
      <c r="N27" t="s">
        <v>910</v>
      </c>
      <c r="P27" t="s">
        <v>911</v>
      </c>
      <c r="Q27" t="s">
        <v>912</v>
      </c>
      <c r="R27" t="s">
        <v>913</v>
      </c>
      <c r="S27" t="s">
        <v>914</v>
      </c>
      <c r="T27" t="s">
        <v>915</v>
      </c>
      <c r="U27" t="s">
        <v>916</v>
      </c>
      <c r="V27" s="89"/>
    </row>
    <row r="28" spans="2:22" hidden="1">
      <c r="E28" t="s">
        <v>341</v>
      </c>
      <c r="F28" t="s">
        <v>917</v>
      </c>
      <c r="L28" s="88" t="s">
        <v>826</v>
      </c>
      <c r="M28" t="s">
        <v>873</v>
      </c>
      <c r="N28" t="s">
        <v>918</v>
      </c>
      <c r="P28" t="s">
        <v>919</v>
      </c>
      <c r="Q28" t="s">
        <v>920</v>
      </c>
      <c r="R28" t="s">
        <v>921</v>
      </c>
      <c r="S28" t="s">
        <v>922</v>
      </c>
      <c r="T28" t="s">
        <v>923</v>
      </c>
      <c r="V28" s="89"/>
    </row>
    <row r="29" spans="2:22" hidden="1">
      <c r="E29" t="s">
        <v>341</v>
      </c>
      <c r="F29" t="s">
        <v>924</v>
      </c>
      <c r="L29" s="91" t="s">
        <v>829</v>
      </c>
      <c r="M29" s="92" t="s">
        <v>883</v>
      </c>
      <c r="N29" s="92" t="s">
        <v>925</v>
      </c>
      <c r="O29" s="92"/>
      <c r="P29" s="92" t="s">
        <v>926</v>
      </c>
      <c r="Q29" s="92" t="s">
        <v>927</v>
      </c>
      <c r="R29" s="92" t="s">
        <v>928</v>
      </c>
      <c r="S29" s="92" t="s">
        <v>929</v>
      </c>
      <c r="T29" s="92" t="s">
        <v>930</v>
      </c>
      <c r="U29" s="92"/>
      <c r="V29" s="93"/>
    </row>
    <row r="30" spans="2:22" hidden="1">
      <c r="E30" t="s">
        <v>341</v>
      </c>
      <c r="F30" t="s">
        <v>931</v>
      </c>
      <c r="M30" t="s">
        <v>893</v>
      </c>
      <c r="N30" t="s">
        <v>932</v>
      </c>
      <c r="P30" t="s">
        <v>933</v>
      </c>
      <c r="R30" t="s">
        <v>934</v>
      </c>
      <c r="S30" t="s">
        <v>935</v>
      </c>
      <c r="T30" t="s">
        <v>936</v>
      </c>
    </row>
    <row r="31" spans="2:22" hidden="1">
      <c r="E31" t="s">
        <v>341</v>
      </c>
      <c r="F31" t="s">
        <v>937</v>
      </c>
      <c r="M31" t="s">
        <v>901</v>
      </c>
      <c r="N31" t="s">
        <v>938</v>
      </c>
      <c r="P31" t="s">
        <v>939</v>
      </c>
      <c r="R31" t="s">
        <v>940</v>
      </c>
      <c r="S31" t="s">
        <v>941</v>
      </c>
    </row>
    <row r="32" spans="2:22" hidden="1">
      <c r="E32" t="s">
        <v>341</v>
      </c>
      <c r="F32" t="s">
        <v>942</v>
      </c>
      <c r="M32" t="s">
        <v>909</v>
      </c>
      <c r="P32" t="s">
        <v>943</v>
      </c>
      <c r="R32" t="s">
        <v>944</v>
      </c>
      <c r="S32" t="s">
        <v>945</v>
      </c>
    </row>
    <row r="33" spans="5:18" hidden="1">
      <c r="E33" t="s">
        <v>341</v>
      </c>
      <c r="F33" t="s">
        <v>946</v>
      </c>
      <c r="M33" t="s">
        <v>917</v>
      </c>
      <c r="R33" t="s">
        <v>947</v>
      </c>
    </row>
    <row r="34" spans="5:18" hidden="1">
      <c r="E34" t="s">
        <v>341</v>
      </c>
      <c r="F34" t="s">
        <v>948</v>
      </c>
      <c r="M34" t="s">
        <v>924</v>
      </c>
      <c r="R34" t="s">
        <v>949</v>
      </c>
    </row>
    <row r="35" spans="5:18" hidden="1">
      <c r="E35" t="s">
        <v>814</v>
      </c>
      <c r="F35" t="s">
        <v>844</v>
      </c>
      <c r="M35" t="s">
        <v>931</v>
      </c>
      <c r="R35" t="s">
        <v>950</v>
      </c>
    </row>
    <row r="36" spans="5:18" hidden="1">
      <c r="E36" t="s">
        <v>814</v>
      </c>
      <c r="F36" t="s">
        <v>854</v>
      </c>
      <c r="M36" t="s">
        <v>937</v>
      </c>
      <c r="R36" t="s">
        <v>951</v>
      </c>
    </row>
    <row r="37" spans="5:18" hidden="1">
      <c r="E37" t="s">
        <v>814</v>
      </c>
      <c r="F37" t="s">
        <v>864</v>
      </c>
      <c r="M37" t="s">
        <v>942</v>
      </c>
    </row>
    <row r="38" spans="5:18" hidden="1">
      <c r="E38" t="s">
        <v>814</v>
      </c>
      <c r="F38" t="s">
        <v>874</v>
      </c>
      <c r="M38" t="s">
        <v>946</v>
      </c>
    </row>
    <row r="39" spans="5:18" hidden="1">
      <c r="E39" t="s">
        <v>814</v>
      </c>
      <c r="F39" t="s">
        <v>884</v>
      </c>
      <c r="M39" t="s">
        <v>948</v>
      </c>
    </row>
    <row r="40" spans="5:18" hidden="1">
      <c r="E40" t="s">
        <v>814</v>
      </c>
      <c r="F40" t="s">
        <v>894</v>
      </c>
    </row>
    <row r="41" spans="5:18" hidden="1">
      <c r="E41" t="s">
        <v>814</v>
      </c>
      <c r="F41" t="s">
        <v>902</v>
      </c>
    </row>
    <row r="42" spans="5:18">
      <c r="E42" t="s">
        <v>814</v>
      </c>
      <c r="F42" t="s">
        <v>910</v>
      </c>
    </row>
    <row r="43" spans="5:18">
      <c r="E43" t="s">
        <v>814</v>
      </c>
      <c r="F43" t="s">
        <v>918</v>
      </c>
    </row>
    <row r="44" spans="5:18">
      <c r="E44" t="s">
        <v>814</v>
      </c>
      <c r="F44" t="s">
        <v>925</v>
      </c>
    </row>
    <row r="45" spans="5:18">
      <c r="E45" t="s">
        <v>814</v>
      </c>
      <c r="F45" t="s">
        <v>932</v>
      </c>
    </row>
    <row r="46" spans="5:18">
      <c r="E46" t="s">
        <v>814</v>
      </c>
      <c r="F46" t="s">
        <v>938</v>
      </c>
    </row>
    <row r="47" spans="5:18">
      <c r="E47" t="s">
        <v>797</v>
      </c>
      <c r="F47" t="s">
        <v>845</v>
      </c>
    </row>
    <row r="48" spans="5:18">
      <c r="E48" t="s">
        <v>797</v>
      </c>
      <c r="F48" t="s">
        <v>855</v>
      </c>
    </row>
    <row r="49" spans="5:6">
      <c r="E49" t="s">
        <v>797</v>
      </c>
      <c r="F49" t="s">
        <v>865</v>
      </c>
    </row>
    <row r="50" spans="5:6">
      <c r="E50" t="s">
        <v>797</v>
      </c>
      <c r="F50" t="s">
        <v>875</v>
      </c>
    </row>
    <row r="51" spans="5:6">
      <c r="E51" t="s">
        <v>797</v>
      </c>
      <c r="F51" t="s">
        <v>885</v>
      </c>
    </row>
    <row r="52" spans="5:6">
      <c r="E52" t="s">
        <v>819</v>
      </c>
      <c r="F52" t="s">
        <v>846</v>
      </c>
    </row>
    <row r="53" spans="5:6">
      <c r="E53" t="s">
        <v>819</v>
      </c>
      <c r="F53" t="s">
        <v>856</v>
      </c>
    </row>
    <row r="54" spans="5:6">
      <c r="E54" t="s">
        <v>819</v>
      </c>
      <c r="F54" t="s">
        <v>866</v>
      </c>
    </row>
    <row r="55" spans="5:6">
      <c r="E55" t="s">
        <v>819</v>
      </c>
      <c r="F55" t="s">
        <v>876</v>
      </c>
    </row>
    <row r="56" spans="5:6">
      <c r="E56" t="s">
        <v>819</v>
      </c>
      <c r="F56" t="s">
        <v>886</v>
      </c>
    </row>
    <row r="57" spans="5:6">
      <c r="E57" t="s">
        <v>819</v>
      </c>
      <c r="F57" t="s">
        <v>895</v>
      </c>
    </row>
    <row r="58" spans="5:6">
      <c r="E58" t="s">
        <v>819</v>
      </c>
      <c r="F58" t="s">
        <v>903</v>
      </c>
    </row>
    <row r="59" spans="5:6">
      <c r="E59" t="s">
        <v>819</v>
      </c>
      <c r="F59" t="s">
        <v>911</v>
      </c>
    </row>
    <row r="60" spans="5:6">
      <c r="E60" t="s">
        <v>819</v>
      </c>
      <c r="F60" t="s">
        <v>919</v>
      </c>
    </row>
    <row r="61" spans="5:6">
      <c r="E61" t="s">
        <v>819</v>
      </c>
      <c r="F61" t="s">
        <v>926</v>
      </c>
    </row>
    <row r="62" spans="5:6">
      <c r="E62" t="s">
        <v>819</v>
      </c>
      <c r="F62" t="s">
        <v>933</v>
      </c>
    </row>
    <row r="63" spans="5:6">
      <c r="E63" t="s">
        <v>819</v>
      </c>
      <c r="F63" t="s">
        <v>939</v>
      </c>
    </row>
    <row r="64" spans="5:6">
      <c r="E64" t="s">
        <v>819</v>
      </c>
      <c r="F64" t="s">
        <v>943</v>
      </c>
    </row>
    <row r="65" spans="5:6">
      <c r="E65" t="s">
        <v>822</v>
      </c>
      <c r="F65" t="s">
        <v>847</v>
      </c>
    </row>
    <row r="66" spans="5:6">
      <c r="E66" t="s">
        <v>822</v>
      </c>
      <c r="F66" t="s">
        <v>857</v>
      </c>
    </row>
    <row r="67" spans="5:6">
      <c r="E67" t="s">
        <v>822</v>
      </c>
      <c r="F67" t="s">
        <v>867</v>
      </c>
    </row>
    <row r="68" spans="5:6">
      <c r="E68" t="s">
        <v>822</v>
      </c>
      <c r="F68" t="s">
        <v>877</v>
      </c>
    </row>
    <row r="69" spans="5:6">
      <c r="E69" t="s">
        <v>822</v>
      </c>
      <c r="F69" t="s">
        <v>887</v>
      </c>
    </row>
    <row r="70" spans="5:6">
      <c r="E70" t="s">
        <v>822</v>
      </c>
      <c r="F70" t="s">
        <v>896</v>
      </c>
    </row>
    <row r="71" spans="5:6">
      <c r="E71" t="s">
        <v>822</v>
      </c>
      <c r="F71" t="s">
        <v>904</v>
      </c>
    </row>
    <row r="72" spans="5:6">
      <c r="E72" t="s">
        <v>822</v>
      </c>
      <c r="F72" t="s">
        <v>912</v>
      </c>
    </row>
    <row r="73" spans="5:6">
      <c r="E73" t="s">
        <v>822</v>
      </c>
      <c r="F73" t="s">
        <v>920</v>
      </c>
    </row>
    <row r="74" spans="5:6">
      <c r="E74" t="s">
        <v>822</v>
      </c>
      <c r="F74" t="s">
        <v>927</v>
      </c>
    </row>
    <row r="75" spans="5:6">
      <c r="E75" t="s">
        <v>825</v>
      </c>
      <c r="F75" t="s">
        <v>848</v>
      </c>
    </row>
    <row r="76" spans="5:6">
      <c r="E76" t="s">
        <v>825</v>
      </c>
      <c r="F76" t="s">
        <v>858</v>
      </c>
    </row>
    <row r="77" spans="5:6">
      <c r="E77" t="s">
        <v>825</v>
      </c>
      <c r="F77" t="s">
        <v>868</v>
      </c>
    </row>
    <row r="78" spans="5:6">
      <c r="E78" t="s">
        <v>825</v>
      </c>
      <c r="F78" t="s">
        <v>878</v>
      </c>
    </row>
    <row r="79" spans="5:6">
      <c r="E79" t="s">
        <v>825</v>
      </c>
      <c r="F79" t="s">
        <v>888</v>
      </c>
    </row>
    <row r="80" spans="5:6">
      <c r="E80" t="s">
        <v>825</v>
      </c>
      <c r="F80" t="s">
        <v>897</v>
      </c>
    </row>
    <row r="81" spans="5:6">
      <c r="E81" t="s">
        <v>825</v>
      </c>
      <c r="F81" t="s">
        <v>905</v>
      </c>
    </row>
    <row r="82" spans="5:6">
      <c r="E82" t="s">
        <v>825</v>
      </c>
      <c r="F82" t="s">
        <v>913</v>
      </c>
    </row>
    <row r="83" spans="5:6">
      <c r="E83" t="s">
        <v>825</v>
      </c>
      <c r="F83" t="s">
        <v>921</v>
      </c>
    </row>
    <row r="84" spans="5:6">
      <c r="E84" t="s">
        <v>825</v>
      </c>
      <c r="F84" t="s">
        <v>928</v>
      </c>
    </row>
    <row r="85" spans="5:6">
      <c r="E85" t="s">
        <v>825</v>
      </c>
      <c r="F85" t="s">
        <v>934</v>
      </c>
    </row>
    <row r="86" spans="5:6">
      <c r="E86" t="s">
        <v>825</v>
      </c>
      <c r="F86" t="s">
        <v>940</v>
      </c>
    </row>
    <row r="87" spans="5:6">
      <c r="E87" t="s">
        <v>825</v>
      </c>
      <c r="F87" t="s">
        <v>944</v>
      </c>
    </row>
    <row r="88" spans="5:6">
      <c r="E88" t="s">
        <v>825</v>
      </c>
      <c r="F88" t="s">
        <v>947</v>
      </c>
    </row>
    <row r="89" spans="5:6">
      <c r="E89" t="s">
        <v>825</v>
      </c>
      <c r="F89" t="s">
        <v>949</v>
      </c>
    </row>
    <row r="90" spans="5:6">
      <c r="E90" t="s">
        <v>825</v>
      </c>
      <c r="F90" t="s">
        <v>950</v>
      </c>
    </row>
    <row r="91" spans="5:6">
      <c r="E91" t="s">
        <v>825</v>
      </c>
      <c r="F91" t="s">
        <v>951</v>
      </c>
    </row>
    <row r="92" spans="5:6">
      <c r="E92" t="s">
        <v>827</v>
      </c>
      <c r="F92" t="s">
        <v>849</v>
      </c>
    </row>
    <row r="93" spans="5:6">
      <c r="E93" t="s">
        <v>827</v>
      </c>
      <c r="F93" t="s">
        <v>859</v>
      </c>
    </row>
    <row r="94" spans="5:6">
      <c r="E94" t="s">
        <v>827</v>
      </c>
      <c r="F94" t="s">
        <v>869</v>
      </c>
    </row>
    <row r="95" spans="5:6">
      <c r="E95" t="s">
        <v>827</v>
      </c>
      <c r="F95" t="s">
        <v>879</v>
      </c>
    </row>
    <row r="96" spans="5:6">
      <c r="E96" t="s">
        <v>827</v>
      </c>
      <c r="F96" t="s">
        <v>889</v>
      </c>
    </row>
    <row r="97" spans="5:6">
      <c r="E97" t="s">
        <v>827</v>
      </c>
      <c r="F97" t="s">
        <v>898</v>
      </c>
    </row>
    <row r="98" spans="5:6">
      <c r="E98" t="s">
        <v>827</v>
      </c>
      <c r="F98" t="s">
        <v>906</v>
      </c>
    </row>
    <row r="99" spans="5:6">
      <c r="E99" t="s">
        <v>827</v>
      </c>
      <c r="F99" t="s">
        <v>914</v>
      </c>
    </row>
    <row r="100" spans="5:6">
      <c r="E100" t="s">
        <v>827</v>
      </c>
      <c r="F100" t="s">
        <v>922</v>
      </c>
    </row>
    <row r="101" spans="5:6">
      <c r="E101" t="s">
        <v>827</v>
      </c>
      <c r="F101" t="s">
        <v>929</v>
      </c>
    </row>
    <row r="102" spans="5:6">
      <c r="E102" t="s">
        <v>827</v>
      </c>
      <c r="F102" t="s">
        <v>935</v>
      </c>
    </row>
    <row r="103" spans="5:6">
      <c r="E103" t="s">
        <v>827</v>
      </c>
      <c r="F103" t="s">
        <v>941</v>
      </c>
    </row>
    <row r="104" spans="5:6">
      <c r="E104" t="s">
        <v>827</v>
      </c>
      <c r="F104" t="s">
        <v>945</v>
      </c>
    </row>
    <row r="105" spans="5:6">
      <c r="E105" t="s">
        <v>830</v>
      </c>
      <c r="F105" t="s">
        <v>850</v>
      </c>
    </row>
    <row r="106" spans="5:6">
      <c r="E106" t="s">
        <v>830</v>
      </c>
      <c r="F106" t="s">
        <v>860</v>
      </c>
    </row>
    <row r="107" spans="5:6">
      <c r="E107" t="s">
        <v>830</v>
      </c>
      <c r="F107" t="s">
        <v>870</v>
      </c>
    </row>
    <row r="108" spans="5:6">
      <c r="E108" t="s">
        <v>830</v>
      </c>
      <c r="F108" t="s">
        <v>880</v>
      </c>
    </row>
    <row r="109" spans="5:6">
      <c r="E109" t="s">
        <v>830</v>
      </c>
      <c r="F109" t="s">
        <v>890</v>
      </c>
    </row>
    <row r="110" spans="5:6">
      <c r="E110" t="s">
        <v>830</v>
      </c>
      <c r="F110" t="s">
        <v>899</v>
      </c>
    </row>
    <row r="111" spans="5:6">
      <c r="E111" t="s">
        <v>830</v>
      </c>
      <c r="F111" t="s">
        <v>907</v>
      </c>
    </row>
    <row r="112" spans="5:6">
      <c r="E112" t="s">
        <v>830</v>
      </c>
      <c r="F112" t="s">
        <v>915</v>
      </c>
    </row>
    <row r="113" spans="5:6">
      <c r="E113" t="s">
        <v>830</v>
      </c>
      <c r="F113" t="s">
        <v>923</v>
      </c>
    </row>
    <row r="114" spans="5:6">
      <c r="E114" t="s">
        <v>830</v>
      </c>
      <c r="F114" t="s">
        <v>930</v>
      </c>
    </row>
    <row r="115" spans="5:6">
      <c r="E115" t="s">
        <v>830</v>
      </c>
      <c r="F115" t="s">
        <v>936</v>
      </c>
    </row>
    <row r="116" spans="5:6">
      <c r="E116" t="s">
        <v>833</v>
      </c>
      <c r="F116" t="s">
        <v>851</v>
      </c>
    </row>
    <row r="117" spans="5:6">
      <c r="E117" t="s">
        <v>833</v>
      </c>
      <c r="F117" t="s">
        <v>861</v>
      </c>
    </row>
    <row r="118" spans="5:6">
      <c r="E118" t="s">
        <v>833</v>
      </c>
      <c r="F118" t="s">
        <v>871</v>
      </c>
    </row>
    <row r="119" spans="5:6">
      <c r="E119" t="s">
        <v>833</v>
      </c>
      <c r="F119" t="s">
        <v>881</v>
      </c>
    </row>
    <row r="120" spans="5:6">
      <c r="E120" t="s">
        <v>833</v>
      </c>
      <c r="F120" t="s">
        <v>891</v>
      </c>
    </row>
    <row r="121" spans="5:6">
      <c r="E121" t="s">
        <v>833</v>
      </c>
      <c r="F121" t="s">
        <v>900</v>
      </c>
    </row>
    <row r="122" spans="5:6">
      <c r="E122" t="s">
        <v>833</v>
      </c>
      <c r="F122" t="s">
        <v>908</v>
      </c>
    </row>
    <row r="123" spans="5:6">
      <c r="E123" t="s">
        <v>833</v>
      </c>
      <c r="F123" t="s">
        <v>916</v>
      </c>
    </row>
    <row r="124" spans="5:6">
      <c r="E124" t="s">
        <v>836</v>
      </c>
      <c r="F124" t="s">
        <v>852</v>
      </c>
    </row>
    <row r="125" spans="5:6">
      <c r="E125" t="s">
        <v>836</v>
      </c>
      <c r="F125" t="s">
        <v>862</v>
      </c>
    </row>
    <row r="126" spans="5:6">
      <c r="E126" t="s">
        <v>836</v>
      </c>
      <c r="F126" t="s">
        <v>872</v>
      </c>
    </row>
    <row r="127" spans="5:6">
      <c r="E127" t="s">
        <v>836</v>
      </c>
      <c r="F127" t="s">
        <v>882</v>
      </c>
    </row>
    <row r="128" spans="5:6">
      <c r="E128" t="s">
        <v>836</v>
      </c>
      <c r="F128" t="s">
        <v>892</v>
      </c>
    </row>
  </sheetData>
  <mergeCells count="3">
    <mergeCell ref="K2:K3"/>
    <mergeCell ref="L2:P2"/>
    <mergeCell ref="Q2:AA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feb2c5ef200143b90f0b07231141d1ea">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cb6e695611f8519c80c089278c6250c4"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E6433E-1732-4FE1-9DD4-1347DB63BCAC}"/>
</file>

<file path=customXml/itemProps2.xml><?xml version="1.0" encoding="utf-8"?>
<ds:datastoreItem xmlns:ds="http://schemas.openxmlformats.org/officeDocument/2006/customXml" ds:itemID="{A881089C-6E2A-4FD7-A402-55E9C86C97B5}"/>
</file>

<file path=customXml/itemProps3.xml><?xml version="1.0" encoding="utf-8"?>
<ds:datastoreItem xmlns:ds="http://schemas.openxmlformats.org/officeDocument/2006/customXml" ds:itemID="{E4E33FEE-1117-4802-A5BB-FA073D1C6E04}"/>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João Pedro Botelho Pereira de Rodrigues Ferreira</cp:lastModifiedBy>
  <cp:revision/>
  <dcterms:created xsi:type="dcterms:W3CDTF">2000-04-19T14:51:26Z</dcterms:created>
  <dcterms:modified xsi:type="dcterms:W3CDTF">2025-10-25T22:40:43Z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