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24-25/2nd cycle/Team 2 (Rosario La Spina)/"/>
    </mc:Choice>
  </mc:AlternateContent>
  <xr:revisionPtr revIDLastSave="16204" documentId="13_ncr:1_{26D5CA1E-45FE-425A-8F05-72ED85C7BA47}" xr6:coauthVersionLast="47" xr6:coauthVersionMax="47" xr10:uidLastSave="{CA1174AD-E704-4A17-B451-61FF961D30FD}"/>
  <bookViews>
    <workbookView xWindow="-98" yWindow="-98" windowWidth="24196" windowHeight="14476" tabRatio="644" firstSheet="6" activeTab="6" xr2:uid="{00000000-000D-0000-FFFF-FFFF00000000}"/>
  </bookViews>
  <sheets>
    <sheet name="OP" sheetId="1" r:id="rId1"/>
    <sheet name="Segments" sheetId="3" r:id="rId2"/>
    <sheet name="Acuerdo" sheetId="11" state="hidden" r:id="rId3"/>
    <sheet name="Peers" sheetId="10" r:id="rId4"/>
    <sheet name="ESG" sheetId="19" r:id="rId5"/>
    <sheet name="DCF" sheetId="4" r:id="rId6"/>
    <sheet name="Assumptions" sheetId="22" r:id="rId7"/>
    <sheet name="Fin. Data" sheetId="16" r:id="rId8"/>
    <sheet name="Sector Impact" sheetId="18" state="hidden" r:id="rId9"/>
    <sheet name="Inputs" sheetId="17" r:id="rId10"/>
    <sheet name="Sheet1" sheetId="23" state="hidden" r:id="rId11"/>
  </sheets>
  <externalReferences>
    <externalReference r:id="rId12"/>
  </externalReferences>
  <definedNames>
    <definedName name="_xlnm.Print_Area" localSheetId="0">OP!$A$1:$M$82</definedName>
    <definedName name="_xlnm.Print_Area" localSheetId="1">Segments!#REF!</definedName>
    <definedName name="Sectors" localSheetId="6">'[1]Sector Impact'!$K$4:$K$16</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1" l="1"/>
  <c r="M145" i="22"/>
  <c r="L146" i="22"/>
  <c r="E64" i="4"/>
  <c r="E65" i="4" l="1"/>
  <c r="I172" i="22"/>
  <c r="K172" i="22" s="1"/>
  <c r="L172" i="22" s="1"/>
  <c r="H172" i="22"/>
  <c r="G172" i="22"/>
  <c r="D8" i="22"/>
  <c r="E8" i="22" s="1"/>
  <c r="C9" i="22"/>
  <c r="D9" i="22"/>
  <c r="E9" i="22"/>
  <c r="F9" i="22"/>
  <c r="G9" i="22"/>
  <c r="H9" i="22"/>
  <c r="I9" i="22"/>
  <c r="C10" i="22"/>
  <c r="D10" i="22"/>
  <c r="E10" i="22"/>
  <c r="F10" i="22"/>
  <c r="G10" i="22"/>
  <c r="H10" i="22"/>
  <c r="I10" i="22"/>
  <c r="C16" i="22"/>
  <c r="C23" i="22"/>
  <c r="D23" i="22"/>
  <c r="E23" i="22"/>
  <c r="F23" i="22"/>
  <c r="G23" i="22"/>
  <c r="H23" i="22"/>
  <c r="C24" i="22"/>
  <c r="D24" i="22"/>
  <c r="E24" i="22"/>
  <c r="F24" i="22"/>
  <c r="G24" i="22"/>
  <c r="H24" i="22"/>
  <c r="C25" i="22"/>
  <c r="D25" i="22"/>
  <c r="E25" i="22"/>
  <c r="F25" i="22"/>
  <c r="G25" i="22"/>
  <c r="C26" i="22"/>
  <c r="D26" i="22"/>
  <c r="E26" i="22"/>
  <c r="F26" i="22"/>
  <c r="G26" i="22"/>
  <c r="H26" i="22"/>
  <c r="C27" i="22"/>
  <c r="D27" i="22"/>
  <c r="E27" i="22"/>
  <c r="F27" i="22"/>
  <c r="G27" i="22"/>
  <c r="H27" i="22"/>
  <c r="C30" i="22"/>
  <c r="D30" i="22"/>
  <c r="E30" i="22"/>
  <c r="F30" i="22"/>
  <c r="G30" i="22"/>
  <c r="H30" i="22"/>
  <c r="B39" i="22"/>
  <c r="D46" i="22" s="1"/>
  <c r="C39" i="22"/>
  <c r="E46" i="22" s="1"/>
  <c r="D39" i="22"/>
  <c r="F46" i="22" s="1"/>
  <c r="E39" i="22"/>
  <c r="G46" i="22" s="1"/>
  <c r="F39" i="22"/>
  <c r="H46" i="22" s="1"/>
  <c r="G39" i="22"/>
  <c r="I46" i="22" s="1"/>
  <c r="H39" i="22"/>
  <c r="I39" i="22"/>
  <c r="C45" i="22"/>
  <c r="D45" i="22"/>
  <c r="E45" i="22"/>
  <c r="F45" i="22"/>
  <c r="G45" i="22"/>
  <c r="H45" i="22"/>
  <c r="G52" i="22"/>
  <c r="C53" i="22"/>
  <c r="D53" i="22"/>
  <c r="E53" i="22"/>
  <c r="G54" i="22"/>
  <c r="C55" i="22"/>
  <c r="D55" i="22"/>
  <c r="E55" i="22"/>
  <c r="F55" i="22"/>
  <c r="G56" i="22"/>
  <c r="C57" i="22"/>
  <c r="D57" i="22"/>
  <c r="E57" i="22"/>
  <c r="F57" i="22"/>
  <c r="G58" i="22"/>
  <c r="C59" i="22"/>
  <c r="D59" i="22"/>
  <c r="E59" i="22"/>
  <c r="F59" i="22"/>
  <c r="G60" i="22"/>
  <c r="C61" i="22"/>
  <c r="D61" i="22"/>
  <c r="E61" i="22"/>
  <c r="F61" i="22"/>
  <c r="G62" i="22"/>
  <c r="C63" i="22"/>
  <c r="D63" i="22"/>
  <c r="E63" i="22"/>
  <c r="F63" i="22"/>
  <c r="G64" i="22"/>
  <c r="P55" i="22"/>
  <c r="Q55" i="22"/>
  <c r="R55" i="22"/>
  <c r="S55" i="22"/>
  <c r="T55" i="22"/>
  <c r="U55" i="22"/>
  <c r="V55" i="22"/>
  <c r="T59" i="22"/>
  <c r="T60" i="22"/>
  <c r="T61" i="22"/>
  <c r="T62" i="22"/>
  <c r="U61" i="22" s="1"/>
  <c r="T63" i="22"/>
  <c r="B78" i="22"/>
  <c r="C78" i="22"/>
  <c r="D78" i="22"/>
  <c r="E78" i="22"/>
  <c r="F78" i="22"/>
  <c r="B79" i="22"/>
  <c r="C18" i="22" s="1"/>
  <c r="C79" i="22"/>
  <c r="D18" i="22" s="1"/>
  <c r="D79" i="22"/>
  <c r="E18" i="22" s="1"/>
  <c r="E79" i="22"/>
  <c r="F18" i="22" s="1"/>
  <c r="F79" i="22"/>
  <c r="G18" i="22" s="1"/>
  <c r="G79" i="22"/>
  <c r="H18" i="22" s="1"/>
  <c r="I79" i="22"/>
  <c r="I80" i="22" s="1"/>
  <c r="B85" i="22"/>
  <c r="C17" i="22" s="1"/>
  <c r="C85" i="22"/>
  <c r="D17" i="22" s="1"/>
  <c r="D85" i="22"/>
  <c r="E17" i="22" s="1"/>
  <c r="E85" i="22"/>
  <c r="F17" i="22" s="1"/>
  <c r="F85" i="22"/>
  <c r="G17" i="22" s="1"/>
  <c r="G85" i="22"/>
  <c r="H17" i="22" s="1"/>
  <c r="B101" i="22"/>
  <c r="C101" i="22"/>
  <c r="D101" i="22"/>
  <c r="E101" i="22"/>
  <c r="F101" i="22"/>
  <c r="B102" i="22"/>
  <c r="C102" i="22"/>
  <c r="D102" i="22"/>
  <c r="E102" i="22"/>
  <c r="F102" i="22"/>
  <c r="B103" i="22"/>
  <c r="C103" i="22"/>
  <c r="D103" i="22"/>
  <c r="E103" i="22"/>
  <c r="F103" i="22"/>
  <c r="D131" i="22"/>
  <c r="E131" i="22"/>
  <c r="F131" i="22"/>
  <c r="G131" i="22"/>
  <c r="H131" i="22"/>
  <c r="D132" i="22"/>
  <c r="D134" i="22" s="1"/>
  <c r="E132" i="22"/>
  <c r="G153" i="22" s="1"/>
  <c r="F132" i="22"/>
  <c r="F134" i="22" s="1"/>
  <c r="G132" i="22"/>
  <c r="G134" i="22" s="1"/>
  <c r="H132" i="22"/>
  <c r="H134" i="22" s="1"/>
  <c r="H135" i="22" s="1"/>
  <c r="C134" i="22"/>
  <c r="I139" i="22"/>
  <c r="C140" i="22"/>
  <c r="D140" i="22"/>
  <c r="E140" i="22"/>
  <c r="F140" i="22"/>
  <c r="G140" i="22"/>
  <c r="E144" i="22"/>
  <c r="F144" i="22"/>
  <c r="G144" i="22"/>
  <c r="H144" i="22"/>
  <c r="I144" i="22"/>
  <c r="E146" i="22"/>
  <c r="F146" i="22"/>
  <c r="G146" i="22"/>
  <c r="H146" i="22"/>
  <c r="I146" i="22"/>
  <c r="E148" i="22"/>
  <c r="F148" i="22"/>
  <c r="G148" i="22"/>
  <c r="H148" i="22"/>
  <c r="I148" i="22"/>
  <c r="D151" i="22"/>
  <c r="E151" i="22"/>
  <c r="F151" i="22"/>
  <c r="F166" i="22" s="1"/>
  <c r="G151" i="22"/>
  <c r="G166" i="22" s="1"/>
  <c r="H151" i="22"/>
  <c r="H166" i="22" s="1"/>
  <c r="I151" i="22"/>
  <c r="I166" i="22" s="1"/>
  <c r="D153" i="22"/>
  <c r="E156" i="22"/>
  <c r="F156" i="22"/>
  <c r="G156" i="22"/>
  <c r="H156" i="22"/>
  <c r="I156" i="22"/>
  <c r="E160" i="22"/>
  <c r="F160" i="22"/>
  <c r="G160" i="22"/>
  <c r="H160" i="22"/>
  <c r="I160" i="22"/>
  <c r="E162" i="22"/>
  <c r="F162" i="22"/>
  <c r="G162" i="22"/>
  <c r="H162" i="22"/>
  <c r="I162" i="22"/>
  <c r="D163" i="22"/>
  <c r="E163" i="22"/>
  <c r="F163" i="22"/>
  <c r="G163" i="22"/>
  <c r="H163" i="22"/>
  <c r="I163" i="22"/>
  <c r="B166" i="22"/>
  <c r="I201" i="22"/>
  <c r="C221" i="22"/>
  <c r="D221" i="22"/>
  <c r="E221" i="22"/>
  <c r="F221" i="22"/>
  <c r="G221" i="22"/>
  <c r="C231" i="22"/>
  <c r="D231" i="22"/>
  <c r="E231" i="22"/>
  <c r="F231" i="22"/>
  <c r="C234" i="22"/>
  <c r="D234" i="22"/>
  <c r="E234" i="22"/>
  <c r="F234" i="22"/>
  <c r="C237" i="22"/>
  <c r="D237" i="22"/>
  <c r="E237" i="22"/>
  <c r="F237" i="22"/>
  <c r="C241" i="22"/>
  <c r="C235" i="22" s="1"/>
  <c r="D241" i="22"/>
  <c r="D235" i="22" s="1"/>
  <c r="E241" i="22"/>
  <c r="E235" i="22" s="1"/>
  <c r="F241" i="22"/>
  <c r="F235" i="22" s="1"/>
  <c r="G241" i="22"/>
  <c r="B246" i="22"/>
  <c r="C246" i="22"/>
  <c r="D246" i="22"/>
  <c r="B255" i="22"/>
  <c r="C255" i="22"/>
  <c r="D255" i="22"/>
  <c r="C269" i="22"/>
  <c r="D269" i="22"/>
  <c r="F269" i="22"/>
  <c r="C270" i="22"/>
  <c r="D270" i="22"/>
  <c r="F270" i="22"/>
  <c r="C272" i="22"/>
  <c r="C284" i="22" s="1"/>
  <c r="D272" i="22"/>
  <c r="D284" i="22" s="1"/>
  <c r="E272" i="22"/>
  <c r="E284" i="22" s="1"/>
  <c r="E286" i="22" s="1"/>
  <c r="F273" i="22"/>
  <c r="G273" i="22"/>
  <c r="C275" i="22"/>
  <c r="D275" i="22"/>
  <c r="E275" i="22"/>
  <c r="F275" i="22"/>
  <c r="G275" i="22"/>
  <c r="C277" i="22"/>
  <c r="D277" i="22"/>
  <c r="E277" i="22"/>
  <c r="F277" i="22"/>
  <c r="G277" i="22"/>
  <c r="C279" i="22"/>
  <c r="D279" i="22"/>
  <c r="E279" i="22"/>
  <c r="F279" i="22"/>
  <c r="G279" i="22"/>
  <c r="C281" i="22"/>
  <c r="D281" i="22"/>
  <c r="E281" i="22"/>
  <c r="F281" i="22"/>
  <c r="G281" i="22"/>
  <c r="C283" i="22"/>
  <c r="D283" i="22"/>
  <c r="E283" i="22"/>
  <c r="G283" i="22"/>
  <c r="F284" i="22"/>
  <c r="F286" i="22" s="1"/>
  <c r="G284" i="22"/>
  <c r="G285" i="22" s="1"/>
  <c r="C294" i="22"/>
  <c r="D294" i="22"/>
  <c r="E294" i="22"/>
  <c r="F294" i="22"/>
  <c r="G294" i="22"/>
  <c r="H294" i="22"/>
  <c r="C298" i="22"/>
  <c r="C299" i="22" s="1"/>
  <c r="D298" i="22"/>
  <c r="D300" i="22" s="1"/>
  <c r="D301" i="22" s="1"/>
  <c r="E298" i="22"/>
  <c r="E300" i="22" s="1"/>
  <c r="E301" i="22" s="1"/>
  <c r="F298" i="22"/>
  <c r="F300" i="22" s="1"/>
  <c r="F301" i="22" s="1"/>
  <c r="G298" i="22"/>
  <c r="G300" i="22" s="1"/>
  <c r="G301" i="22" s="1"/>
  <c r="H298" i="22"/>
  <c r="H300" i="22" s="1"/>
  <c r="H301" i="22" s="1"/>
  <c r="M39" i="22"/>
  <c r="L39" i="22"/>
  <c r="K39" i="22"/>
  <c r="J39" i="22"/>
  <c r="C3" i="17"/>
  <c r="B3" i="17"/>
  <c r="M89" i="16"/>
  <c r="L89" i="16"/>
  <c r="K89" i="16"/>
  <c r="J89" i="16"/>
  <c r="I89" i="16"/>
  <c r="H89" i="16"/>
  <c r="G89" i="16"/>
  <c r="F89" i="16"/>
  <c r="E89" i="16"/>
  <c r="D89" i="16"/>
  <c r="C89" i="16"/>
  <c r="B89" i="16"/>
  <c r="M88" i="16"/>
  <c r="L88" i="16"/>
  <c r="K88" i="16"/>
  <c r="J88" i="16"/>
  <c r="I88" i="16"/>
  <c r="H88" i="16"/>
  <c r="G88" i="16"/>
  <c r="F88" i="16"/>
  <c r="E88" i="16"/>
  <c r="D88" i="16"/>
  <c r="C88" i="16"/>
  <c r="B88" i="16"/>
  <c r="M87" i="16"/>
  <c r="L87" i="16"/>
  <c r="K87" i="16"/>
  <c r="J87" i="16"/>
  <c r="I87" i="16"/>
  <c r="H87" i="16"/>
  <c r="G87" i="16"/>
  <c r="F87" i="16"/>
  <c r="E87" i="16"/>
  <c r="D87" i="16"/>
  <c r="C87" i="16"/>
  <c r="B87" i="16"/>
  <c r="M86" i="16"/>
  <c r="L86" i="16"/>
  <c r="K86" i="16"/>
  <c r="J86" i="16"/>
  <c r="I86" i="16"/>
  <c r="H86" i="16"/>
  <c r="G86" i="16"/>
  <c r="F86" i="16"/>
  <c r="E86" i="16"/>
  <c r="D86" i="16"/>
  <c r="C86" i="16"/>
  <c r="B86" i="16"/>
  <c r="M85" i="16"/>
  <c r="L85" i="16"/>
  <c r="K85" i="16"/>
  <c r="J85" i="16"/>
  <c r="I85" i="16"/>
  <c r="H85" i="16"/>
  <c r="G85" i="16"/>
  <c r="F85" i="16"/>
  <c r="E85" i="16"/>
  <c r="D85" i="16"/>
  <c r="C85" i="16"/>
  <c r="M84" i="16"/>
  <c r="L84" i="16"/>
  <c r="K84" i="16"/>
  <c r="J84" i="16"/>
  <c r="I84" i="16"/>
  <c r="H84" i="16"/>
  <c r="G84" i="16"/>
  <c r="F84" i="16"/>
  <c r="E84" i="16"/>
  <c r="D84" i="16"/>
  <c r="C84" i="16"/>
  <c r="B84" i="16"/>
  <c r="M83" i="16"/>
  <c r="L83" i="16"/>
  <c r="K83" i="16"/>
  <c r="J83" i="16"/>
  <c r="I83" i="16"/>
  <c r="H83" i="16"/>
  <c r="G83" i="16"/>
  <c r="F83" i="16"/>
  <c r="E83" i="16"/>
  <c r="D83" i="16"/>
  <c r="C83" i="16"/>
  <c r="B83" i="16"/>
  <c r="M79" i="16"/>
  <c r="L79" i="16"/>
  <c r="K79" i="16"/>
  <c r="J79" i="16"/>
  <c r="I79" i="16"/>
  <c r="H79" i="16"/>
  <c r="G79" i="16"/>
  <c r="F79" i="16"/>
  <c r="E79" i="16"/>
  <c r="D79" i="16"/>
  <c r="C79" i="16"/>
  <c r="B79" i="16"/>
  <c r="M78" i="16"/>
  <c r="L78" i="16"/>
  <c r="K78" i="16"/>
  <c r="J78" i="16"/>
  <c r="I78" i="16"/>
  <c r="H78" i="16"/>
  <c r="F78" i="16"/>
  <c r="E78" i="16"/>
  <c r="D78" i="16"/>
  <c r="C78" i="16"/>
  <c r="B78" i="16"/>
  <c r="M77" i="16"/>
  <c r="L77" i="16"/>
  <c r="K77" i="16"/>
  <c r="J77" i="16"/>
  <c r="I77" i="16"/>
  <c r="H77" i="16"/>
  <c r="G77" i="16"/>
  <c r="F77" i="16"/>
  <c r="E77" i="16"/>
  <c r="D77" i="16"/>
  <c r="C77" i="16"/>
  <c r="B77" i="16"/>
  <c r="M76" i="16"/>
  <c r="L76" i="16"/>
  <c r="K76" i="16"/>
  <c r="J76" i="16"/>
  <c r="I76" i="16"/>
  <c r="H76" i="16"/>
  <c r="G76" i="16"/>
  <c r="F76" i="16"/>
  <c r="E76" i="16"/>
  <c r="D76" i="16"/>
  <c r="C76" i="16"/>
  <c r="B76" i="16"/>
  <c r="M75" i="16"/>
  <c r="L75" i="16"/>
  <c r="K75" i="16"/>
  <c r="J75" i="16"/>
  <c r="I75" i="16"/>
  <c r="H75" i="16"/>
  <c r="G75" i="16"/>
  <c r="F75" i="16"/>
  <c r="E75" i="16"/>
  <c r="D75" i="16"/>
  <c r="C75" i="16"/>
  <c r="B75" i="16"/>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67" i="16"/>
  <c r="L67" i="16"/>
  <c r="K67" i="16"/>
  <c r="J67" i="16"/>
  <c r="I67" i="16"/>
  <c r="H67" i="16"/>
  <c r="G67" i="16"/>
  <c r="F67" i="16"/>
  <c r="E67" i="16"/>
  <c r="D67" i="16"/>
  <c r="C67" i="16"/>
  <c r="B67" i="16"/>
  <c r="M61" i="16"/>
  <c r="L61" i="16"/>
  <c r="K61" i="16"/>
  <c r="J61" i="16"/>
  <c r="I61" i="16"/>
  <c r="H61" i="16"/>
  <c r="G61" i="16"/>
  <c r="F61" i="16"/>
  <c r="E61" i="16"/>
  <c r="D61" i="16"/>
  <c r="C61" i="16"/>
  <c r="B61" i="16"/>
  <c r="M59" i="16"/>
  <c r="L59" i="16"/>
  <c r="K59" i="16"/>
  <c r="J59" i="16"/>
  <c r="I59" i="16"/>
  <c r="H59" i="16"/>
  <c r="M58" i="16"/>
  <c r="L58" i="16"/>
  <c r="K58" i="16"/>
  <c r="J58" i="16"/>
  <c r="I58" i="16"/>
  <c r="H58" i="16"/>
  <c r="M53" i="16"/>
  <c r="L53" i="16"/>
  <c r="K53" i="16"/>
  <c r="J53" i="16"/>
  <c r="I53" i="16"/>
  <c r="H53" i="16"/>
  <c r="G53" i="16"/>
  <c r="F53" i="16"/>
  <c r="E53" i="16"/>
  <c r="D53" i="16"/>
  <c r="C53" i="16"/>
  <c r="B53" i="16"/>
  <c r="M52" i="16"/>
  <c r="L52" i="16"/>
  <c r="K52" i="16"/>
  <c r="J52" i="16"/>
  <c r="I52" i="16"/>
  <c r="H52" i="16"/>
  <c r="G52" i="16"/>
  <c r="F52" i="16"/>
  <c r="E52" i="16"/>
  <c r="D52" i="16"/>
  <c r="C52" i="16"/>
  <c r="B52" i="16"/>
  <c r="M51" i="16"/>
  <c r="L51" i="16"/>
  <c r="K51" i="16"/>
  <c r="J51" i="16"/>
  <c r="I51" i="16"/>
  <c r="H51" i="16"/>
  <c r="G51" i="16"/>
  <c r="F51" i="16"/>
  <c r="E51" i="16"/>
  <c r="D51" i="16"/>
  <c r="C51" i="16"/>
  <c r="B51" i="16"/>
  <c r="M46" i="16"/>
  <c r="L46" i="16"/>
  <c r="K46" i="16"/>
  <c r="J46" i="16"/>
  <c r="I46" i="16"/>
  <c r="H46" i="16"/>
  <c r="G46" i="16"/>
  <c r="F46" i="16"/>
  <c r="E46" i="16"/>
  <c r="D46" i="16"/>
  <c r="C46" i="16"/>
  <c r="B46" i="16"/>
  <c r="M44" i="16"/>
  <c r="L44" i="16"/>
  <c r="K44" i="16"/>
  <c r="J44" i="16"/>
  <c r="I44" i="16"/>
  <c r="H44" i="16"/>
  <c r="G44" i="16"/>
  <c r="F44" i="16"/>
  <c r="E44" i="16"/>
  <c r="D44" i="16"/>
  <c r="C44" i="16"/>
  <c r="B44" i="16"/>
  <c r="M43" i="16"/>
  <c r="L43" i="16"/>
  <c r="K43" i="16"/>
  <c r="J43" i="16"/>
  <c r="I43" i="16"/>
  <c r="H43" i="16"/>
  <c r="G43" i="16"/>
  <c r="F43" i="16"/>
  <c r="F100" i="22" s="1"/>
  <c r="E43" i="16"/>
  <c r="E100" i="22" s="1"/>
  <c r="D43" i="16"/>
  <c r="D100" i="22" s="1"/>
  <c r="C43" i="16"/>
  <c r="C100" i="22" s="1"/>
  <c r="B43" i="16"/>
  <c r="B100" i="22" s="1"/>
  <c r="M42" i="16"/>
  <c r="L42" i="16"/>
  <c r="K42" i="16"/>
  <c r="J42" i="16"/>
  <c r="I42" i="16"/>
  <c r="H42" i="16"/>
  <c r="G42" i="16"/>
  <c r="F42" i="16"/>
  <c r="F99" i="22" s="1"/>
  <c r="E42" i="16"/>
  <c r="E99" i="22" s="1"/>
  <c r="D42" i="16"/>
  <c r="D99" i="22" s="1"/>
  <c r="C42" i="16"/>
  <c r="C99" i="22" s="1"/>
  <c r="B42" i="16"/>
  <c r="B99" i="22" s="1"/>
  <c r="M41" i="16"/>
  <c r="L41" i="16"/>
  <c r="K41" i="16"/>
  <c r="J41" i="16"/>
  <c r="I41" i="16"/>
  <c r="H41" i="16"/>
  <c r="G41" i="16"/>
  <c r="G94" i="22" s="1"/>
  <c r="G95" i="22" s="1"/>
  <c r="H22" i="22" s="1"/>
  <c r="F41" i="16"/>
  <c r="F94" i="22" s="1"/>
  <c r="F95" i="22" s="1"/>
  <c r="G22" i="22" s="1"/>
  <c r="E41" i="16"/>
  <c r="E94" i="22" s="1"/>
  <c r="E95" i="22" s="1"/>
  <c r="F22" i="22" s="1"/>
  <c r="D41" i="16"/>
  <c r="D94" i="22" s="1"/>
  <c r="D95" i="22" s="1"/>
  <c r="E22" i="22" s="1"/>
  <c r="C41" i="16"/>
  <c r="C94" i="22" s="1"/>
  <c r="C95" i="22" s="1"/>
  <c r="D22" i="22" s="1"/>
  <c r="B41" i="16"/>
  <c r="B94" i="22" s="1"/>
  <c r="B95" i="22" s="1"/>
  <c r="C22" i="22" s="1"/>
  <c r="M33" i="16"/>
  <c r="L33" i="16"/>
  <c r="K33" i="16"/>
  <c r="J33" i="16"/>
  <c r="I33" i="16"/>
  <c r="H33" i="16"/>
  <c r="G33" i="16"/>
  <c r="F33" i="16"/>
  <c r="E33" i="16"/>
  <c r="D33" i="16"/>
  <c r="C33" i="16"/>
  <c r="B33" i="16"/>
  <c r="M32" i="16"/>
  <c r="L32" i="16"/>
  <c r="K32" i="16"/>
  <c r="J32" i="16"/>
  <c r="I32" i="16"/>
  <c r="H32" i="16"/>
  <c r="G32" i="16"/>
  <c r="F32" i="16"/>
  <c r="E32" i="16"/>
  <c r="D32" i="16"/>
  <c r="C32" i="16"/>
  <c r="B32" i="16"/>
  <c r="M28" i="16"/>
  <c r="L28" i="16"/>
  <c r="K28" i="16"/>
  <c r="J28" i="16"/>
  <c r="I28" i="16"/>
  <c r="H28" i="16"/>
  <c r="G28" i="16"/>
  <c r="F28" i="16"/>
  <c r="E28" i="16"/>
  <c r="D28" i="16"/>
  <c r="C28" i="16"/>
  <c r="B28" i="16"/>
  <c r="M27" i="16"/>
  <c r="L27" i="16"/>
  <c r="K27" i="16"/>
  <c r="J27" i="16"/>
  <c r="I27" i="16"/>
  <c r="H27" i="16"/>
  <c r="G27" i="16"/>
  <c r="F27" i="16"/>
  <c r="E27" i="16"/>
  <c r="D27" i="16"/>
  <c r="C27" i="16"/>
  <c r="B27" i="16"/>
  <c r="M21" i="16"/>
  <c r="L21" i="16"/>
  <c r="K21" i="16"/>
  <c r="J21" i="16"/>
  <c r="I21" i="16"/>
  <c r="H21" i="16"/>
  <c r="G21" i="16"/>
  <c r="F21" i="16"/>
  <c r="E21" i="16"/>
  <c r="D21" i="16"/>
  <c r="C21" i="16"/>
  <c r="B21" i="16"/>
  <c r="M17" i="16"/>
  <c r="L17" i="16"/>
  <c r="K17" i="16"/>
  <c r="J17" i="16"/>
  <c r="I17" i="16"/>
  <c r="H17" i="16"/>
  <c r="G17" i="16"/>
  <c r="F17" i="16"/>
  <c r="E17" i="16"/>
  <c r="D17" i="16"/>
  <c r="C17" i="16"/>
  <c r="B17" i="16"/>
  <c r="M14" i="16"/>
  <c r="L14" i="16"/>
  <c r="K14" i="16"/>
  <c r="J14" i="16"/>
  <c r="I14" i="16"/>
  <c r="H14" i="16"/>
  <c r="G14" i="16"/>
  <c r="F14" i="16"/>
  <c r="E14" i="16"/>
  <c r="D14" i="16"/>
  <c r="C14" i="16"/>
  <c r="B14" i="16"/>
  <c r="M7" i="16"/>
  <c r="L7" i="16"/>
  <c r="K7" i="16"/>
  <c r="J7" i="16"/>
  <c r="I7" i="16"/>
  <c r="H7" i="16"/>
  <c r="G7" i="16"/>
  <c r="F7" i="16"/>
  <c r="E7" i="16"/>
  <c r="D7" i="16"/>
  <c r="C7" i="16"/>
  <c r="B7" i="16"/>
  <c r="M5" i="16"/>
  <c r="L5" i="16"/>
  <c r="K5" i="16"/>
  <c r="J5" i="16"/>
  <c r="I5" i="16"/>
  <c r="H5" i="16"/>
  <c r="H72" i="22" s="1"/>
  <c r="G5" i="16"/>
  <c r="G72" i="22" s="1"/>
  <c r="H19" i="22" s="1"/>
  <c r="F5" i="16"/>
  <c r="F72" i="22" s="1"/>
  <c r="G19" i="22" s="1"/>
  <c r="E5" i="16"/>
  <c r="E72" i="22" s="1"/>
  <c r="F19" i="22" s="1"/>
  <c r="D5" i="16"/>
  <c r="D72" i="22" s="1"/>
  <c r="E19" i="22" s="1"/>
  <c r="C5" i="16"/>
  <c r="H170" i="22" s="1"/>
  <c r="B5" i="16"/>
  <c r="B72" i="22" s="1"/>
  <c r="C19" i="22" s="1"/>
  <c r="I12" i="17"/>
  <c r="I23" i="16" s="1"/>
  <c r="C72" i="22" l="1"/>
  <c r="D19" i="22" s="1"/>
  <c r="G170" i="22"/>
  <c r="H171" i="22" s="1"/>
  <c r="I170" i="22"/>
  <c r="I171" i="22" s="1"/>
  <c r="U62" i="22"/>
  <c r="F133" i="22"/>
  <c r="E133" i="22"/>
  <c r="D133" i="22"/>
  <c r="G135" i="22"/>
  <c r="U60" i="22"/>
  <c r="I164" i="22"/>
  <c r="G167" i="22"/>
  <c r="E164" i="22"/>
  <c r="H173" i="22"/>
  <c r="G133" i="22"/>
  <c r="I173" i="22"/>
  <c r="D273" i="22"/>
  <c r="C273" i="22"/>
  <c r="H52" i="22"/>
  <c r="I281" i="22"/>
  <c r="H281" i="22"/>
  <c r="E273" i="22"/>
  <c r="I294" i="22"/>
  <c r="G164" i="22"/>
  <c r="F164" i="22"/>
  <c r="H275" i="22"/>
  <c r="D135" i="22"/>
  <c r="I275" i="22"/>
  <c r="E16" i="22"/>
  <c r="F8" i="22"/>
  <c r="F16" i="22" s="1"/>
  <c r="D285" i="22"/>
  <c r="H284" i="22"/>
  <c r="D16" i="22"/>
  <c r="H47" i="22"/>
  <c r="G47" i="22"/>
  <c r="H153" i="22"/>
  <c r="H154" i="22" s="1"/>
  <c r="I131" i="22"/>
  <c r="E152" i="22"/>
  <c r="H152" i="22"/>
  <c r="E134" i="22"/>
  <c r="E135" i="22" s="1"/>
  <c r="H60" i="22"/>
  <c r="H279" i="22"/>
  <c r="H133" i="22"/>
  <c r="U63" i="22"/>
  <c r="C48" i="22"/>
  <c r="H167" i="22"/>
  <c r="E166" i="22"/>
  <c r="E149" i="22" s="1"/>
  <c r="F157" i="22"/>
  <c r="D286" i="22"/>
  <c r="I279" i="22"/>
  <c r="H164" i="22"/>
  <c r="E285" i="22"/>
  <c r="G152" i="22"/>
  <c r="F152" i="22"/>
  <c r="F285" i="22"/>
  <c r="D166" i="22"/>
  <c r="D157" i="22" s="1"/>
  <c r="C286" i="22"/>
  <c r="I152" i="22"/>
  <c r="C285" i="22"/>
  <c r="I284" i="22"/>
  <c r="I167" i="22"/>
  <c r="H58" i="22"/>
  <c r="H56" i="22"/>
  <c r="H54" i="22"/>
  <c r="H62" i="22"/>
  <c r="I179" i="22"/>
  <c r="H177" i="22"/>
  <c r="H179" i="22"/>
  <c r="G177" i="22"/>
  <c r="G179" i="22"/>
  <c r="I149" i="22"/>
  <c r="F47" i="22"/>
  <c r="G238" i="22"/>
  <c r="G232" i="22"/>
  <c r="G220" i="22"/>
  <c r="G222" i="22" s="1"/>
  <c r="G240" i="22"/>
  <c r="H149" i="22"/>
  <c r="E47" i="22"/>
  <c r="H270" i="22"/>
  <c r="I270" i="22"/>
  <c r="F232" i="22"/>
  <c r="F220" i="22"/>
  <c r="F222" i="22" s="1"/>
  <c r="F240" i="22"/>
  <c r="G149" i="22"/>
  <c r="D47" i="22"/>
  <c r="E232" i="22"/>
  <c r="E220" i="22"/>
  <c r="E222" i="22" s="1"/>
  <c r="E240" i="22"/>
  <c r="F149" i="22"/>
  <c r="I140" i="22"/>
  <c r="H277" i="22"/>
  <c r="I277" i="22"/>
  <c r="D232" i="22"/>
  <c r="D220" i="22"/>
  <c r="D222" i="22" s="1"/>
  <c r="D240" i="22"/>
  <c r="C232" i="22"/>
  <c r="C220" i="22"/>
  <c r="C222" i="22" s="1"/>
  <c r="C240" i="22"/>
  <c r="I153" i="22"/>
  <c r="F238" i="22"/>
  <c r="H136" i="22"/>
  <c r="C300" i="22"/>
  <c r="C301" i="22" s="1"/>
  <c r="I301" i="22" s="1"/>
  <c r="G286" i="22"/>
  <c r="H283" i="22"/>
  <c r="I283" i="22"/>
  <c r="E238" i="22"/>
  <c r="I165" i="22"/>
  <c r="G136" i="22"/>
  <c r="D238" i="22"/>
  <c r="H165" i="22"/>
  <c r="F153" i="22"/>
  <c r="F154" i="22" s="1"/>
  <c r="F136" i="22"/>
  <c r="H299" i="22"/>
  <c r="C238" i="22"/>
  <c r="G165" i="22"/>
  <c r="E153" i="22"/>
  <c r="E136" i="22"/>
  <c r="G299" i="22"/>
  <c r="I174" i="22"/>
  <c r="F165" i="22"/>
  <c r="D136" i="22"/>
  <c r="F299" i="22"/>
  <c r="H174" i="22"/>
  <c r="C136" i="22"/>
  <c r="E299" i="22"/>
  <c r="G174" i="22"/>
  <c r="I157" i="22"/>
  <c r="D299" i="22"/>
  <c r="H157" i="22"/>
  <c r="G235" i="22"/>
  <c r="G157" i="22"/>
  <c r="G49" i="10"/>
  <c r="F49" i="10"/>
  <c r="E49" i="10"/>
  <c r="D49" i="10"/>
  <c r="M8" i="19"/>
  <c r="M172" i="22"/>
  <c r="N172" i="22" s="1"/>
  <c r="O172" i="22" s="1"/>
  <c r="P172" i="22" s="1"/>
  <c r="Q172" i="22" s="1"/>
  <c r="R172" i="22" s="1"/>
  <c r="S172" i="22" s="1"/>
  <c r="T172" i="22" s="1"/>
  <c r="U172" i="22" s="1"/>
  <c r="V172" i="22" s="1"/>
  <c r="W172" i="22" s="1"/>
  <c r="X172" i="22" s="1"/>
  <c r="Y172" i="22" s="1"/>
  <c r="Z172" i="22" s="1"/>
  <c r="AA172" i="22" s="1"/>
  <c r="AB172" i="22" s="1"/>
  <c r="AC172" i="22" s="1"/>
  <c r="AD172" i="22" s="1"/>
  <c r="AE172" i="22" s="1"/>
  <c r="AF172" i="22" s="1"/>
  <c r="AG172" i="22" s="1"/>
  <c r="AH172" i="22" s="1"/>
  <c r="AI172" i="22" s="1"/>
  <c r="AJ172" i="22" s="1"/>
  <c r="K145" i="22"/>
  <c r="K147" i="22"/>
  <c r="L147" i="22" s="1"/>
  <c r="M147" i="22" s="1"/>
  <c r="K155" i="22"/>
  <c r="L155" i="22" s="1"/>
  <c r="M155" i="22" s="1"/>
  <c r="N155" i="22" s="1"/>
  <c r="K163" i="22"/>
  <c r="K161" i="22"/>
  <c r="L161" i="22" s="1"/>
  <c r="M161" i="22" s="1"/>
  <c r="N145" i="22"/>
  <c r="O145" i="22" s="1"/>
  <c r="D28" i="4"/>
  <c r="D27" i="4"/>
  <c r="F31" i="1"/>
  <c r="F29" i="1"/>
  <c r="I177" i="22" l="1"/>
  <c r="I133" i="22"/>
  <c r="H273" i="22"/>
  <c r="I273" i="22"/>
  <c r="E154" i="22"/>
  <c r="E165" i="22"/>
  <c r="H286" i="22"/>
  <c r="E157" i="22"/>
  <c r="G8" i="22"/>
  <c r="G16" i="22" s="1"/>
  <c r="I285" i="22"/>
  <c r="F135" i="22"/>
  <c r="I135" i="22" s="1"/>
  <c r="G154" i="22"/>
  <c r="I286" i="22"/>
  <c r="D149" i="22"/>
  <c r="I299" i="22"/>
  <c r="E167" i="22"/>
  <c r="D165" i="22"/>
  <c r="H285" i="22"/>
  <c r="F167" i="22"/>
  <c r="H175" i="22"/>
  <c r="H180" i="22"/>
  <c r="H181" i="22" s="1"/>
  <c r="I154" i="22"/>
  <c r="I136" i="22"/>
  <c r="I175" i="22"/>
  <c r="I180" i="22"/>
  <c r="I181" i="22" s="1"/>
  <c r="G175" i="22"/>
  <c r="G180" i="22"/>
  <c r="G181" i="22" s="1"/>
  <c r="R161" i="22"/>
  <c r="Q161" i="22"/>
  <c r="P161" i="22"/>
  <c r="O161" i="22"/>
  <c r="K159" i="22"/>
  <c r="K143" i="22" s="1"/>
  <c r="AJ161" i="22"/>
  <c r="AH161" i="22"/>
  <c r="Y161" i="22"/>
  <c r="X161" i="22"/>
  <c r="W161" i="22"/>
  <c r="U161" i="22"/>
  <c r="T161" i="22"/>
  <c r="S161" i="22"/>
  <c r="N161" i="22"/>
  <c r="AI161" i="22"/>
  <c r="AG161" i="22"/>
  <c r="AF161" i="22"/>
  <c r="AE161" i="22"/>
  <c r="AD161" i="22"/>
  <c r="AC161" i="22"/>
  <c r="AB161" i="22"/>
  <c r="AA161" i="22"/>
  <c r="Z161" i="22"/>
  <c r="V161" i="22"/>
  <c r="L163" i="22"/>
  <c r="L159" i="22" s="1"/>
  <c r="L143" i="22" s="1"/>
  <c r="O155" i="22"/>
  <c r="P155" i="22" s="1"/>
  <c r="Q155" i="22" s="1"/>
  <c r="R155" i="22" s="1"/>
  <c r="N147" i="22"/>
  <c r="E62" i="4"/>
  <c r="E67" i="4"/>
  <c r="D67" i="4"/>
  <c r="H8" i="22" l="1"/>
  <c r="H16" i="22" s="1"/>
  <c r="K160" i="22"/>
  <c r="M163" i="22"/>
  <c r="M159" i="22" s="1"/>
  <c r="M143" i="22" s="1"/>
  <c r="S155" i="22"/>
  <c r="O147" i="22"/>
  <c r="I8" i="22" l="1"/>
  <c r="Q163" i="22"/>
  <c r="S163" i="22"/>
  <c r="T163" i="22"/>
  <c r="Y163" i="22"/>
  <c r="Z163" i="22"/>
  <c r="AA163" i="22"/>
  <c r="AE163" i="22"/>
  <c r="AI163" i="22"/>
  <c r="N163" i="22"/>
  <c r="N159" i="22" s="1"/>
  <c r="N143" i="22" s="1"/>
  <c r="N144" i="22" s="1"/>
  <c r="R163" i="22"/>
  <c r="U163" i="22"/>
  <c r="V163" i="22"/>
  <c r="W163" i="22"/>
  <c r="X163" i="22"/>
  <c r="AB163" i="22"/>
  <c r="AC163" i="22"/>
  <c r="AD163" i="22"/>
  <c r="AF163" i="22"/>
  <c r="AG163" i="22"/>
  <c r="AH163" i="22"/>
  <c r="AJ163" i="22"/>
  <c r="O163" i="22"/>
  <c r="O159" i="22" s="1"/>
  <c r="O143" i="22" s="1"/>
  <c r="P163" i="22"/>
  <c r="L160" i="22"/>
  <c r="T155" i="22"/>
  <c r="P147" i="22"/>
  <c r="Q147" i="22" s="1"/>
  <c r="R147" i="22" s="1"/>
  <c r="S147" i="22" s="1"/>
  <c r="T147" i="22" s="1"/>
  <c r="U147" i="22" s="1"/>
  <c r="V147" i="22" s="1"/>
  <c r="W147" i="22" s="1"/>
  <c r="X147" i="22" s="1"/>
  <c r="Y147" i="22" s="1"/>
  <c r="Z147" i="22" s="1"/>
  <c r="AA147" i="22" s="1"/>
  <c r="AB147" i="22" s="1"/>
  <c r="AC147" i="22" s="1"/>
  <c r="AD147" i="22" s="1"/>
  <c r="AE147" i="22" s="1"/>
  <c r="AF147" i="22" s="1"/>
  <c r="AG147" i="22" s="1"/>
  <c r="AH147" i="22" s="1"/>
  <c r="AI147" i="22" s="1"/>
  <c r="AJ147" i="22" s="1"/>
  <c r="O144" i="22" l="1"/>
  <c r="M160" i="22"/>
  <c r="O160" i="22"/>
  <c r="N160" i="22"/>
  <c r="U155" i="22"/>
  <c r="D65" i="4"/>
  <c r="V155" i="22" l="1"/>
  <c r="E63" i="4"/>
  <c r="D63" i="4"/>
  <c r="K119" i="3"/>
  <c r="L119" i="3"/>
  <c r="F40" i="4"/>
  <c r="E40" i="4"/>
  <c r="D40" i="4"/>
  <c r="F38" i="4"/>
  <c r="E38" i="4"/>
  <c r="D38" i="4"/>
  <c r="W155" i="22" l="1"/>
  <c r="J79" i="22"/>
  <c r="D55" i="4"/>
  <c r="D60" i="4"/>
  <c r="E60" i="4"/>
  <c r="B95" i="17"/>
  <c r="C95" i="17"/>
  <c r="D95" i="17"/>
  <c r="E95" i="17"/>
  <c r="F95" i="17"/>
  <c r="G95" i="17"/>
  <c r="H95" i="17"/>
  <c r="B98" i="17"/>
  <c r="B100" i="17" s="1"/>
  <c r="B101" i="17" s="1"/>
  <c r="C98" i="17"/>
  <c r="C100" i="17" s="1"/>
  <c r="C101" i="17" s="1"/>
  <c r="D98" i="17"/>
  <c r="D100" i="17" s="1"/>
  <c r="D101" i="17" s="1"/>
  <c r="E98" i="17"/>
  <c r="E100" i="17" s="1"/>
  <c r="E101" i="17" s="1"/>
  <c r="F98" i="17"/>
  <c r="F100" i="17" s="1"/>
  <c r="F101" i="17" s="1"/>
  <c r="G98" i="17"/>
  <c r="G99" i="17" s="1"/>
  <c r="H98" i="17"/>
  <c r="H99" i="17" s="1"/>
  <c r="F99" i="17" l="1"/>
  <c r="E99" i="17"/>
  <c r="D99" i="17"/>
  <c r="C99" i="17"/>
  <c r="B99" i="17"/>
  <c r="H100" i="17"/>
  <c r="H101" i="17" s="1"/>
  <c r="G100" i="17"/>
  <c r="G101" i="17" s="1"/>
  <c r="X155" i="22"/>
  <c r="K79" i="22"/>
  <c r="J80" i="22"/>
  <c r="J99" i="17"/>
  <c r="I99" i="17"/>
  <c r="J294" i="22"/>
  <c r="I101" i="17" l="1"/>
  <c r="Y155" i="22"/>
  <c r="J299" i="22"/>
  <c r="L79" i="22"/>
  <c r="K80" i="22"/>
  <c r="J301" i="22"/>
  <c r="Z155" i="22" l="1"/>
  <c r="M79" i="22"/>
  <c r="M80" i="22" s="1"/>
  <c r="L80" i="22"/>
  <c r="AA155" i="22" l="1"/>
  <c r="B23" i="17"/>
  <c r="AB155" i="22" l="1"/>
  <c r="J95" i="17"/>
  <c r="J101" i="17"/>
  <c r="I95" i="17"/>
  <c r="B2" i="3"/>
  <c r="D4" i="3"/>
  <c r="E4" i="3" s="1"/>
  <c r="F4" i="3" s="1"/>
  <c r="G4" i="3" s="1"/>
  <c r="H4" i="3" s="1"/>
  <c r="I4" i="3" s="1"/>
  <c r="K4" i="3"/>
  <c r="L4" i="3" s="1"/>
  <c r="M4" i="3" s="1"/>
  <c r="N4" i="3" s="1"/>
  <c r="O4" i="3" s="1"/>
  <c r="P4" i="3" s="1"/>
  <c r="B15" i="3"/>
  <c r="D54" i="3"/>
  <c r="R7" i="19"/>
  <c r="R8" i="19"/>
  <c r="R9" i="19"/>
  <c r="R6" i="19"/>
  <c r="J68" i="17"/>
  <c r="J73" i="17" s="1"/>
  <c r="K68" i="17"/>
  <c r="K73" i="17" s="1"/>
  <c r="L68" i="17"/>
  <c r="L73" i="17" s="1"/>
  <c r="M68" i="17"/>
  <c r="M73" i="17" s="1"/>
  <c r="I108" i="3"/>
  <c r="H108" i="3"/>
  <c r="O108" i="3" s="1"/>
  <c r="G108" i="3"/>
  <c r="N108" i="3" s="1"/>
  <c r="F108" i="3"/>
  <c r="E108" i="3"/>
  <c r="D108" i="3"/>
  <c r="I119" i="3"/>
  <c r="H119" i="3"/>
  <c r="O119" i="3" s="1"/>
  <c r="G119" i="3"/>
  <c r="F119" i="3"/>
  <c r="E119" i="3"/>
  <c r="D119" i="3"/>
  <c r="L115" i="3"/>
  <c r="K115" i="3"/>
  <c r="O115" i="3"/>
  <c r="N115" i="3"/>
  <c r="L114" i="3"/>
  <c r="K114" i="3"/>
  <c r="O114" i="3"/>
  <c r="N114" i="3"/>
  <c r="O113" i="3"/>
  <c r="L113" i="3"/>
  <c r="K113" i="3"/>
  <c r="N113" i="3"/>
  <c r="O104" i="3"/>
  <c r="N104" i="3"/>
  <c r="M104" i="3"/>
  <c r="L104" i="3"/>
  <c r="K104" i="3"/>
  <c r="O103" i="3"/>
  <c r="N103" i="3"/>
  <c r="M103" i="3"/>
  <c r="L103" i="3"/>
  <c r="K103" i="3"/>
  <c r="K144" i="22"/>
  <c r="K153" i="22"/>
  <c r="L153" i="22" s="1"/>
  <c r="M153" i="22" s="1"/>
  <c r="J46" i="10"/>
  <c r="J44" i="10"/>
  <c r="J43" i="10"/>
  <c r="I46" i="10"/>
  <c r="I44" i="10"/>
  <c r="I43" i="10"/>
  <c r="C55" i="16"/>
  <c r="D55" i="16"/>
  <c r="E55" i="16"/>
  <c r="F55" i="16"/>
  <c r="G55" i="16"/>
  <c r="H55" i="16"/>
  <c r="I55" i="16"/>
  <c r="J55" i="16"/>
  <c r="B55" i="16"/>
  <c r="Q12" i="19"/>
  <c r="Q13" i="19"/>
  <c r="Q14" i="19"/>
  <c r="Q15" i="19"/>
  <c r="Q17" i="19"/>
  <c r="Q18" i="19"/>
  <c r="Q19" i="19"/>
  <c r="Q20" i="19"/>
  <c r="Q11" i="19"/>
  <c r="N8" i="19"/>
  <c r="P15" i="19"/>
  <c r="P12" i="19"/>
  <c r="N15" i="19"/>
  <c r="N9" i="19" s="1"/>
  <c r="N12" i="19"/>
  <c r="AE7" i="19"/>
  <c r="L12" i="19"/>
  <c r="C49" i="16"/>
  <c r="D49" i="16"/>
  <c r="E49" i="16"/>
  <c r="F49" i="16"/>
  <c r="G49" i="16"/>
  <c r="B49" i="16"/>
  <c r="C73" i="17"/>
  <c r="D73" i="17"/>
  <c r="E73" i="17"/>
  <c r="F73" i="17"/>
  <c r="G73" i="17"/>
  <c r="H73" i="17"/>
  <c r="I73" i="17"/>
  <c r="B73" i="17"/>
  <c r="G39" i="10"/>
  <c r="F39" i="10"/>
  <c r="E39" i="10"/>
  <c r="D39" i="10"/>
  <c r="F59" i="10"/>
  <c r="F58" i="10" s="1"/>
  <c r="E71" i="10"/>
  <c r="E66" i="10"/>
  <c r="E58" i="10"/>
  <c r="D58" i="10"/>
  <c r="D22" i="10" s="1"/>
  <c r="D71" i="10"/>
  <c r="D66" i="10"/>
  <c r="B26" i="3"/>
  <c r="G9" i="17"/>
  <c r="K9" i="17"/>
  <c r="H9" i="17"/>
  <c r="J9" i="17"/>
  <c r="L9" i="17"/>
  <c r="M9" i="17"/>
  <c r="E9" i="17"/>
  <c r="E12" i="17" s="1"/>
  <c r="E23" i="16" s="1"/>
  <c r="F20" i="22" s="1"/>
  <c r="F9" i="17"/>
  <c r="D9" i="17"/>
  <c r="D12" i="17" s="1"/>
  <c r="D23" i="16" s="1"/>
  <c r="E20" i="22" s="1"/>
  <c r="C9" i="17"/>
  <c r="C12" i="17" s="1"/>
  <c r="C23" i="16" s="1"/>
  <c r="D20" i="22" s="1"/>
  <c r="B9" i="17"/>
  <c r="I15" i="16"/>
  <c r="B15" i="16" l="1"/>
  <c r="B12" i="17"/>
  <c r="B23" i="16" s="1"/>
  <c r="C20" i="22" s="1"/>
  <c r="G15" i="16"/>
  <c r="G12" i="17"/>
  <c r="G23" i="16" s="1"/>
  <c r="H20" i="22" s="1"/>
  <c r="M15" i="16"/>
  <c r="M12" i="17"/>
  <c r="M23" i="16" s="1"/>
  <c r="F15" i="16"/>
  <c r="F12" i="17"/>
  <c r="F23" i="16" s="1"/>
  <c r="G20" i="22" s="1"/>
  <c r="L15" i="16"/>
  <c r="L12" i="17"/>
  <c r="L23" i="16" s="1"/>
  <c r="J15" i="16"/>
  <c r="J12" i="17"/>
  <c r="J23" i="16" s="1"/>
  <c r="H15" i="16"/>
  <c r="H12" i="17"/>
  <c r="H23" i="16" s="1"/>
  <c r="K15" i="16"/>
  <c r="K12" i="17"/>
  <c r="K23" i="16" s="1"/>
  <c r="D11" i="16"/>
  <c r="C11" i="16"/>
  <c r="B11" i="16"/>
  <c r="F11" i="16"/>
  <c r="K151" i="22"/>
  <c r="K152" i="22" s="1"/>
  <c r="N153" i="22"/>
  <c r="N151" i="22" s="1"/>
  <c r="J148" i="22"/>
  <c r="J146" i="22"/>
  <c r="J156" i="22"/>
  <c r="J162" i="22"/>
  <c r="AC155" i="22"/>
  <c r="L144" i="22"/>
  <c r="L151" i="22" s="1"/>
  <c r="M144" i="22"/>
  <c r="M151" i="22" s="1"/>
  <c r="M119" i="3"/>
  <c r="N119" i="3"/>
  <c r="L266" i="22"/>
  <c r="J160" i="22"/>
  <c r="M108" i="3"/>
  <c r="K108" i="3"/>
  <c r="J152" i="22"/>
  <c r="M114" i="3"/>
  <c r="M115" i="3"/>
  <c r="M113" i="3"/>
  <c r="L108" i="3"/>
  <c r="K102" i="3"/>
  <c r="L102" i="3"/>
  <c r="M102" i="3"/>
  <c r="N102" i="3"/>
  <c r="O102" i="3"/>
  <c r="J18" i="22"/>
  <c r="J30" i="22"/>
  <c r="J25" i="22"/>
  <c r="E15" i="16"/>
  <c r="D15" i="16"/>
  <c r="E11" i="16"/>
  <c r="C15" i="16"/>
  <c r="M11" i="16"/>
  <c r="I93" i="3"/>
  <c r="H93" i="3"/>
  <c r="G93" i="3"/>
  <c r="F93" i="3"/>
  <c r="M93" i="3" s="1"/>
  <c r="E93" i="3"/>
  <c r="D93" i="3"/>
  <c r="I92" i="3"/>
  <c r="H92" i="3"/>
  <c r="G92" i="3"/>
  <c r="F92" i="3"/>
  <c r="E92" i="3"/>
  <c r="D92" i="3"/>
  <c r="I91" i="3"/>
  <c r="H91" i="3"/>
  <c r="G91" i="3"/>
  <c r="F91" i="3"/>
  <c r="E91" i="3"/>
  <c r="D91" i="3"/>
  <c r="I85" i="3"/>
  <c r="H85" i="3"/>
  <c r="G85" i="3"/>
  <c r="F85" i="3"/>
  <c r="E85" i="3"/>
  <c r="D85" i="3"/>
  <c r="O81" i="3"/>
  <c r="N81" i="3"/>
  <c r="M81" i="3"/>
  <c r="L81" i="3"/>
  <c r="K81" i="3"/>
  <c r="O80" i="3"/>
  <c r="N80" i="3"/>
  <c r="M80" i="3"/>
  <c r="L80" i="3"/>
  <c r="K80" i="3"/>
  <c r="O79" i="3"/>
  <c r="N79" i="3"/>
  <c r="M79" i="3"/>
  <c r="L79" i="3"/>
  <c r="K79" i="3"/>
  <c r="B80" i="17"/>
  <c r="B85" i="16" s="1"/>
  <c r="I19" i="1"/>
  <c r="L107" i="1"/>
  <c r="J107" i="1"/>
  <c r="M107" i="1"/>
  <c r="I107" i="1"/>
  <c r="L152" i="22" l="1"/>
  <c r="J11" i="16"/>
  <c r="K11" i="16"/>
  <c r="I11" i="16"/>
  <c r="L11" i="16"/>
  <c r="H11" i="16"/>
  <c r="L166" i="22"/>
  <c r="K166" i="22"/>
  <c r="O153" i="22"/>
  <c r="O151" i="22" s="1"/>
  <c r="M166" i="22"/>
  <c r="M157" i="22" s="1"/>
  <c r="M152" i="22"/>
  <c r="J157" i="22"/>
  <c r="J149" i="22"/>
  <c r="J164" i="22"/>
  <c r="AD155" i="22"/>
  <c r="O91" i="3"/>
  <c r="J154" i="22"/>
  <c r="I97" i="3"/>
  <c r="K92" i="3"/>
  <c r="O93" i="3"/>
  <c r="O85" i="3"/>
  <c r="N91" i="3"/>
  <c r="K93" i="3"/>
  <c r="O92" i="3"/>
  <c r="E97" i="3"/>
  <c r="M92" i="3"/>
  <c r="D97" i="3"/>
  <c r="F97" i="3"/>
  <c r="L92" i="3"/>
  <c r="N92" i="3"/>
  <c r="L93" i="3"/>
  <c r="L91" i="3"/>
  <c r="H97" i="3"/>
  <c r="M85" i="3"/>
  <c r="N85" i="3"/>
  <c r="N93" i="3"/>
  <c r="M91" i="3"/>
  <c r="G97" i="3"/>
  <c r="L85" i="3"/>
  <c r="K85" i="3"/>
  <c r="K91" i="3"/>
  <c r="M21" i="1"/>
  <c r="M20" i="1"/>
  <c r="M23" i="1"/>
  <c r="K157" i="22" l="1"/>
  <c r="L149" i="22"/>
  <c r="K149" i="22"/>
  <c r="L157" i="22"/>
  <c r="M149" i="22"/>
  <c r="N152" i="22"/>
  <c r="N166" i="22"/>
  <c r="P153" i="22"/>
  <c r="AE155" i="22"/>
  <c r="B59" i="17"/>
  <c r="O97" i="3"/>
  <c r="L97" i="3"/>
  <c r="N97" i="3"/>
  <c r="M97" i="3"/>
  <c r="K97" i="3"/>
  <c r="M81" i="1"/>
  <c r="N157" i="22" l="1"/>
  <c r="Q153" i="22"/>
  <c r="O152" i="22"/>
  <c r="O166" i="22"/>
  <c r="N149" i="22"/>
  <c r="AF155" i="22"/>
  <c r="J9" i="22"/>
  <c r="K9" i="22"/>
  <c r="L9" i="22"/>
  <c r="M9" i="22"/>
  <c r="J10" i="22"/>
  <c r="K10" i="22"/>
  <c r="L10" i="22"/>
  <c r="M10" i="22"/>
  <c r="F54" i="4"/>
  <c r="F55" i="4"/>
  <c r="F56" i="4"/>
  <c r="F57" i="4"/>
  <c r="F58" i="4"/>
  <c r="F59" i="4"/>
  <c r="F61" i="4"/>
  <c r="F62" i="4"/>
  <c r="F63" i="4"/>
  <c r="F64" i="4"/>
  <c r="F65" i="4"/>
  <c r="F66" i="4"/>
  <c r="F53" i="4"/>
  <c r="D54" i="4"/>
  <c r="E54" i="4"/>
  <c r="E55" i="4"/>
  <c r="D56" i="4"/>
  <c r="E56" i="4"/>
  <c r="D57" i="4"/>
  <c r="E57" i="4"/>
  <c r="D58" i="4"/>
  <c r="E58" i="4"/>
  <c r="D59" i="4"/>
  <c r="E59" i="4"/>
  <c r="D61" i="4"/>
  <c r="E61" i="4"/>
  <c r="D62" i="4"/>
  <c r="D64" i="4"/>
  <c r="D66" i="4"/>
  <c r="E66" i="4"/>
  <c r="E53" i="4"/>
  <c r="D53" i="4"/>
  <c r="D18" i="10"/>
  <c r="E18" i="10"/>
  <c r="F18" i="10"/>
  <c r="G18" i="10"/>
  <c r="H18" i="10"/>
  <c r="B85" i="17"/>
  <c r="O157" i="22" l="1"/>
  <c r="R153" i="22"/>
  <c r="O149" i="22"/>
  <c r="AG155" i="22"/>
  <c r="J23" i="22"/>
  <c r="J27" i="22"/>
  <c r="J26" i="22"/>
  <c r="G9" i="4"/>
  <c r="I48" i="10"/>
  <c r="S153" i="22" l="1"/>
  <c r="AH155" i="22"/>
  <c r="D6" i="4"/>
  <c r="E6" i="4"/>
  <c r="F6" i="4"/>
  <c r="D6" i="10" a="1"/>
  <c r="D6" i="10" s="1"/>
  <c r="H8" i="10"/>
  <c r="G8" i="10"/>
  <c r="F8" i="10"/>
  <c r="E8" i="10"/>
  <c r="D8" i="10"/>
  <c r="M4" i="19" s="1"/>
  <c r="C59" i="17"/>
  <c r="D59" i="17"/>
  <c r="E59" i="17"/>
  <c r="F59" i="17"/>
  <c r="H59" i="17"/>
  <c r="I59" i="17"/>
  <c r="J59" i="17"/>
  <c r="K59" i="17"/>
  <c r="L59" i="17"/>
  <c r="M59" i="17"/>
  <c r="F66" i="17"/>
  <c r="G66" i="17"/>
  <c r="H66" i="17"/>
  <c r="I66" i="17"/>
  <c r="J66" i="17"/>
  <c r="K66" i="17"/>
  <c r="L66" i="17"/>
  <c r="M66" i="17"/>
  <c r="E47" i="17"/>
  <c r="E57" i="16" s="1"/>
  <c r="F47" i="17"/>
  <c r="F57" i="16" s="1"/>
  <c r="G47" i="17"/>
  <c r="G57" i="16" s="1"/>
  <c r="H47" i="17"/>
  <c r="H57" i="16" s="1"/>
  <c r="I47" i="17"/>
  <c r="I57" i="16" s="1"/>
  <c r="J47" i="17"/>
  <c r="J57" i="16" s="1"/>
  <c r="K47" i="17"/>
  <c r="K57" i="16" s="1"/>
  <c r="L47" i="17"/>
  <c r="L57" i="16" s="1"/>
  <c r="M47" i="17"/>
  <c r="M57" i="16" s="1"/>
  <c r="D47" i="17"/>
  <c r="D57" i="16" s="1"/>
  <c r="E32" i="17"/>
  <c r="F32" i="17"/>
  <c r="G32" i="17"/>
  <c r="H32" i="17"/>
  <c r="I32" i="17"/>
  <c r="J32" i="17"/>
  <c r="K32" i="17"/>
  <c r="L32" i="17"/>
  <c r="M32" i="17"/>
  <c r="D32" i="17"/>
  <c r="T153" i="22" l="1"/>
  <c r="AI155" i="22"/>
  <c r="H45" i="10" a="1"/>
  <c r="H45" i="10" s="1"/>
  <c r="H10" i="10" a="1"/>
  <c r="H10" i="10" s="1"/>
  <c r="D10" i="10" a="1"/>
  <c r="D10" i="10" s="1"/>
  <c r="D45" i="10" a="1"/>
  <c r="D45" i="10" s="1"/>
  <c r="D47" i="10" s="1"/>
  <c r="E10" i="10" a="1"/>
  <c r="E10" i="10" s="1"/>
  <c r="E45" i="10" a="1"/>
  <c r="E45" i="10" s="1"/>
  <c r="F10" i="10" a="1"/>
  <c r="F10" i="10" s="1"/>
  <c r="F45" i="10" a="1"/>
  <c r="F45" i="10" s="1"/>
  <c r="G10" i="10" a="1"/>
  <c r="G10" i="10" s="1"/>
  <c r="G45" i="10" a="1"/>
  <c r="G45" i="10" s="1"/>
  <c r="B14" i="17"/>
  <c r="B75" i="17"/>
  <c r="B80" i="16" s="1"/>
  <c r="B66" i="17"/>
  <c r="B62" i="17"/>
  <c r="F19" i="4" s="1"/>
  <c r="B55" i="17"/>
  <c r="B69" i="16" s="1"/>
  <c r="B47" i="17"/>
  <c r="B57" i="16" s="1"/>
  <c r="B46" i="17"/>
  <c r="B54" i="16" s="1"/>
  <c r="B32" i="17"/>
  <c r="B36" i="17" s="1"/>
  <c r="B31" i="17"/>
  <c r="U153" i="22" l="1"/>
  <c r="AJ155" i="22"/>
  <c r="B49" i="17"/>
  <c r="B60" i="16" s="1"/>
  <c r="B37" i="17"/>
  <c r="B45" i="16" s="1"/>
  <c r="G36" i="10"/>
  <c r="G37" i="10"/>
  <c r="E37" i="10"/>
  <c r="E36" i="10"/>
  <c r="D36" i="10"/>
  <c r="D37" i="10"/>
  <c r="F36" i="10"/>
  <c r="F37" i="10"/>
  <c r="H36" i="10"/>
  <c r="H37" i="10"/>
  <c r="V153" i="22" l="1"/>
  <c r="H52" i="10"/>
  <c r="G52" i="10"/>
  <c r="F52" i="10"/>
  <c r="E52" i="10"/>
  <c r="D52" i="10"/>
  <c r="W153" i="22" l="1"/>
  <c r="P10" i="22"/>
  <c r="Q10" i="22"/>
  <c r="O9" i="22"/>
  <c r="Q9" i="22"/>
  <c r="P9" i="22"/>
  <c r="C49" i="10"/>
  <c r="J49" i="10" s="1"/>
  <c r="X153" i="22" l="1"/>
  <c r="I49" i="10"/>
  <c r="F50" i="4"/>
  <c r="O19" i="3"/>
  <c r="N19" i="3"/>
  <c r="M19" i="3"/>
  <c r="L19" i="3"/>
  <c r="K19" i="3"/>
  <c r="Q4" i="19"/>
  <c r="P4" i="19"/>
  <c r="O4" i="19"/>
  <c r="N4" i="19"/>
  <c r="Y153" i="22" l="1"/>
  <c r="L40" i="1"/>
  <c r="G47" i="4"/>
  <c r="G45" i="4"/>
  <c r="E2" i="1"/>
  <c r="H22" i="10"/>
  <c r="G22" i="10"/>
  <c r="F22" i="10"/>
  <c r="E22" i="10"/>
  <c r="C75" i="17"/>
  <c r="C80" i="16" s="1"/>
  <c r="D75" i="17"/>
  <c r="D80" i="16" s="1"/>
  <c r="E75" i="17"/>
  <c r="E80" i="16" s="1"/>
  <c r="F75" i="17"/>
  <c r="F80" i="16" s="1"/>
  <c r="G75" i="17"/>
  <c r="G80" i="16" s="1"/>
  <c r="H75" i="17"/>
  <c r="H80" i="16" s="1"/>
  <c r="I75" i="17"/>
  <c r="I80" i="16" s="1"/>
  <c r="J75" i="17"/>
  <c r="J80" i="16" s="1"/>
  <c r="K75" i="17"/>
  <c r="K80" i="16" s="1"/>
  <c r="L75" i="17"/>
  <c r="L80" i="16" s="1"/>
  <c r="M75" i="17"/>
  <c r="M80" i="16" s="1"/>
  <c r="F54" i="1"/>
  <c r="Z153" i="22" l="1"/>
  <c r="F48" i="1"/>
  <c r="F49" i="1"/>
  <c r="F50" i="1"/>
  <c r="F51" i="1"/>
  <c r="F52" i="1"/>
  <c r="F53" i="1"/>
  <c r="F46" i="1"/>
  <c r="F47" i="1"/>
  <c r="M22" i="1" a="1"/>
  <c r="M22" i="1" s="1"/>
  <c r="G107" i="1"/>
  <c r="B15" i="1" a="1"/>
  <c r="B15" i="1" s="1"/>
  <c r="L2" i="1" a="1"/>
  <c r="L2" i="1" s="1"/>
  <c r="C21" i="1" a="1"/>
  <c r="C21" i="1" s="1"/>
  <c r="C20" i="1" a="1"/>
  <c r="C20" i="1" s="1"/>
  <c r="C8" i="10"/>
  <c r="C45" i="10" s="1" a="1"/>
  <c r="C45" i="10" s="1"/>
  <c r="AA153" i="22" l="1"/>
  <c r="I45" i="10"/>
  <c r="J45" i="10"/>
  <c r="L4" i="19"/>
  <c r="C10" i="10" a="1"/>
  <c r="C10" i="10" s="1"/>
  <c r="E28" i="10"/>
  <c r="L6" i="19"/>
  <c r="P9" i="19"/>
  <c r="P8" i="19"/>
  <c r="P7" i="19"/>
  <c r="P6" i="19"/>
  <c r="C23" i="17"/>
  <c r="B22" i="17" s="1"/>
  <c r="D23" i="17"/>
  <c r="E23" i="17"/>
  <c r="F23" i="17"/>
  <c r="G23" i="17"/>
  <c r="H23" i="17"/>
  <c r="I23" i="17"/>
  <c r="J23" i="17"/>
  <c r="K23" i="17"/>
  <c r="L23" i="17"/>
  <c r="M23" i="17"/>
  <c r="D21" i="4"/>
  <c r="E21" i="4"/>
  <c r="F21" i="4"/>
  <c r="D24" i="4"/>
  <c r="I10" i="10" l="1"/>
  <c r="J10" i="10"/>
  <c r="AB153" i="22"/>
  <c r="E27" i="4"/>
  <c r="F27" i="4"/>
  <c r="AC153" i="22" l="1"/>
  <c r="J8" i="22"/>
  <c r="F31" i="4"/>
  <c r="E66" i="17"/>
  <c r="M62" i="17"/>
  <c r="E62" i="17"/>
  <c r="F62" i="17"/>
  <c r="H62" i="17"/>
  <c r="I62" i="17"/>
  <c r="J62" i="17"/>
  <c r="F27" i="1"/>
  <c r="E28" i="4"/>
  <c r="F28" i="4"/>
  <c r="F25" i="4"/>
  <c r="AD153" i="22" l="1"/>
  <c r="K8" i="22"/>
  <c r="D73" i="4"/>
  <c r="AE153" i="22" l="1"/>
  <c r="L8" i="22"/>
  <c r="G10" i="4"/>
  <c r="G38" i="4" s="1"/>
  <c r="E36" i="17"/>
  <c r="F46" i="17"/>
  <c r="F54" i="16" s="1"/>
  <c r="C32" i="17"/>
  <c r="K49" i="17"/>
  <c r="K60" i="16" s="1"/>
  <c r="D31" i="4"/>
  <c r="E31" i="4"/>
  <c r="D62" i="17"/>
  <c r="D19" i="4" s="1"/>
  <c r="I22" i="17"/>
  <c r="I18" i="16" s="1"/>
  <c r="K22" i="17"/>
  <c r="K18" i="16" s="1"/>
  <c r="C8" i="19"/>
  <c r="M6" i="19"/>
  <c r="N6" i="19"/>
  <c r="O6" i="19"/>
  <c r="Q6" i="19"/>
  <c r="M7" i="19"/>
  <c r="N7" i="19"/>
  <c r="O7" i="19"/>
  <c r="Q7" i="19"/>
  <c r="O8" i="19"/>
  <c r="Q8" i="19"/>
  <c r="M9" i="19"/>
  <c r="O9" i="19"/>
  <c r="Q9" i="19"/>
  <c r="L7" i="19"/>
  <c r="L8" i="19"/>
  <c r="L9" i="19"/>
  <c r="L18" i="3"/>
  <c r="M18" i="3"/>
  <c r="N18" i="3"/>
  <c r="O18" i="3"/>
  <c r="L20" i="3"/>
  <c r="M20" i="3"/>
  <c r="N20" i="3"/>
  <c r="O20" i="3"/>
  <c r="K20" i="3"/>
  <c r="K18" i="3"/>
  <c r="F22" i="4"/>
  <c r="C62" i="17"/>
  <c r="E19" i="4" s="1"/>
  <c r="E22" i="4" s="1"/>
  <c r="D66" i="17"/>
  <c r="D25" i="4" s="1"/>
  <c r="AF153" i="22" l="1"/>
  <c r="M8" i="22"/>
  <c r="G39" i="4"/>
  <c r="C6" i="19"/>
  <c r="D24" i="3"/>
  <c r="H4" i="4"/>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E47" i="10"/>
  <c r="F47" i="10"/>
  <c r="G47" i="10"/>
  <c r="H47" i="10"/>
  <c r="G28" i="10"/>
  <c r="D11" i="10"/>
  <c r="D50" i="10" s="1"/>
  <c r="E11" i="10"/>
  <c r="E50" i="10" s="1"/>
  <c r="F11" i="10"/>
  <c r="F50" i="10" s="1"/>
  <c r="G11" i="10"/>
  <c r="G50" i="10" s="1"/>
  <c r="H11" i="10"/>
  <c r="H50" i="10" s="1"/>
  <c r="D13" i="10"/>
  <c r="E13" i="10"/>
  <c r="F13" i="10"/>
  <c r="G13" i="10"/>
  <c r="H13" i="10"/>
  <c r="D14" i="10"/>
  <c r="E14" i="10"/>
  <c r="F14" i="10"/>
  <c r="G14" i="10"/>
  <c r="H14" i="10"/>
  <c r="D15" i="10"/>
  <c r="E15" i="10"/>
  <c r="F15" i="10"/>
  <c r="G15" i="10"/>
  <c r="H15" i="10"/>
  <c r="D16" i="10"/>
  <c r="E16" i="10"/>
  <c r="F16" i="10"/>
  <c r="G16" i="10"/>
  <c r="H16" i="10"/>
  <c r="D17" i="10"/>
  <c r="E17" i="10"/>
  <c r="F17" i="10"/>
  <c r="G17" i="10"/>
  <c r="H17" i="10"/>
  <c r="D20" i="10"/>
  <c r="E20" i="10"/>
  <c r="F20" i="10"/>
  <c r="G20" i="10"/>
  <c r="H20" i="10"/>
  <c r="D21" i="10"/>
  <c r="E21" i="10"/>
  <c r="F21" i="10"/>
  <c r="G21" i="10"/>
  <c r="H21" i="10"/>
  <c r="D24" i="10"/>
  <c r="E24" i="10"/>
  <c r="F24" i="10"/>
  <c r="G24" i="10"/>
  <c r="H24" i="10"/>
  <c r="D25" i="10"/>
  <c r="E25" i="10"/>
  <c r="F25" i="10"/>
  <c r="G25" i="10"/>
  <c r="H25" i="10"/>
  <c r="D27" i="10"/>
  <c r="E27" i="10"/>
  <c r="F27" i="10"/>
  <c r="G27" i="10"/>
  <c r="H27" i="10"/>
  <c r="D28" i="10"/>
  <c r="F28" i="10"/>
  <c r="H28" i="10"/>
  <c r="D29" i="10"/>
  <c r="E29" i="10"/>
  <c r="F29" i="10"/>
  <c r="G29" i="10"/>
  <c r="H29" i="10"/>
  <c r="D30" i="10"/>
  <c r="E30" i="10"/>
  <c r="F30" i="10"/>
  <c r="G30" i="10"/>
  <c r="H30" i="10"/>
  <c r="D31" i="10"/>
  <c r="E31" i="10"/>
  <c r="F31" i="10"/>
  <c r="G31" i="10"/>
  <c r="H31" i="10"/>
  <c r="D33" i="10"/>
  <c r="E33" i="10"/>
  <c r="F33" i="10"/>
  <c r="G33" i="10"/>
  <c r="H33" i="10"/>
  <c r="D34" i="10"/>
  <c r="E34" i="10"/>
  <c r="F34" i="10"/>
  <c r="G34" i="10"/>
  <c r="H34" i="10"/>
  <c r="D35" i="10"/>
  <c r="E35" i="10"/>
  <c r="F35" i="10"/>
  <c r="G35" i="10"/>
  <c r="H35" i="10"/>
  <c r="C40" i="10"/>
  <c r="J40" i="10" s="1"/>
  <c r="C39" i="10"/>
  <c r="J39" i="10" s="1"/>
  <c r="C52" i="10"/>
  <c r="I9" i="10"/>
  <c r="I38" i="10"/>
  <c r="C72" i="10"/>
  <c r="C71" i="10"/>
  <c r="C68" i="10"/>
  <c r="E24" i="3"/>
  <c r="F24" i="3"/>
  <c r="H24" i="3"/>
  <c r="I24" i="3"/>
  <c r="K17" i="3"/>
  <c r="L17" i="3" s="1"/>
  <c r="M17" i="3" s="1"/>
  <c r="N17" i="3" s="1"/>
  <c r="O17" i="3" s="1"/>
  <c r="P17" i="3" s="1"/>
  <c r="D17" i="3"/>
  <c r="E17" i="3" s="1"/>
  <c r="F17" i="3" s="1"/>
  <c r="G17" i="3" s="1"/>
  <c r="H17" i="3" s="1"/>
  <c r="I17" i="3" s="1"/>
  <c r="C70" i="10"/>
  <c r="M26" i="16"/>
  <c r="F23" i="4"/>
  <c r="D17" i="4"/>
  <c r="E17" i="4"/>
  <c r="J38" i="16"/>
  <c r="I38" i="16"/>
  <c r="H38" i="16"/>
  <c r="G38" i="16"/>
  <c r="F38" i="16"/>
  <c r="E38" i="16"/>
  <c r="D38" i="16"/>
  <c r="C38" i="16"/>
  <c r="B38" i="16"/>
  <c r="D14" i="4"/>
  <c r="E14" i="4"/>
  <c r="F14" i="4"/>
  <c r="D13" i="4"/>
  <c r="E13" i="4"/>
  <c r="D8" i="4"/>
  <c r="C36" i="17"/>
  <c r="C31" i="17"/>
  <c r="D31" i="17"/>
  <c r="E31" i="17"/>
  <c r="F31" i="17"/>
  <c r="G31" i="17"/>
  <c r="H31" i="17"/>
  <c r="I31" i="17"/>
  <c r="J31" i="17"/>
  <c r="K31" i="17"/>
  <c r="L31" i="17"/>
  <c r="M31" i="17"/>
  <c r="D49" i="17"/>
  <c r="D60" i="16" s="1"/>
  <c r="E49" i="17"/>
  <c r="E60" i="16" s="1"/>
  <c r="F49" i="17"/>
  <c r="F60" i="16" s="1"/>
  <c r="G49" i="17"/>
  <c r="G60" i="16" s="1"/>
  <c r="H49" i="17"/>
  <c r="H60" i="16" s="1"/>
  <c r="I49" i="17"/>
  <c r="I60" i="16" s="1"/>
  <c r="J49" i="17"/>
  <c r="J60" i="16" s="1"/>
  <c r="L49" i="17"/>
  <c r="L60" i="16" s="1"/>
  <c r="M49" i="17"/>
  <c r="M60" i="16" s="1"/>
  <c r="C46" i="17"/>
  <c r="C54" i="16" s="1"/>
  <c r="D46" i="17"/>
  <c r="D54" i="16" s="1"/>
  <c r="E46" i="17"/>
  <c r="E54" i="16" s="1"/>
  <c r="G46" i="17"/>
  <c r="G54" i="16" s="1"/>
  <c r="H46" i="17"/>
  <c r="H54" i="16" s="1"/>
  <c r="I46" i="17"/>
  <c r="I54" i="16" s="1"/>
  <c r="J46" i="17"/>
  <c r="J54" i="16" s="1"/>
  <c r="K46" i="17"/>
  <c r="K54" i="16" s="1"/>
  <c r="L46" i="17"/>
  <c r="L54" i="16" s="1"/>
  <c r="M46" i="17"/>
  <c r="M54" i="16" s="1"/>
  <c r="AB38" i="17"/>
  <c r="D15" i="4" l="1"/>
  <c r="AG153" i="22"/>
  <c r="E31" i="3"/>
  <c r="E30" i="3"/>
  <c r="E29" i="3"/>
  <c r="H30" i="3"/>
  <c r="H29" i="3"/>
  <c r="H31" i="3"/>
  <c r="G31" i="3"/>
  <c r="G30" i="3"/>
  <c r="G29" i="3"/>
  <c r="D30" i="3"/>
  <c r="D29" i="3"/>
  <c r="D31" i="3"/>
  <c r="C29" i="3"/>
  <c r="C30" i="3"/>
  <c r="C31" i="3"/>
  <c r="B63" i="16"/>
  <c r="J17" i="22"/>
  <c r="C65" i="10"/>
  <c r="D43" i="4"/>
  <c r="C69" i="10"/>
  <c r="B80" i="3"/>
  <c r="B79" i="3"/>
  <c r="B81" i="3"/>
  <c r="B19" i="3"/>
  <c r="H29" i="1" s="1"/>
  <c r="B20" i="3"/>
  <c r="H31" i="1" s="1"/>
  <c r="E16" i="4"/>
  <c r="D16" i="4"/>
  <c r="D7" i="4"/>
  <c r="D12" i="4"/>
  <c r="E8" i="4"/>
  <c r="E7" i="4" s="1"/>
  <c r="C62" i="10"/>
  <c r="B18" i="3"/>
  <c r="H27" i="1" s="1"/>
  <c r="C37" i="17"/>
  <c r="C45" i="16" s="1"/>
  <c r="D29" i="4"/>
  <c r="D30" i="4"/>
  <c r="E30" i="4"/>
  <c r="E29" i="4"/>
  <c r="F30" i="4"/>
  <c r="C61" i="10"/>
  <c r="F16" i="4"/>
  <c r="F29" i="4"/>
  <c r="H10" i="4"/>
  <c r="G46" i="4"/>
  <c r="F45" i="4"/>
  <c r="F46" i="4"/>
  <c r="F47" i="4"/>
  <c r="H16" i="16"/>
  <c r="L63" i="16"/>
  <c r="M63" i="16"/>
  <c r="I63" i="16"/>
  <c r="J63" i="16"/>
  <c r="K63" i="16"/>
  <c r="E23" i="4"/>
  <c r="E24" i="4"/>
  <c r="F24" i="4"/>
  <c r="C66" i="10"/>
  <c r="C67" i="10"/>
  <c r="K47" i="4"/>
  <c r="O47" i="4"/>
  <c r="S47" i="4"/>
  <c r="W47" i="4"/>
  <c r="AA47" i="4"/>
  <c r="AE47" i="4"/>
  <c r="J46" i="4"/>
  <c r="N46" i="4"/>
  <c r="R46" i="4"/>
  <c r="V46" i="4"/>
  <c r="Z46" i="4"/>
  <c r="AD46" i="4"/>
  <c r="K45" i="4"/>
  <c r="O45" i="4"/>
  <c r="S45" i="4"/>
  <c r="W45" i="4"/>
  <c r="AA45" i="4"/>
  <c r="AE45" i="4"/>
  <c r="M47" i="4"/>
  <c r="Y47" i="4"/>
  <c r="H46" i="4"/>
  <c r="P46" i="4"/>
  <c r="X46" i="4"/>
  <c r="AF46" i="4"/>
  <c r="M45" i="4"/>
  <c r="U45" i="4"/>
  <c r="AC45" i="4"/>
  <c r="J47" i="4"/>
  <c r="R47" i="4"/>
  <c r="Z47" i="4"/>
  <c r="AD47" i="4"/>
  <c r="M46" i="4"/>
  <c r="U46" i="4"/>
  <c r="AC46" i="4"/>
  <c r="J45" i="4"/>
  <c r="R45" i="4"/>
  <c r="Z45" i="4"/>
  <c r="H47" i="4"/>
  <c r="L47" i="4"/>
  <c r="P47" i="4"/>
  <c r="T47" i="4"/>
  <c r="X47" i="4"/>
  <c r="AB47" i="4"/>
  <c r="AF47" i="4"/>
  <c r="K46" i="4"/>
  <c r="O46" i="4"/>
  <c r="S46" i="4"/>
  <c r="W46" i="4"/>
  <c r="AA46" i="4"/>
  <c r="AE46" i="4"/>
  <c r="H45" i="4"/>
  <c r="L45" i="4"/>
  <c r="P45" i="4"/>
  <c r="T45" i="4"/>
  <c r="X45" i="4"/>
  <c r="AB45" i="4"/>
  <c r="AF45" i="4"/>
  <c r="I47" i="4"/>
  <c r="Q47" i="4"/>
  <c r="U47" i="4"/>
  <c r="AC47" i="4"/>
  <c r="L46" i="4"/>
  <c r="T46" i="4"/>
  <c r="AB46" i="4"/>
  <c r="I45" i="4"/>
  <c r="Q45" i="4"/>
  <c r="Y45" i="4"/>
  <c r="N47" i="4"/>
  <c r="V47" i="4"/>
  <c r="I46" i="4"/>
  <c r="Q46" i="4"/>
  <c r="Y46" i="4"/>
  <c r="N45" i="4"/>
  <c r="V45" i="4"/>
  <c r="AD45" i="4"/>
  <c r="H12" i="16"/>
  <c r="C56" i="10"/>
  <c r="D23" i="4"/>
  <c r="C54" i="10"/>
  <c r="C55" i="10"/>
  <c r="D63" i="16"/>
  <c r="C63" i="16"/>
  <c r="G63" i="16"/>
  <c r="F63" i="16"/>
  <c r="E63" i="16"/>
  <c r="C60" i="10"/>
  <c r="F13" i="4"/>
  <c r="C59" i="10"/>
  <c r="F8" i="4"/>
  <c r="O24" i="3"/>
  <c r="L24" i="3"/>
  <c r="K24" i="3"/>
  <c r="C24" i="10"/>
  <c r="D14" i="17"/>
  <c r="C14" i="17"/>
  <c r="F17" i="4"/>
  <c r="E5" i="4"/>
  <c r="C24" i="1"/>
  <c r="H63" i="16"/>
  <c r="C57" i="10"/>
  <c r="E8" i="16"/>
  <c r="M24" i="16"/>
  <c r="M25" i="16" s="1"/>
  <c r="I16" i="16"/>
  <c r="L22" i="16"/>
  <c r="K16" i="16"/>
  <c r="C16" i="16"/>
  <c r="E16" i="16"/>
  <c r="M16" i="16"/>
  <c r="F24" i="16"/>
  <c r="B8" i="16"/>
  <c r="J24" i="16"/>
  <c r="M8" i="16"/>
  <c r="G22" i="16"/>
  <c r="C24" i="16"/>
  <c r="K24" i="16"/>
  <c r="L8" i="16"/>
  <c r="D8" i="16"/>
  <c r="I8" i="16"/>
  <c r="K8" i="16"/>
  <c r="C8" i="16"/>
  <c r="F8" i="16"/>
  <c r="E22" i="16"/>
  <c r="E24" i="16"/>
  <c r="B16" i="16"/>
  <c r="J16" i="16"/>
  <c r="I12" i="16"/>
  <c r="B24" i="16"/>
  <c r="J8" i="16"/>
  <c r="F12" i="16"/>
  <c r="B19" i="16"/>
  <c r="C214" i="22" s="1"/>
  <c r="C22" i="16"/>
  <c r="K22" i="16"/>
  <c r="D22" i="16"/>
  <c r="L24" i="16"/>
  <c r="L16" i="16"/>
  <c r="D12" i="16"/>
  <c r="H8" i="16"/>
  <c r="D16" i="16"/>
  <c r="F22" i="16"/>
  <c r="D24" i="16"/>
  <c r="J12" i="16"/>
  <c r="F16" i="16"/>
  <c r="I22" i="16"/>
  <c r="H22" i="16"/>
  <c r="K12" i="16"/>
  <c r="C12" i="16"/>
  <c r="L12" i="16"/>
  <c r="B22" i="16"/>
  <c r="J22" i="16"/>
  <c r="M12" i="16"/>
  <c r="M13" i="16" s="1"/>
  <c r="M22" i="16"/>
  <c r="E12" i="16"/>
  <c r="H24" i="16"/>
  <c r="I24" i="16"/>
  <c r="B12" i="16"/>
  <c r="C5" i="17"/>
  <c r="B4" i="16"/>
  <c r="L46" i="1"/>
  <c r="M46" i="1" s="1"/>
  <c r="B54" i="1"/>
  <c r="B53" i="1" s="1"/>
  <c r="B52" i="1" s="1"/>
  <c r="B51" i="1" s="1"/>
  <c r="B50" i="1" s="1"/>
  <c r="I26" i="10"/>
  <c r="C12" i="19"/>
  <c r="C13" i="19"/>
  <c r="C14" i="19"/>
  <c r="C15" i="19"/>
  <c r="C16" i="19"/>
  <c r="C17" i="19"/>
  <c r="C18" i="19"/>
  <c r="C19" i="19"/>
  <c r="C20" i="19"/>
  <c r="C21" i="19"/>
  <c r="C22" i="19"/>
  <c r="C7" i="19"/>
  <c r="C9" i="19"/>
  <c r="C10" i="19"/>
  <c r="I12" i="10"/>
  <c r="I40" i="10"/>
  <c r="M22" i="17"/>
  <c r="M18" i="16" s="1"/>
  <c r="AD52" i="17"/>
  <c r="AC52" i="17"/>
  <c r="AD51" i="17"/>
  <c r="AC51" i="17"/>
  <c r="AG51" i="17"/>
  <c r="AB51" i="17"/>
  <c r="AA51" i="17"/>
  <c r="Z51" i="17"/>
  <c r="E55" i="17"/>
  <c r="E69" i="16" s="1"/>
  <c r="AD48" i="17"/>
  <c r="AC48" i="17"/>
  <c r="AB48" i="17"/>
  <c r="AA48" i="17"/>
  <c r="Z48" i="17"/>
  <c r="AG44" i="17"/>
  <c r="AG48" i="17" s="1"/>
  <c r="AF44" i="17"/>
  <c r="AF48" i="17" s="1"/>
  <c r="AE44" i="17"/>
  <c r="AE48" i="17" s="1"/>
  <c r="AG39" i="17"/>
  <c r="AF39" i="17"/>
  <c r="AE39" i="17"/>
  <c r="AD39" i="17"/>
  <c r="AC39" i="17"/>
  <c r="AB31" i="17"/>
  <c r="AB39" i="17" s="1"/>
  <c r="AA31" i="17"/>
  <c r="AA39" i="17" s="1"/>
  <c r="Z31" i="17"/>
  <c r="Z39" i="17" s="1"/>
  <c r="M14" i="17"/>
  <c r="L14" i="17"/>
  <c r="K14" i="17"/>
  <c r="J14" i="17"/>
  <c r="I14" i="17"/>
  <c r="H14" i="17"/>
  <c r="F14" i="17"/>
  <c r="E14" i="17"/>
  <c r="AA25" i="17"/>
  <c r="O72" i="17"/>
  <c r="AE12" i="17"/>
  <c r="AG11" i="17"/>
  <c r="AF11" i="17"/>
  <c r="AE11" i="17"/>
  <c r="AD11" i="17"/>
  <c r="L22" i="17"/>
  <c r="L18" i="16" s="1"/>
  <c r="H22" i="17"/>
  <c r="H18" i="16" s="1"/>
  <c r="D22" i="17"/>
  <c r="J22" i="17"/>
  <c r="J18" i="16" s="1"/>
  <c r="G22" i="17"/>
  <c r="G18" i="16" s="1"/>
  <c r="F22" i="17"/>
  <c r="E22" i="17"/>
  <c r="C22" i="17"/>
  <c r="AG9" i="17"/>
  <c r="AF9" i="17"/>
  <c r="AD9" i="17"/>
  <c r="AC9" i="17"/>
  <c r="AB9" i="17"/>
  <c r="AA9" i="17"/>
  <c r="Z9" i="17"/>
  <c r="AG10" i="17"/>
  <c r="AF10" i="17"/>
  <c r="AE10" i="17"/>
  <c r="AD10" i="17"/>
  <c r="AC10" i="17"/>
  <c r="AB10" i="17"/>
  <c r="AA10" i="17"/>
  <c r="Z10" i="17"/>
  <c r="AG7" i="17"/>
  <c r="AG8" i="17" s="1"/>
  <c r="AF7" i="17"/>
  <c r="AF8" i="17" s="1"/>
  <c r="AE7" i="17"/>
  <c r="AE8" i="17" s="1"/>
  <c r="AD7" i="17"/>
  <c r="AD8" i="17" s="1"/>
  <c r="AC7" i="17"/>
  <c r="AC8" i="17" s="1"/>
  <c r="AB7" i="17"/>
  <c r="AB8" i="17" s="1"/>
  <c r="AA7" i="17"/>
  <c r="AA8" i="17" s="1"/>
  <c r="Z7" i="17"/>
  <c r="Z8" i="17" s="1"/>
  <c r="A2" i="16"/>
  <c r="A1" i="16"/>
  <c r="C22" i="1"/>
  <c r="E89" i="22" l="1"/>
  <c r="E90" i="22" s="1"/>
  <c r="F21" i="22" s="1"/>
  <c r="F213" i="22"/>
  <c r="F89" i="22"/>
  <c r="F90" i="22" s="1"/>
  <c r="G21" i="22" s="1"/>
  <c r="G213" i="22"/>
  <c r="G89" i="22"/>
  <c r="G90" i="22" s="1"/>
  <c r="H21" i="22" s="1"/>
  <c r="H213" i="22"/>
  <c r="C89" i="22"/>
  <c r="C90" i="22" s="1"/>
  <c r="D21" i="22" s="1"/>
  <c r="D213" i="22"/>
  <c r="E213" i="22"/>
  <c r="D89" i="22"/>
  <c r="D90" i="22" s="1"/>
  <c r="E21" i="22" s="1"/>
  <c r="C213" i="22"/>
  <c r="C215" i="22" s="1"/>
  <c r="C31" i="22"/>
  <c r="B89" i="22"/>
  <c r="B90" i="22" s="1"/>
  <c r="C21" i="22" s="1"/>
  <c r="D35" i="4"/>
  <c r="AH153" i="22"/>
  <c r="J179" i="22"/>
  <c r="J177" i="22"/>
  <c r="G35" i="3"/>
  <c r="C35" i="3"/>
  <c r="D35" i="3"/>
  <c r="H35" i="3"/>
  <c r="E35" i="3"/>
  <c r="I24" i="10"/>
  <c r="J24" i="10"/>
  <c r="C25" i="10"/>
  <c r="J25" i="10" s="1"/>
  <c r="J22" i="22"/>
  <c r="J19" i="22"/>
  <c r="C14" i="10"/>
  <c r="B85" i="3"/>
  <c r="K31" i="1"/>
  <c r="E23" i="1"/>
  <c r="E29" i="1"/>
  <c r="E28" i="1"/>
  <c r="E24" i="1"/>
  <c r="Z13" i="17"/>
  <c r="Z14" i="17" s="1"/>
  <c r="D5" i="17"/>
  <c r="D85" i="17" s="1"/>
  <c r="C85" i="17"/>
  <c r="E15" i="4"/>
  <c r="E12" i="4"/>
  <c r="C23" i="1"/>
  <c r="C25" i="1" s="1"/>
  <c r="C58" i="10"/>
  <c r="C22" i="10" s="1"/>
  <c r="C33" i="10"/>
  <c r="C47" i="10"/>
  <c r="E32" i="4"/>
  <c r="C31" i="10"/>
  <c r="C11" i="10"/>
  <c r="J11" i="10" s="1"/>
  <c r="B24" i="3"/>
  <c r="D32" i="4"/>
  <c r="D22" i="4"/>
  <c r="F35" i="4"/>
  <c r="F32" i="4"/>
  <c r="C15" i="10"/>
  <c r="C13" i="10"/>
  <c r="E35" i="4"/>
  <c r="F7" i="4"/>
  <c r="C30" i="10"/>
  <c r="B64" i="16"/>
  <c r="E26" i="1" s="1"/>
  <c r="C28" i="10"/>
  <c r="C34" i="10"/>
  <c r="C16" i="10"/>
  <c r="D44" i="4"/>
  <c r="E44" i="4"/>
  <c r="F44" i="4"/>
  <c r="F26" i="4"/>
  <c r="F34" i="4" s="1"/>
  <c r="H13" i="16"/>
  <c r="B65" i="16"/>
  <c r="D26" i="4"/>
  <c r="F12" i="4"/>
  <c r="F15" i="4"/>
  <c r="F5" i="4"/>
  <c r="C29" i="10"/>
  <c r="C27" i="10"/>
  <c r="M47" i="1"/>
  <c r="M55" i="1"/>
  <c r="M48" i="1"/>
  <c r="L50" i="1"/>
  <c r="L51" i="1"/>
  <c r="M50" i="1"/>
  <c r="L54" i="1"/>
  <c r="M51" i="1"/>
  <c r="L55" i="1"/>
  <c r="M52" i="1"/>
  <c r="M53" i="1"/>
  <c r="M54" i="1"/>
  <c r="L47" i="1"/>
  <c r="L53" i="1"/>
  <c r="L52" i="1"/>
  <c r="L48" i="1"/>
  <c r="K22" i="1"/>
  <c r="K24" i="1"/>
  <c r="K30" i="1"/>
  <c r="K25" i="1"/>
  <c r="K23" i="1"/>
  <c r="B20" i="16"/>
  <c r="E22" i="1"/>
  <c r="E20" i="1"/>
  <c r="E21" i="1"/>
  <c r="L25" i="16"/>
  <c r="E25" i="16"/>
  <c r="I25" i="16"/>
  <c r="D25" i="16"/>
  <c r="C13" i="16"/>
  <c r="B25" i="16"/>
  <c r="E13" i="16"/>
  <c r="J25" i="16"/>
  <c r="E25" i="1"/>
  <c r="K25" i="16"/>
  <c r="K13" i="16"/>
  <c r="B13" i="16"/>
  <c r="J13" i="16"/>
  <c r="C25" i="16"/>
  <c r="H25" i="16"/>
  <c r="I13" i="16"/>
  <c r="L13" i="16"/>
  <c r="D13" i="16"/>
  <c r="AD13" i="17"/>
  <c r="AD14" i="17" s="1"/>
  <c r="AB52" i="17"/>
  <c r="AG52" i="17"/>
  <c r="Z52" i="17"/>
  <c r="AA13" i="17"/>
  <c r="AA14" i="17" s="1"/>
  <c r="AC13" i="17"/>
  <c r="AC14" i="17" s="1"/>
  <c r="AG13" i="17"/>
  <c r="AG14" i="17" s="1"/>
  <c r="AA52" i="17"/>
  <c r="AB13" i="17"/>
  <c r="AB14" i="17" s="1"/>
  <c r="AE13" i="17"/>
  <c r="AE14" i="17" s="1"/>
  <c r="AE52" i="17"/>
  <c r="AF13" i="17"/>
  <c r="AF14" i="17" s="1"/>
  <c r="AF52" i="17"/>
  <c r="AF51" i="17"/>
  <c r="AE51" i="17"/>
  <c r="C4" i="16"/>
  <c r="D4" i="16" s="1"/>
  <c r="E4" i="16" s="1"/>
  <c r="F4" i="16" s="1"/>
  <c r="I39" i="10"/>
  <c r="B49" i="1"/>
  <c r="D256" i="22" l="1"/>
  <c r="D257" i="22" s="1"/>
  <c r="E28" i="22" s="1"/>
  <c r="D247" i="22"/>
  <c r="D248" i="22" s="1"/>
  <c r="E29" i="22" s="1"/>
  <c r="D34" i="4"/>
  <c r="AI153" i="22"/>
  <c r="J21" i="22"/>
  <c r="J175" i="22"/>
  <c r="J181" i="22"/>
  <c r="I25" i="10"/>
  <c r="I31" i="10"/>
  <c r="J31" i="10"/>
  <c r="J22" i="10"/>
  <c r="I22" i="10"/>
  <c r="J16" i="10"/>
  <c r="I16" i="10"/>
  <c r="J14" i="10"/>
  <c r="I14" i="10"/>
  <c r="I28" i="10"/>
  <c r="J28" i="10"/>
  <c r="I30" i="10"/>
  <c r="J30" i="10"/>
  <c r="C50" i="10"/>
  <c r="J27" i="10"/>
  <c r="I27" i="10"/>
  <c r="I29" i="10"/>
  <c r="J29" i="10"/>
  <c r="I13" i="10"/>
  <c r="J13" i="10"/>
  <c r="I15" i="10"/>
  <c r="J15" i="10"/>
  <c r="I47" i="10"/>
  <c r="J47" i="10"/>
  <c r="I33" i="10"/>
  <c r="J33" i="10"/>
  <c r="I34" i="10"/>
  <c r="J34" i="10"/>
  <c r="J24" i="22"/>
  <c r="M24" i="1"/>
  <c r="K27" i="1"/>
  <c r="E5" i="17"/>
  <c r="F5" i="17" s="1"/>
  <c r="F36" i="4"/>
  <c r="C74" i="10"/>
  <c r="C35" i="10" s="1"/>
  <c r="I11" i="10"/>
  <c r="M32" i="1"/>
  <c r="C41" i="10" s="1"/>
  <c r="J41" i="10" s="1"/>
  <c r="K26" i="1"/>
  <c r="C73" i="10"/>
  <c r="B34" i="16"/>
  <c r="M27" i="1"/>
  <c r="B35" i="16"/>
  <c r="G4" i="16"/>
  <c r="B48" i="1"/>
  <c r="D36" i="4" l="1"/>
  <c r="B247" i="22"/>
  <c r="B248" i="22" s="1"/>
  <c r="C29" i="22" s="1"/>
  <c r="B256" i="22"/>
  <c r="B257" i="22" s="1"/>
  <c r="C28" i="22" s="1"/>
  <c r="AJ153" i="22"/>
  <c r="J50" i="10"/>
  <c r="I50" i="10"/>
  <c r="I35" i="10"/>
  <c r="J35" i="10"/>
  <c r="C18" i="10"/>
  <c r="C37" i="10"/>
  <c r="C36" i="10"/>
  <c r="C17" i="10"/>
  <c r="I41" i="10"/>
  <c r="G41" i="4"/>
  <c r="C21" i="10"/>
  <c r="C20" i="10"/>
  <c r="I19" i="10"/>
  <c r="B36" i="16"/>
  <c r="G5" i="17"/>
  <c r="H4" i="16"/>
  <c r="B47" i="1"/>
  <c r="J21" i="10" l="1"/>
  <c r="I21" i="10"/>
  <c r="J20" i="10"/>
  <c r="I20" i="10"/>
  <c r="J17" i="10"/>
  <c r="I17" i="10"/>
  <c r="K28" i="1"/>
  <c r="J18" i="10"/>
  <c r="I18" i="10"/>
  <c r="I36" i="10"/>
  <c r="J36" i="10"/>
  <c r="I37" i="10"/>
  <c r="J37" i="10"/>
  <c r="H5" i="17"/>
  <c r="I4" i="16"/>
  <c r="J4" i="16" s="1"/>
  <c r="B46" i="1"/>
  <c r="H46" i="1" l="1" a="1"/>
  <c r="H46" i="1" s="1"/>
  <c r="C46" i="1" a="1"/>
  <c r="I5" i="17"/>
  <c r="C46" i="1" l="1"/>
  <c r="C55" i="1" s="1"/>
  <c r="J5" i="17"/>
  <c r="K4" i="16"/>
  <c r="K5" i="17" l="1"/>
  <c r="L4" i="16"/>
  <c r="L5" i="17" l="1"/>
  <c r="M4" i="16"/>
  <c r="M5" i="17" l="1"/>
  <c r="B96" i="16" s="1"/>
  <c r="D96" i="16"/>
  <c r="E96" i="16"/>
  <c r="M6" i="16" l="1"/>
  <c r="D34" i="16"/>
  <c r="K35" i="16"/>
  <c r="K36" i="16" s="1"/>
  <c r="I34" i="16"/>
  <c r="K19" i="16"/>
  <c r="I19" i="16"/>
  <c r="K9" i="16"/>
  <c r="K10" i="16" s="1"/>
  <c r="I9" i="16"/>
  <c r="I10" i="16" s="1"/>
  <c r="M26" i="1"/>
  <c r="C34" i="16"/>
  <c r="H58" i="1"/>
  <c r="E34" i="16"/>
  <c r="C96" i="16"/>
  <c r="F26" i="16"/>
  <c r="I6" i="16"/>
  <c r="K26" i="16"/>
  <c r="K29" i="16" s="1"/>
  <c r="J26" i="16"/>
  <c r="I35" i="16"/>
  <c r="I36" i="16" s="1"/>
  <c r="K34" i="16"/>
  <c r="K20" i="16" l="1"/>
  <c r="I20" i="16"/>
  <c r="D65" i="16"/>
  <c r="K65" i="16"/>
  <c r="I65" i="16"/>
  <c r="L34" i="16"/>
  <c r="M34" i="16"/>
  <c r="M19" i="16"/>
  <c r="M20" i="16" s="1"/>
  <c r="L6" i="16"/>
  <c r="M9" i="16"/>
  <c r="M10" i="16" s="1"/>
  <c r="M29" i="16"/>
  <c r="M30" i="16" s="1"/>
  <c r="M31" i="16" s="1"/>
  <c r="E26" i="16"/>
  <c r="E29" i="16" s="1"/>
  <c r="M35" i="16"/>
  <c r="M36" i="16" s="1"/>
  <c r="L26" i="16"/>
  <c r="L29" i="16" s="1"/>
  <c r="H55" i="1"/>
  <c r="R49" i="1"/>
  <c r="C35" i="16"/>
  <c r="C36" i="16" s="1"/>
  <c r="L35" i="16"/>
  <c r="L36" i="16" s="1"/>
  <c r="D26" i="16"/>
  <c r="D29" i="16" s="1"/>
  <c r="J35" i="16"/>
  <c r="J36" i="16" s="1"/>
  <c r="H34" i="16"/>
  <c r="C65" i="16"/>
  <c r="J34" i="16"/>
  <c r="F35" i="16"/>
  <c r="F36" i="16" s="1"/>
  <c r="F29" i="16"/>
  <c r="G35" i="16"/>
  <c r="J29" i="16"/>
  <c r="I26" i="16"/>
  <c r="I29" i="16" s="1"/>
  <c r="E9" i="16"/>
  <c r="D6" i="16"/>
  <c r="D5" i="4" s="1"/>
  <c r="B6" i="16"/>
  <c r="C6" i="16"/>
  <c r="R54" i="1"/>
  <c r="R51" i="1"/>
  <c r="R50" i="1"/>
  <c r="J19" i="16"/>
  <c r="E35" i="16"/>
  <c r="E36" i="16" s="1"/>
  <c r="C26" i="16"/>
  <c r="C29" i="16" s="1"/>
  <c r="B26" i="16"/>
  <c r="B29" i="16" s="1"/>
  <c r="F19" i="16"/>
  <c r="H19" i="16"/>
  <c r="C9" i="16"/>
  <c r="C19" i="16"/>
  <c r="E19" i="16"/>
  <c r="D35" i="16"/>
  <c r="D36" i="16" s="1"/>
  <c r="G6" i="16"/>
  <c r="H9" i="16"/>
  <c r="H6" i="16"/>
  <c r="J9" i="16"/>
  <c r="J10" i="16" s="1"/>
  <c r="J6" i="16"/>
  <c r="D19" i="16"/>
  <c r="H57" i="1"/>
  <c r="K6" i="16"/>
  <c r="L9" i="16"/>
  <c r="L10" i="16" s="1"/>
  <c r="G34" i="16"/>
  <c r="L19" i="16"/>
  <c r="D9" i="16"/>
  <c r="G26" i="16"/>
  <c r="G29" i="16" s="1"/>
  <c r="H26" i="16"/>
  <c r="H29" i="16" s="1"/>
  <c r="E6" i="16"/>
  <c r="F9" i="16"/>
  <c r="N50" i="1"/>
  <c r="F6" i="16"/>
  <c r="R48" i="1"/>
  <c r="H35" i="16"/>
  <c r="F34" i="16"/>
  <c r="F214" i="22" l="1"/>
  <c r="F215" i="22" s="1"/>
  <c r="F31" i="22"/>
  <c r="D214" i="22"/>
  <c r="D215" i="22" s="1"/>
  <c r="D31" i="22"/>
  <c r="G214" i="22"/>
  <c r="G215" i="22" s="1"/>
  <c r="G31" i="22"/>
  <c r="E214" i="22"/>
  <c r="E215" i="22" s="1"/>
  <c r="E31" i="22"/>
  <c r="H10" i="16"/>
  <c r="D10" i="16"/>
  <c r="E10" i="16"/>
  <c r="C10" i="16"/>
  <c r="F10" i="16"/>
  <c r="E31" i="1"/>
  <c r="J20" i="16"/>
  <c r="L20" i="16"/>
  <c r="H20" i="16"/>
  <c r="E46" i="1" a="1"/>
  <c r="E46" i="1" s="1"/>
  <c r="F20" i="16"/>
  <c r="E20" i="16"/>
  <c r="D20" i="16"/>
  <c r="I46" i="1" a="1"/>
  <c r="S51" i="1" s="1"/>
  <c r="B30" i="16"/>
  <c r="B31" i="16" s="1"/>
  <c r="I32" i="10" s="1"/>
  <c r="H36" i="16"/>
  <c r="K29" i="1"/>
  <c r="N55" i="1"/>
  <c r="C20" i="16"/>
  <c r="J65" i="16"/>
  <c r="M65" i="16"/>
  <c r="G65" i="16"/>
  <c r="F65" i="16"/>
  <c r="E65" i="16"/>
  <c r="L65" i="16"/>
  <c r="H65" i="16"/>
  <c r="C64" i="16"/>
  <c r="K30" i="16"/>
  <c r="K31" i="16" s="1"/>
  <c r="L30" i="16"/>
  <c r="L31" i="16" s="1"/>
  <c r="J30" i="16"/>
  <c r="J31" i="16" s="1"/>
  <c r="D30" i="16"/>
  <c r="D31" i="16" s="1"/>
  <c r="N47" i="1"/>
  <c r="N51" i="1"/>
  <c r="E30" i="16"/>
  <c r="E31" i="16" s="1"/>
  <c r="I30" i="16"/>
  <c r="I31" i="16" s="1"/>
  <c r="H30" i="16"/>
  <c r="H31" i="16" s="1"/>
  <c r="N49" i="1"/>
  <c r="N48" i="1"/>
  <c r="G30" i="16"/>
  <c r="G31" i="16" s="1"/>
  <c r="C30" i="16"/>
  <c r="C31" i="16" s="1"/>
  <c r="C57" i="1"/>
  <c r="F30" i="16"/>
  <c r="F31" i="16" s="1"/>
  <c r="R53" i="1"/>
  <c r="R52" i="1"/>
  <c r="N52" i="1"/>
  <c r="C58" i="1"/>
  <c r="N54" i="1"/>
  <c r="N53" i="1"/>
  <c r="E27" i="1" l="1"/>
  <c r="M31" i="1"/>
  <c r="M57" i="1"/>
  <c r="S50" i="1"/>
  <c r="S49" i="1"/>
  <c r="I46" i="1"/>
  <c r="S54" i="1"/>
  <c r="S53" i="1"/>
  <c r="S52" i="1"/>
  <c r="L57" i="1"/>
  <c r="S48" i="1"/>
  <c r="Q50" i="1"/>
  <c r="Q51" i="1"/>
  <c r="Q52" i="1"/>
  <c r="Q48" i="1"/>
  <c r="M29" i="1"/>
  <c r="C56" i="1"/>
  <c r="F57" i="1"/>
  <c r="F55" i="1"/>
  <c r="F58" i="1"/>
  <c r="Q53" i="1"/>
  <c r="Q49" i="1"/>
  <c r="Q54" i="1"/>
  <c r="H56" i="1" l="1"/>
  <c r="F56" i="1"/>
  <c r="M25" i="1"/>
  <c r="B9" i="16" l="1"/>
  <c r="B10" i="16" l="1"/>
  <c r="L58" i="1"/>
  <c r="M28" i="1"/>
  <c r="M58" i="1" l="1"/>
  <c r="F36" i="17" l="1"/>
  <c r="F37" i="17" s="1"/>
  <c r="F45" i="16" s="1"/>
  <c r="J55" i="17"/>
  <c r="J69" i="16" s="1"/>
  <c r="J36" i="17"/>
  <c r="J37" i="17" s="1"/>
  <c r="J45" i="16" s="1"/>
  <c r="M64" i="16"/>
  <c r="M36" i="17"/>
  <c r="M37" i="17" s="1"/>
  <c r="M45" i="16" s="1"/>
  <c r="I64" i="16"/>
  <c r="I36" i="17"/>
  <c r="I37" i="17" s="1"/>
  <c r="I45" i="16" s="1"/>
  <c r="E64" i="16"/>
  <c r="E37" i="17"/>
  <c r="E45" i="16" s="1"/>
  <c r="G36" i="17"/>
  <c r="G37" i="17" s="1"/>
  <c r="G45" i="16" s="1"/>
  <c r="K36" i="17"/>
  <c r="K37" i="17" s="1"/>
  <c r="K45" i="16" s="1"/>
  <c r="H55" i="17"/>
  <c r="H69" i="16" s="1"/>
  <c r="H36" i="17"/>
  <c r="H37" i="17" s="1"/>
  <c r="H45" i="16" s="1"/>
  <c r="L64" i="16"/>
  <c r="L36" i="17"/>
  <c r="L37" i="17" s="1"/>
  <c r="L45" i="16" s="1"/>
  <c r="G55" i="17" l="1"/>
  <c r="G69" i="16" s="1"/>
  <c r="J64" i="16"/>
  <c r="M55" i="17"/>
  <c r="M69" i="16" s="1"/>
  <c r="F55" i="17"/>
  <c r="F69" i="16" s="1"/>
  <c r="K64" i="16"/>
  <c r="F64" i="16"/>
  <c r="G64" i="16"/>
  <c r="H64" i="16"/>
  <c r="L55" i="17"/>
  <c r="L69" i="16" s="1"/>
  <c r="I55" i="17"/>
  <c r="I69" i="16" s="1"/>
  <c r="D36" i="17" l="1"/>
  <c r="D37" i="17" s="1"/>
  <c r="D45" i="16" s="1"/>
  <c r="D55" i="17"/>
  <c r="D69" i="16" s="1"/>
  <c r="C55" i="17"/>
  <c r="C69" i="16" s="1"/>
  <c r="C47" i="17"/>
  <c r="C57" i="16" s="1"/>
  <c r="C49" i="17" l="1"/>
  <c r="C60" i="16" s="1"/>
  <c r="D64" i="16"/>
  <c r="G46" i="1" s="1" a="1"/>
  <c r="G46" i="1" s="1"/>
  <c r="L49" i="1"/>
  <c r="L56" i="1" s="1"/>
  <c r="M49" i="1"/>
  <c r="M56" i="1" s="1"/>
  <c r="C66" i="17"/>
  <c r="E25" i="4" s="1"/>
  <c r="E26" i="4" s="1"/>
  <c r="E34" i="4" s="1"/>
  <c r="C247" i="22" l="1"/>
  <c r="C248" i="22" s="1"/>
  <c r="D29" i="22" s="1"/>
  <c r="C256" i="22"/>
  <c r="C257" i="22" s="1"/>
  <c r="D28" i="22" s="1"/>
  <c r="J28" i="22" s="1"/>
  <c r="E36" i="4"/>
  <c r="E43" i="4" s="1"/>
  <c r="F43" i="4" s="1"/>
  <c r="K55" i="17"/>
  <c r="K69" i="16" s="1"/>
  <c r="H38" i="4" l="1"/>
  <c r="H39" i="4"/>
  <c r="I10" i="4" l="1"/>
  <c r="I39" i="4" s="1"/>
  <c r="I38" i="4" l="1"/>
  <c r="J10" i="4" s="1"/>
  <c r="J39" i="4" l="1"/>
  <c r="J38" i="4"/>
  <c r="K10" i="4" l="1"/>
  <c r="K39" i="4" s="1"/>
  <c r="K38" i="4" l="1"/>
  <c r="L10" i="4" s="1"/>
  <c r="L39" i="4" s="1"/>
  <c r="L38" i="4" l="1"/>
  <c r="M10" i="4" s="1"/>
  <c r="M39" i="4" s="1"/>
  <c r="M38" i="4" l="1"/>
  <c r="N10" i="4" s="1"/>
  <c r="N39" i="4" s="1"/>
  <c r="N38" i="4" l="1"/>
  <c r="O10" i="4" s="1"/>
  <c r="O39" i="4" s="1"/>
  <c r="O38" i="4" l="1"/>
  <c r="P10" i="4" s="1"/>
  <c r="P39" i="4" s="1"/>
  <c r="P38" i="4" l="1"/>
  <c r="Q10" i="4" s="1"/>
  <c r="Q39" i="4" s="1"/>
  <c r="Q38" i="4" l="1"/>
  <c r="R10" i="4" s="1"/>
  <c r="R39" i="4" s="1"/>
  <c r="R38" i="4" l="1"/>
  <c r="S10" i="4" s="1"/>
  <c r="S39" i="4" s="1"/>
  <c r="S38" i="4" l="1"/>
  <c r="T10" i="4" s="1"/>
  <c r="T38" i="4" l="1"/>
  <c r="U10" i="4" s="1"/>
  <c r="T39" i="4"/>
  <c r="U39" i="4" l="1"/>
  <c r="U38" i="4"/>
  <c r="V10" i="4" s="1"/>
  <c r="V39" i="4" l="1"/>
  <c r="V38" i="4"/>
  <c r="W10" i="4" s="1"/>
  <c r="W38" i="4" l="1"/>
  <c r="X10" i="4" s="1"/>
  <c r="W39" i="4"/>
  <c r="X39" i="4" l="1"/>
  <c r="X38" i="4"/>
  <c r="Y10" i="4" s="1"/>
  <c r="Y38" i="4" l="1"/>
  <c r="Z10" i="4" s="1"/>
  <c r="Y39" i="4"/>
  <c r="Z39" i="4" l="1"/>
  <c r="Z38" i="4"/>
  <c r="AA10" i="4" s="1"/>
  <c r="AA39" i="4" l="1"/>
  <c r="AA38" i="4"/>
  <c r="AB10" i="4" s="1"/>
  <c r="AB38" i="4" l="1"/>
  <c r="AC10" i="4" s="1"/>
  <c r="AB39" i="4" l="1"/>
  <c r="AC39" i="4" l="1"/>
  <c r="AC38" i="4"/>
  <c r="AD10" i="4" s="1"/>
  <c r="AD39" i="4" l="1"/>
  <c r="AD38" i="4"/>
  <c r="AE10" i="4" s="1"/>
  <c r="AE38" i="4" l="1"/>
  <c r="AF10" i="4" s="1"/>
  <c r="AE39" i="4"/>
  <c r="AF39" i="4" l="1"/>
  <c r="AG39" i="4" s="1"/>
  <c r="AF38" i="4"/>
  <c r="AG38" i="4" s="1"/>
  <c r="K62" i="17" l="1"/>
  <c r="L62" i="17"/>
  <c r="G8" i="16" l="1"/>
  <c r="O10" i="22" l="1"/>
  <c r="G11" i="16"/>
  <c r="G12" i="16" s="1"/>
  <c r="J20" i="22" l="1"/>
  <c r="G14" i="17"/>
  <c r="G59" i="17"/>
  <c r="G9" i="16"/>
  <c r="G10" i="16" s="1"/>
  <c r="G19" i="16"/>
  <c r="G16" i="16"/>
  <c r="G62" i="17"/>
  <c r="G24" i="16"/>
  <c r="G36" i="16"/>
  <c r="F13" i="16"/>
  <c r="D46" i="1" a="1"/>
  <c r="G13" i="16"/>
  <c r="H214" i="22" l="1"/>
  <c r="H215" i="22" s="1"/>
  <c r="H31" i="22"/>
  <c r="G20" i="16"/>
  <c r="J214" i="22"/>
  <c r="J31" i="22"/>
  <c r="O49" i="1"/>
  <c r="O50" i="1"/>
  <c r="O54" i="1"/>
  <c r="D58" i="1"/>
  <c r="D46" i="1"/>
  <c r="D57" i="1" s="1"/>
  <c r="O51" i="1"/>
  <c r="O52" i="1"/>
  <c r="O53" i="1"/>
  <c r="O48" i="1"/>
  <c r="F25" i="16"/>
  <c r="G25" i="16"/>
  <c r="D55" i="1" l="1"/>
  <c r="O55" i="1" s="1"/>
  <c r="O47" i="1"/>
  <c r="D56" i="1" s="1"/>
  <c r="G24" i="3"/>
  <c r="N24" i="3" l="1"/>
  <c r="F30" i="3"/>
  <c r="F31" i="3"/>
  <c r="F29" i="3"/>
  <c r="M24" i="3"/>
  <c r="F35" i="3" l="1"/>
  <c r="P145" i="22" l="1"/>
  <c r="P159" i="22" s="1"/>
  <c r="P143" i="22" l="1"/>
  <c r="P144" i="22" s="1"/>
  <c r="P151" i="22" s="1"/>
  <c r="P152" i="22" s="1"/>
  <c r="P160" i="22"/>
  <c r="Q145" i="22"/>
  <c r="P166" i="22" l="1"/>
  <c r="P157" i="22" s="1"/>
  <c r="R145" i="22"/>
  <c r="R159" i="22" s="1"/>
  <c r="Q159" i="22"/>
  <c r="Q160" i="22" s="1"/>
  <c r="S145" i="22" l="1"/>
  <c r="S159" i="22" s="1"/>
  <c r="S160" i="22" s="1"/>
  <c r="P149" i="22"/>
  <c r="R143" i="22"/>
  <c r="R160" i="22"/>
  <c r="Q143" i="22"/>
  <c r="Q144" i="22" s="1"/>
  <c r="Q151" i="22" s="1"/>
  <c r="T145" i="22" l="1"/>
  <c r="T159" i="22" s="1"/>
  <c r="T160" i="22" s="1"/>
  <c r="S143" i="22"/>
  <c r="S144" i="22" s="1"/>
  <c r="S151" i="22" s="1"/>
  <c r="S166" i="22" s="1"/>
  <c r="S149" i="22" s="1"/>
  <c r="Q152" i="22"/>
  <c r="Q166" i="22"/>
  <c r="Q149" i="22" s="1"/>
  <c r="R144" i="22"/>
  <c r="R151" i="22" s="1"/>
  <c r="U145" i="22" l="1"/>
  <c r="U159" i="22" s="1"/>
  <c r="U160" i="22" s="1"/>
  <c r="T143" i="22"/>
  <c r="T144" i="22" s="1"/>
  <c r="T151" i="22" s="1"/>
  <c r="T152" i="22" s="1"/>
  <c r="S157" i="22"/>
  <c r="R152" i="22"/>
  <c r="Q157" i="22"/>
  <c r="R166" i="22"/>
  <c r="R149" i="22" s="1"/>
  <c r="S152" i="22"/>
  <c r="V145" i="22" l="1"/>
  <c r="W145" i="22" s="1"/>
  <c r="U143" i="22"/>
  <c r="U144" i="22" s="1"/>
  <c r="U151" i="22" s="1"/>
  <c r="U152" i="22" s="1"/>
  <c r="T166" i="22"/>
  <c r="T157" i="22" s="1"/>
  <c r="R157" i="22"/>
  <c r="V159" i="22"/>
  <c r="T149" i="22" l="1"/>
  <c r="W159" i="22"/>
  <c r="W160" i="22" s="1"/>
  <c r="X145" i="22"/>
  <c r="X159" i="22" s="1"/>
  <c r="U166" i="22"/>
  <c r="U157" i="22" s="1"/>
  <c r="W143" i="22"/>
  <c r="V143" i="22"/>
  <c r="V144" i="22" s="1"/>
  <c r="V151" i="22" s="1"/>
  <c r="V152" i="22" s="1"/>
  <c r="V160" i="22"/>
  <c r="W144" i="22" l="1"/>
  <c r="W151" i="22" s="1"/>
  <c r="W152" i="22" s="1"/>
  <c r="V166" i="22"/>
  <c r="V157" i="22" s="1"/>
  <c r="X160" i="22"/>
  <c r="Y145" i="22"/>
  <c r="Y159" i="22" s="1"/>
  <c r="Y160" i="22" s="1"/>
  <c r="X143" i="22"/>
  <c r="X144" i="22" s="1"/>
  <c r="X151" i="22" s="1"/>
  <c r="U149" i="22"/>
  <c r="W166" i="22" l="1"/>
  <c r="W157" i="22" s="1"/>
  <c r="X152" i="22"/>
  <c r="V149" i="22"/>
  <c r="Z145" i="22"/>
  <c r="Z159" i="22" s="1"/>
  <c r="Z160" i="22" s="1"/>
  <c r="Y143" i="22"/>
  <c r="Y144" i="22" s="1"/>
  <c r="Y151" i="22" s="1"/>
  <c r="Y152" i="22" s="1"/>
  <c r="X166" i="22"/>
  <c r="X157" i="22" s="1"/>
  <c r="W149" i="22" l="1"/>
  <c r="AA145" i="22"/>
  <c r="AA159" i="22" s="1"/>
  <c r="AA160" i="22" s="1"/>
  <c r="Z143" i="22"/>
  <c r="Z144" i="22" s="1"/>
  <c r="Z151" i="22" s="1"/>
  <c r="Z152" i="22" s="1"/>
  <c r="X149" i="22"/>
  <c r="Y166" i="22"/>
  <c r="Y149" i="22" s="1"/>
  <c r="AB145" i="22" l="1"/>
  <c r="AB159" i="22" s="1"/>
  <c r="AB160" i="22" s="1"/>
  <c r="Z166" i="22"/>
  <c r="Z157" i="22" s="1"/>
  <c r="AA143" i="22"/>
  <c r="AA144" i="22" s="1"/>
  <c r="AA151" i="22" s="1"/>
  <c r="AA152" i="22" s="1"/>
  <c r="Y157" i="22"/>
  <c r="AC145" i="22" l="1"/>
  <c r="AC159" i="22" s="1"/>
  <c r="AC160" i="22" s="1"/>
  <c r="Z149" i="22"/>
  <c r="AB143" i="22"/>
  <c r="AB144" i="22" s="1"/>
  <c r="AB151" i="22" s="1"/>
  <c r="AB152" i="22" s="1"/>
  <c r="AA166" i="22"/>
  <c r="AA157" i="22" s="1"/>
  <c r="AB166" i="22" l="1"/>
  <c r="AB157" i="22" s="1"/>
  <c r="AD145" i="22"/>
  <c r="AD159" i="22" s="1"/>
  <c r="AD160" i="22" s="1"/>
  <c r="AC143" i="22"/>
  <c r="AC144" i="22" s="1"/>
  <c r="AC151" i="22" s="1"/>
  <c r="AA149" i="22"/>
  <c r="AC152" i="22" l="1"/>
  <c r="AC166" i="22"/>
  <c r="AC157" i="22" s="1"/>
  <c r="AB149" i="22"/>
  <c r="AE145" i="22"/>
  <c r="AE159" i="22" s="1"/>
  <c r="AE160" i="22" s="1"/>
  <c r="AD143" i="22"/>
  <c r="AD144" i="22" s="1"/>
  <c r="AD151" i="22" s="1"/>
  <c r="AD152" i="22" s="1"/>
  <c r="AC149" i="22" l="1"/>
  <c r="AE143" i="22"/>
  <c r="AE144" i="22" s="1"/>
  <c r="AE151" i="22" s="1"/>
  <c r="AE152" i="22" s="1"/>
  <c r="AD166" i="22"/>
  <c r="AD157" i="22" s="1"/>
  <c r="AF145" i="22"/>
  <c r="AF159" i="22" s="1"/>
  <c r="AF160" i="22" s="1"/>
  <c r="AF143" i="22" l="1"/>
  <c r="AF144" i="22" s="1"/>
  <c r="AF151" i="22" s="1"/>
  <c r="AF152" i="22" s="1"/>
  <c r="AG145" i="22"/>
  <c r="AG159" i="22" s="1"/>
  <c r="AG160" i="22" s="1"/>
  <c r="AE166" i="22"/>
  <c r="AE149" i="22" s="1"/>
  <c r="AD149" i="22"/>
  <c r="AF166" i="22" l="1"/>
  <c r="AF157" i="22" s="1"/>
  <c r="AE157" i="22"/>
  <c r="AH145" i="22"/>
  <c r="AH159" i="22" s="1"/>
  <c r="AH160" i="22" s="1"/>
  <c r="AG143" i="22"/>
  <c r="AG144" i="22" s="1"/>
  <c r="AG151" i="22" s="1"/>
  <c r="AG152" i="22" s="1"/>
  <c r="AF149" i="22" l="1"/>
  <c r="AI145" i="22"/>
  <c r="AI159" i="22" s="1"/>
  <c r="AI160" i="22" s="1"/>
  <c r="AG166" i="22"/>
  <c r="AG149" i="22" s="1"/>
  <c r="AH143" i="22"/>
  <c r="AH144" i="22" s="1"/>
  <c r="AH151" i="22" s="1"/>
  <c r="AH152" i="22" s="1"/>
  <c r="AJ145" i="22" l="1"/>
  <c r="AJ159" i="22" s="1"/>
  <c r="AJ160" i="22" s="1"/>
  <c r="AH166" i="22"/>
  <c r="AH157" i="22" s="1"/>
  <c r="AG157" i="22"/>
  <c r="AI143" i="22"/>
  <c r="AI144" i="22" s="1"/>
  <c r="AI151" i="22" s="1"/>
  <c r="AI152" i="22" l="1"/>
  <c r="AI166" i="22"/>
  <c r="AI149" i="22" s="1"/>
  <c r="AH149" i="22"/>
  <c r="AJ143" i="22"/>
  <c r="AJ144" i="22" s="1"/>
  <c r="AJ151" i="22" s="1"/>
  <c r="AJ152" i="22" s="1"/>
  <c r="L167" i="22"/>
  <c r="L165" i="22"/>
  <c r="L170" i="22"/>
  <c r="L176" i="22" s="1"/>
  <c r="S167" i="22"/>
  <c r="S165" i="22"/>
  <c r="S170" i="22"/>
  <c r="N167" i="22"/>
  <c r="N165" i="22"/>
  <c r="N170" i="22"/>
  <c r="Q167" i="22"/>
  <c r="Q165" i="22"/>
  <c r="Q170" i="22"/>
  <c r="Q174" i="22" s="1"/>
  <c r="Q175" i="22" s="1"/>
  <c r="R167" i="22"/>
  <c r="R165" i="22"/>
  <c r="R170" i="22"/>
  <c r="U167" i="22"/>
  <c r="U165" i="22"/>
  <c r="U170" i="22"/>
  <c r="V167" i="22"/>
  <c r="V165" i="22"/>
  <c r="V170" i="22"/>
  <c r="X167" i="22"/>
  <c r="X165" i="22"/>
  <c r="X170" i="22"/>
  <c r="T6" i="4" s="1"/>
  <c r="AE167" i="22"/>
  <c r="AE165" i="22"/>
  <c r="AE170" i="22"/>
  <c r="K167" i="22"/>
  <c r="K165" i="22"/>
  <c r="K170" i="22"/>
  <c r="B221" i="22" s="1"/>
  <c r="B222" i="22" s="1"/>
  <c r="M167" i="22"/>
  <c r="M165" i="22"/>
  <c r="M170" i="22"/>
  <c r="O167" i="22"/>
  <c r="O165" i="22"/>
  <c r="O170" i="22"/>
  <c r="Y167" i="22"/>
  <c r="Y165" i="22"/>
  <c r="Y170" i="22"/>
  <c r="P167" i="22"/>
  <c r="P165" i="22"/>
  <c r="P170" i="22"/>
  <c r="L6" i="4"/>
  <c r="L21" i="4" s="1"/>
  <c r="AA167" i="22"/>
  <c r="AA165" i="22"/>
  <c r="AA170" i="22"/>
  <c r="AC167" i="22"/>
  <c r="AC165" i="22"/>
  <c r="AC170" i="22"/>
  <c r="AC174" i="22"/>
  <c r="AC175" i="22" s="1"/>
  <c r="AD167" i="22"/>
  <c r="AD165" i="22"/>
  <c r="AD170" i="22"/>
  <c r="AH167" i="22"/>
  <c r="AH165" i="22"/>
  <c r="AH170" i="22"/>
  <c r="AI170" i="22"/>
  <c r="T167" i="22"/>
  <c r="T165" i="22"/>
  <c r="T170" i="22"/>
  <c r="W167" i="22"/>
  <c r="W165" i="22"/>
  <c r="W170" i="22"/>
  <c r="Z167" i="22"/>
  <c r="Z165" i="22"/>
  <c r="Z170" i="22"/>
  <c r="AB167" i="22"/>
  <c r="AB165" i="22"/>
  <c r="AB170" i="22"/>
  <c r="AF167" i="22"/>
  <c r="AF165" i="22"/>
  <c r="AF170" i="22"/>
  <c r="AG167" i="22"/>
  <c r="AG165" i="22"/>
  <c r="AG170" i="22"/>
  <c r="AJ166" i="22" l="1"/>
  <c r="AJ157" i="22" s="1"/>
  <c r="I6" i="4"/>
  <c r="I24" i="4" s="1"/>
  <c r="M176" i="22"/>
  <c r="M178" i="22"/>
  <c r="J6" i="4"/>
  <c r="J24" i="4" s="1"/>
  <c r="N176" i="22"/>
  <c r="N178" i="22"/>
  <c r="AD176" i="22"/>
  <c r="AD178" i="22"/>
  <c r="V6" i="4"/>
  <c r="V23" i="4" s="1"/>
  <c r="Z178" i="22"/>
  <c r="Z176" i="22"/>
  <c r="R176" i="22"/>
  <c r="R178" i="22"/>
  <c r="M6" i="4"/>
  <c r="M27" i="4" s="1"/>
  <c r="Q176" i="22"/>
  <c r="Q178" i="22"/>
  <c r="AE174" i="22"/>
  <c r="AE175" i="22" s="1"/>
  <c r="AE178" i="22"/>
  <c r="AE176" i="22"/>
  <c r="AB176" i="22"/>
  <c r="AB178" i="22"/>
  <c r="AA176" i="22"/>
  <c r="AA178" i="22"/>
  <c r="O174" i="22"/>
  <c r="O175" i="22" s="1"/>
  <c r="O176" i="22"/>
  <c r="O178" i="22"/>
  <c r="AB6" i="4"/>
  <c r="AB11" i="4" s="1"/>
  <c r="AB20" i="4" s="1"/>
  <c r="AF178" i="22"/>
  <c r="AF176" i="22"/>
  <c r="AI176" i="22"/>
  <c r="AI178" i="22"/>
  <c r="AD6" i="4"/>
  <c r="AD11" i="4" s="1"/>
  <c r="AD20" i="4" s="1"/>
  <c r="AH176" i="22"/>
  <c r="AH178" i="22"/>
  <c r="AG178" i="22"/>
  <c r="AG176" i="22"/>
  <c r="AC178" i="22"/>
  <c r="AC176" i="22"/>
  <c r="S174" i="22"/>
  <c r="S175" i="22" s="1"/>
  <c r="S176" i="22"/>
  <c r="S178" i="22"/>
  <c r="Z174" i="22"/>
  <c r="Z175" i="22" s="1"/>
  <c r="X174" i="22"/>
  <c r="X175" i="22" s="1"/>
  <c r="X176" i="22"/>
  <c r="X178" i="22"/>
  <c r="P176" i="22"/>
  <c r="P178" i="22"/>
  <c r="V178" i="22"/>
  <c r="V176" i="22"/>
  <c r="W174" i="22"/>
  <c r="W175" i="22" s="1"/>
  <c r="W178" i="22"/>
  <c r="W176" i="22"/>
  <c r="Y178" i="22"/>
  <c r="Y176" i="22"/>
  <c r="U174" i="22"/>
  <c r="U175" i="22" s="1"/>
  <c r="U178" i="22"/>
  <c r="U176" i="22"/>
  <c r="T178" i="22"/>
  <c r="T176" i="22"/>
  <c r="AI165" i="22"/>
  <c r="AI167" i="22"/>
  <c r="AI157" i="22"/>
  <c r="AH174" i="22"/>
  <c r="AH175" i="22" s="1"/>
  <c r="AJ149" i="22"/>
  <c r="V174" i="22"/>
  <c r="V175" i="22" s="1"/>
  <c r="AJ170" i="22"/>
  <c r="AJ167" i="22"/>
  <c r="AJ165" i="22"/>
  <c r="X6" i="4"/>
  <c r="L178" i="22"/>
  <c r="Q171" i="22"/>
  <c r="I23" i="4"/>
  <c r="U6" i="4"/>
  <c r="U11" i="4" s="1"/>
  <c r="U20" i="4" s="1"/>
  <c r="X171" i="22"/>
  <c r="P6" i="4"/>
  <c r="P11" i="4" s="1"/>
  <c r="P20" i="4" s="1"/>
  <c r="AG174" i="22"/>
  <c r="AG175" i="22" s="1"/>
  <c r="AA174" i="22"/>
  <c r="AA175" i="22" s="1"/>
  <c r="T174" i="22"/>
  <c r="T175" i="22" s="1"/>
  <c r="AH171" i="22"/>
  <c r="N174" i="22"/>
  <c r="N175" i="22" s="1"/>
  <c r="S171" i="22"/>
  <c r="J5" i="4"/>
  <c r="AF171" i="22"/>
  <c r="J11" i="4"/>
  <c r="J20" i="4" s="1"/>
  <c r="S6" i="4"/>
  <c r="S21" i="4" s="1"/>
  <c r="W6" i="4"/>
  <c r="W27" i="4" s="1"/>
  <c r="O171" i="22"/>
  <c r="Y174" i="22"/>
  <c r="Y175" i="22" s="1"/>
  <c r="L24" i="4"/>
  <c r="AG171" i="22"/>
  <c r="H6" i="4"/>
  <c r="H11" i="4" s="1"/>
  <c r="H20" i="4" s="1"/>
  <c r="K6" i="4"/>
  <c r="M174" i="22"/>
  <c r="J23" i="4"/>
  <c r="AC171" i="22"/>
  <c r="Z171" i="22"/>
  <c r="R6" i="4"/>
  <c r="M171" i="22"/>
  <c r="T27" i="4"/>
  <c r="T11" i="4"/>
  <c r="T20" i="4" s="1"/>
  <c r="AI171" i="22"/>
  <c r="AE6" i="4"/>
  <c r="AI174" i="22"/>
  <c r="AD171" i="22"/>
  <c r="AD174" i="22"/>
  <c r="Z6" i="4"/>
  <c r="K174" i="22"/>
  <c r="K171" i="22"/>
  <c r="K178" i="22"/>
  <c r="G6" i="4"/>
  <c r="K176" i="22"/>
  <c r="R171" i="22"/>
  <c r="R174" i="22"/>
  <c r="N6" i="4"/>
  <c r="AA171" i="22"/>
  <c r="AF174" i="22"/>
  <c r="Q6" i="4"/>
  <c r="AA6" i="4"/>
  <c r="AE171" i="22"/>
  <c r="N171" i="22"/>
  <c r="L11" i="4"/>
  <c r="L20" i="4" s="1"/>
  <c r="L171" i="22"/>
  <c r="J27" i="4"/>
  <c r="AB21" i="4"/>
  <c r="I21" i="4"/>
  <c r="AB171" i="22"/>
  <c r="AB174" i="22"/>
  <c r="AC6" i="4"/>
  <c r="U171" i="22"/>
  <c r="L174" i="22"/>
  <c r="W171" i="22"/>
  <c r="L23" i="4"/>
  <c r="L27" i="4"/>
  <c r="Y171" i="22"/>
  <c r="I11" i="4"/>
  <c r="I20" i="4" s="1"/>
  <c r="T171" i="22"/>
  <c r="Y6" i="4"/>
  <c r="O6" i="4"/>
  <c r="P171" i="22"/>
  <c r="P174" i="22"/>
  <c r="T23" i="4"/>
  <c r="T21" i="4"/>
  <c r="T24" i="4"/>
  <c r="J165" i="22"/>
  <c r="V171" i="22"/>
  <c r="J21" i="4" l="1"/>
  <c r="I27" i="4"/>
  <c r="AB5" i="4"/>
  <c r="AB27" i="4"/>
  <c r="AC180" i="22"/>
  <c r="AC181" i="22" s="1"/>
  <c r="Y7" i="4" s="1"/>
  <c r="Y8" i="4" s="1"/>
  <c r="AB23" i="4"/>
  <c r="AD27" i="4"/>
  <c r="AD23" i="4"/>
  <c r="M5" i="4"/>
  <c r="M23" i="4"/>
  <c r="AD5" i="4"/>
  <c r="M11" i="4"/>
  <c r="M20" i="4" s="1"/>
  <c r="M24" i="4"/>
  <c r="V27" i="4"/>
  <c r="AB24" i="4"/>
  <c r="AJ176" i="22"/>
  <c r="AJ178" i="22"/>
  <c r="V24" i="4"/>
  <c r="V11" i="4"/>
  <c r="V20" i="4" s="1"/>
  <c r="M21" i="4"/>
  <c r="AD21" i="4"/>
  <c r="AD24" i="4"/>
  <c r="AJ171" i="22"/>
  <c r="V21" i="4"/>
  <c r="K175" i="22"/>
  <c r="K180" i="22"/>
  <c r="K181" i="22" s="1"/>
  <c r="G7" i="4" s="1"/>
  <c r="G8" i="4" s="1"/>
  <c r="X11" i="4"/>
  <c r="X20" i="4" s="1"/>
  <c r="M175" i="22"/>
  <c r="M180" i="22"/>
  <c r="M181" i="22" s="1"/>
  <c r="I7" i="4" s="1"/>
  <c r="I8" i="4" s="1"/>
  <c r="V180" i="22"/>
  <c r="V181" i="22" s="1"/>
  <c r="R7" i="4" s="1"/>
  <c r="R8" i="4" s="1"/>
  <c r="X21" i="4"/>
  <c r="X23" i="4"/>
  <c r="X27" i="4"/>
  <c r="Q180" i="22"/>
  <c r="Q181" i="22" s="1"/>
  <c r="M7" i="4" s="1"/>
  <c r="M8" i="4" s="1"/>
  <c r="X24" i="4"/>
  <c r="AJ174" i="22"/>
  <c r="AJ175" i="22" s="1"/>
  <c r="AH180" i="22"/>
  <c r="AH181" i="22" s="1"/>
  <c r="AD7" i="4" s="1"/>
  <c r="AD8" i="4" s="1"/>
  <c r="S5" i="4"/>
  <c r="P24" i="4"/>
  <c r="P27" i="4"/>
  <c r="P23" i="4"/>
  <c r="X5" i="4"/>
  <c r="AE180" i="22"/>
  <c r="AE181" i="22" s="1"/>
  <c r="AA7" i="4" s="1"/>
  <c r="AA8" i="4" s="1"/>
  <c r="P21" i="4"/>
  <c r="W180" i="22"/>
  <c r="W181" i="22" s="1"/>
  <c r="S7" i="4" s="1"/>
  <c r="S8" i="4" s="1"/>
  <c r="S180" i="22"/>
  <c r="S181" i="22" s="1"/>
  <c r="O7" i="4" s="1"/>
  <c r="O8" i="4" s="1"/>
  <c r="AG180" i="22"/>
  <c r="AG181" i="22" s="1"/>
  <c r="AC7" i="4" s="1"/>
  <c r="AC8" i="4" s="1"/>
  <c r="V5" i="4"/>
  <c r="T180" i="22"/>
  <c r="T181" i="22" s="1"/>
  <c r="P7" i="4" s="1"/>
  <c r="P8" i="4" s="1"/>
  <c r="U24" i="4"/>
  <c r="U27" i="4"/>
  <c r="U23" i="4"/>
  <c r="U21" i="4"/>
  <c r="T5" i="4"/>
  <c r="U180" i="22"/>
  <c r="U181" i="22" s="1"/>
  <c r="Q7" i="4" s="1"/>
  <c r="Q8" i="4" s="1"/>
  <c r="X180" i="22"/>
  <c r="X181" i="22" s="1"/>
  <c r="T7" i="4" s="1"/>
  <c r="T8" i="4" s="1"/>
  <c r="U5" i="4"/>
  <c r="Z180" i="22"/>
  <c r="Z181" i="22" s="1"/>
  <c r="V7" i="4" s="1"/>
  <c r="V8" i="4" s="1"/>
  <c r="AA180" i="22"/>
  <c r="AA181" i="22" s="1"/>
  <c r="W7" i="4" s="1"/>
  <c r="W8" i="4" s="1"/>
  <c r="O180" i="22"/>
  <c r="O181" i="22" s="1"/>
  <c r="K7" i="4" s="1"/>
  <c r="K8" i="4" s="1"/>
  <c r="W23" i="4"/>
  <c r="W11" i="4"/>
  <c r="W20" i="4" s="1"/>
  <c r="W5" i="4"/>
  <c r="S23" i="4"/>
  <c r="S27" i="4"/>
  <c r="H23" i="4"/>
  <c r="W21" i="4"/>
  <c r="Y180" i="22"/>
  <c r="Y181" i="22" s="1"/>
  <c r="U7" i="4" s="1"/>
  <c r="U8" i="4" s="1"/>
  <c r="W24" i="4"/>
  <c r="R5" i="4"/>
  <c r="S11" i="4"/>
  <c r="S20" i="4" s="1"/>
  <c r="S24" i="4"/>
  <c r="N180" i="22"/>
  <c r="N181" i="22" s="1"/>
  <c r="J7" i="4" s="1"/>
  <c r="J8" i="4" s="1"/>
  <c r="K21" i="4"/>
  <c r="K5" i="4"/>
  <c r="K27" i="4"/>
  <c r="K24" i="4"/>
  <c r="L5" i="4"/>
  <c r="H21" i="4"/>
  <c r="H27" i="4"/>
  <c r="H5" i="4"/>
  <c r="R11" i="4"/>
  <c r="R20" i="4" s="1"/>
  <c r="R27" i="4"/>
  <c r="R21" i="4"/>
  <c r="R23" i="4"/>
  <c r="R24" i="4"/>
  <c r="H24" i="4"/>
  <c r="I5" i="4"/>
  <c r="K11" i="4"/>
  <c r="K20" i="4" s="1"/>
  <c r="K23" i="4"/>
  <c r="L180" i="22"/>
  <c r="L181" i="22" s="1"/>
  <c r="H7" i="4" s="1"/>
  <c r="H8" i="4" s="1"/>
  <c r="L175" i="22"/>
  <c r="AF6" i="4"/>
  <c r="I57" i="4" s="1"/>
  <c r="AE23" i="4"/>
  <c r="AE11" i="4"/>
  <c r="AE20" i="4" s="1"/>
  <c r="AE21" i="4"/>
  <c r="AE27" i="4"/>
  <c r="AE5" i="4"/>
  <c r="AE24" i="4"/>
  <c r="AF175" i="22"/>
  <c r="AF180" i="22"/>
  <c r="AF181" i="22" s="1"/>
  <c r="AB7" i="4" s="1"/>
  <c r="AB8" i="4" s="1"/>
  <c r="G5" i="4"/>
  <c r="G24" i="4"/>
  <c r="G21" i="4"/>
  <c r="G23" i="4"/>
  <c r="G11" i="4"/>
  <c r="G20" i="4" s="1"/>
  <c r="G27" i="4"/>
  <c r="Z23" i="4"/>
  <c r="Z11" i="4"/>
  <c r="Z20" i="4" s="1"/>
  <c r="Z21" i="4"/>
  <c r="Z5" i="4"/>
  <c r="Z27" i="4"/>
  <c r="Z24" i="4"/>
  <c r="AA5" i="4"/>
  <c r="AA27" i="4"/>
  <c r="AA23" i="4"/>
  <c r="AA11" i="4"/>
  <c r="AA20" i="4" s="1"/>
  <c r="AA24" i="4"/>
  <c r="AA21" i="4"/>
  <c r="P180" i="22"/>
  <c r="P181" i="22" s="1"/>
  <c r="L7" i="4" s="1"/>
  <c r="L8" i="4" s="1"/>
  <c r="P175" i="22"/>
  <c r="Q24" i="4"/>
  <c r="Q11" i="4"/>
  <c r="Q20" i="4" s="1"/>
  <c r="Q27" i="4"/>
  <c r="Q21" i="4"/>
  <c r="Q23" i="4"/>
  <c r="Q5" i="4"/>
  <c r="AI180" i="22"/>
  <c r="AI181" i="22" s="1"/>
  <c r="AE7" i="4" s="1"/>
  <c r="AE8" i="4" s="1"/>
  <c r="AI175" i="22"/>
  <c r="O21" i="4"/>
  <c r="O11" i="4"/>
  <c r="O20" i="4" s="1"/>
  <c r="O24" i="4"/>
  <c r="O27" i="4"/>
  <c r="O23" i="4"/>
  <c r="P5" i="4"/>
  <c r="O5" i="4"/>
  <c r="N11" i="4"/>
  <c r="N20" i="4" s="1"/>
  <c r="N21" i="4"/>
  <c r="N24" i="4"/>
  <c r="N23" i="4"/>
  <c r="N27" i="4"/>
  <c r="N5" i="4"/>
  <c r="AD180" i="22"/>
  <c r="AD181" i="22" s="1"/>
  <c r="Z7" i="4" s="1"/>
  <c r="Z8" i="4" s="1"/>
  <c r="AD175" i="22"/>
  <c r="Y27" i="4"/>
  <c r="Y23" i="4"/>
  <c r="Y5" i="4"/>
  <c r="Y11" i="4"/>
  <c r="Y20" i="4" s="1"/>
  <c r="Y21" i="4"/>
  <c r="Y24" i="4"/>
  <c r="AC5" i="4"/>
  <c r="AC11" i="4"/>
  <c r="AC20" i="4" s="1"/>
  <c r="AC27" i="4"/>
  <c r="AC21" i="4"/>
  <c r="AC24" i="4"/>
  <c r="AC23" i="4"/>
  <c r="AB180" i="22"/>
  <c r="AB181" i="22" s="1"/>
  <c r="X7" i="4" s="1"/>
  <c r="X8" i="4" s="1"/>
  <c r="AB175" i="22"/>
  <c r="R175" i="22"/>
  <c r="R180" i="22"/>
  <c r="R181" i="22" s="1"/>
  <c r="N7" i="4" s="1"/>
  <c r="N8" i="4" s="1"/>
  <c r="AJ180" i="22" l="1"/>
  <c r="AJ181" i="22" s="1"/>
  <c r="AF7" i="4" s="1"/>
  <c r="AF8" i="4" s="1"/>
  <c r="G12" i="4"/>
  <c r="G44" i="4" s="1"/>
  <c r="G28" i="4" s="1"/>
  <c r="G40" i="4"/>
  <c r="G25" i="4"/>
  <c r="G26" i="4" s="1"/>
  <c r="G14" i="4"/>
  <c r="G15" i="4" s="1"/>
  <c r="G16" i="4" s="1"/>
  <c r="G17" i="4" s="1"/>
  <c r="G31" i="4"/>
  <c r="AF21" i="4"/>
  <c r="AF23" i="4"/>
  <c r="AG23" i="4" s="1"/>
  <c r="AF11" i="4"/>
  <c r="AF20" i="4" s="1"/>
  <c r="AF24" i="4"/>
  <c r="AF27" i="4"/>
  <c r="G19" i="4" l="1"/>
  <c r="G22" i="4" s="1"/>
  <c r="G34" i="4" s="1"/>
  <c r="H31" i="4"/>
  <c r="H9" i="4"/>
  <c r="H40" i="4"/>
  <c r="H14" i="4"/>
  <c r="I14" i="4" s="1"/>
  <c r="H25" i="4"/>
  <c r="I25" i="4" s="1"/>
  <c r="G29" i="4" l="1"/>
  <c r="G30" i="4"/>
  <c r="G32" i="4" s="1"/>
  <c r="I9" i="4"/>
  <c r="I12" i="4" s="1"/>
  <c r="I44" i="4" s="1"/>
  <c r="I51" i="4" s="1"/>
  <c r="I40" i="4"/>
  <c r="I31" i="4"/>
  <c r="I26" i="4"/>
  <c r="H26" i="4"/>
  <c r="J25" i="4"/>
  <c r="K25" i="4" s="1"/>
  <c r="J14" i="4"/>
  <c r="H41" i="4"/>
  <c r="H12" i="4"/>
  <c r="H44" i="4" s="1"/>
  <c r="H28" i="4" s="1"/>
  <c r="G35" i="4" l="1"/>
  <c r="K26" i="4"/>
  <c r="K14" i="4"/>
  <c r="J26" i="4"/>
  <c r="L25" i="4"/>
  <c r="G36" i="4"/>
  <c r="G43" i="4" s="1"/>
  <c r="H13" i="4" s="1"/>
  <c r="H15" i="4" s="1"/>
  <c r="H16" i="4" s="1"/>
  <c r="H17" i="4" s="1"/>
  <c r="I41" i="4"/>
  <c r="J31" i="4"/>
  <c r="K31" i="4" s="1"/>
  <c r="J9" i="4"/>
  <c r="J40" i="4"/>
  <c r="H19" i="4" l="1"/>
  <c r="H22" i="4" s="1"/>
  <c r="H34" i="4" s="1"/>
  <c r="L26" i="4"/>
  <c r="M25" i="4"/>
  <c r="K9" i="4"/>
  <c r="K12" i="4" s="1"/>
  <c r="K44" i="4" s="1"/>
  <c r="K40" i="4"/>
  <c r="J12" i="4"/>
  <c r="J44" i="4" s="1"/>
  <c r="L14" i="4"/>
  <c r="M14" i="4" s="1"/>
  <c r="L31" i="4"/>
  <c r="J41" i="4"/>
  <c r="H29" i="4" l="1"/>
  <c r="H30" i="4"/>
  <c r="N14" i="4"/>
  <c r="O14" i="4" s="1"/>
  <c r="K28" i="4"/>
  <c r="K51" i="4"/>
  <c r="J51" i="4"/>
  <c r="J28" i="4"/>
  <c r="M26" i="4"/>
  <c r="N25" i="4"/>
  <c r="O25" i="4" s="1"/>
  <c r="M31" i="4"/>
  <c r="H35" i="4"/>
  <c r="H32" i="4"/>
  <c r="L9" i="4"/>
  <c r="L40" i="4"/>
  <c r="K41" i="4"/>
  <c r="O26" i="4" l="1"/>
  <c r="L41" i="4"/>
  <c r="N26" i="4"/>
  <c r="H36" i="4"/>
  <c r="H43" i="4" s="1"/>
  <c r="I13" i="4" s="1"/>
  <c r="I15" i="4" s="1"/>
  <c r="I16" i="4" s="1"/>
  <c r="I17" i="4" s="1"/>
  <c r="M40" i="4"/>
  <c r="M9" i="4"/>
  <c r="M12" i="4" s="1"/>
  <c r="M44" i="4" s="1"/>
  <c r="N31" i="4"/>
  <c r="P25" i="4"/>
  <c r="Q25" i="4" s="1"/>
  <c r="P14" i="4"/>
  <c r="L12" i="4"/>
  <c r="L44" i="4" s="1"/>
  <c r="M41" i="4" l="1"/>
  <c r="Q26" i="4"/>
  <c r="I19" i="4"/>
  <c r="I22" i="4" s="1"/>
  <c r="I34" i="4" s="1"/>
  <c r="L28" i="4"/>
  <c r="L51" i="4"/>
  <c r="P26" i="4"/>
  <c r="M51" i="4"/>
  <c r="M28" i="4"/>
  <c r="Q14" i="4"/>
  <c r="N9" i="4"/>
  <c r="N40" i="4"/>
  <c r="R25" i="4"/>
  <c r="S25" i="4" s="1"/>
  <c r="O31" i="4"/>
  <c r="I29" i="4" l="1"/>
  <c r="I30" i="4"/>
  <c r="I35" i="4" s="1"/>
  <c r="I36" i="4" s="1"/>
  <c r="I43" i="4" s="1"/>
  <c r="R26" i="4"/>
  <c r="T25" i="4"/>
  <c r="U25" i="4" s="1"/>
  <c r="P31" i="4"/>
  <c r="S26" i="4"/>
  <c r="I32" i="4"/>
  <c r="O40" i="4"/>
  <c r="O9" i="4"/>
  <c r="O12" i="4" s="1"/>
  <c r="O44" i="4" s="1"/>
  <c r="N12" i="4"/>
  <c r="N44" i="4" s="1"/>
  <c r="N41" i="4"/>
  <c r="R14" i="4"/>
  <c r="S14" i="4" s="1"/>
  <c r="U26" i="4" l="1"/>
  <c r="V25" i="4"/>
  <c r="W25" i="4" s="1"/>
  <c r="N28" i="4"/>
  <c r="N51" i="4"/>
  <c r="O28" i="4"/>
  <c r="O51" i="4"/>
  <c r="P9" i="4"/>
  <c r="P40" i="4"/>
  <c r="O41" i="4"/>
  <c r="Q31" i="4"/>
  <c r="R31" i="4" s="1"/>
  <c r="S31" i="4" s="1"/>
  <c r="T14" i="4"/>
  <c r="J13" i="4"/>
  <c r="J15" i="4" s="1"/>
  <c r="J16" i="4" s="1"/>
  <c r="J17" i="4" s="1"/>
  <c r="I55" i="4"/>
  <c r="I53" i="4"/>
  <c r="T26" i="4"/>
  <c r="I59" i="4"/>
  <c r="P12" i="4" l="1"/>
  <c r="P44" i="4" s="1"/>
  <c r="T31" i="4"/>
  <c r="V26" i="4"/>
  <c r="Q40" i="4"/>
  <c r="Q9" i="4"/>
  <c r="Q12" i="4" s="1"/>
  <c r="Q44" i="4" s="1"/>
  <c r="J19" i="4"/>
  <c r="J22" i="4" s="1"/>
  <c r="J34" i="4" s="1"/>
  <c r="P41" i="4"/>
  <c r="W26" i="4"/>
  <c r="U14" i="4"/>
  <c r="X25" i="4"/>
  <c r="Y25" i="4" s="1"/>
  <c r="J29" i="4" l="1"/>
  <c r="J30" i="4"/>
  <c r="J32" i="4" s="1"/>
  <c r="Q51" i="4"/>
  <c r="Q28" i="4"/>
  <c r="X26" i="4"/>
  <c r="P28" i="4"/>
  <c r="P51" i="4"/>
  <c r="R40" i="4"/>
  <c r="R9" i="4"/>
  <c r="R12" i="4" s="1"/>
  <c r="R44" i="4" s="1"/>
  <c r="U31" i="4"/>
  <c r="Q41" i="4"/>
  <c r="J35" i="4"/>
  <c r="J36" i="4" s="1"/>
  <c r="J43" i="4" s="1"/>
  <c r="Y26" i="4"/>
  <c r="Z25" i="4"/>
  <c r="V14" i="4"/>
  <c r="W14" i="4" s="1"/>
  <c r="R41" i="4" l="1"/>
  <c r="J53" i="4"/>
  <c r="K13" i="4"/>
  <c r="K15" i="4" s="1"/>
  <c r="K16" i="4" s="1"/>
  <c r="K17" i="4" s="1"/>
  <c r="J55" i="4"/>
  <c r="Z26" i="4"/>
  <c r="S9" i="4"/>
  <c r="S12" i="4" s="1"/>
  <c r="S44" i="4" s="1"/>
  <c r="S40" i="4"/>
  <c r="R28" i="4"/>
  <c r="R51" i="4"/>
  <c r="X14" i="4"/>
  <c r="AA25" i="4"/>
  <c r="J59" i="4"/>
  <c r="V31" i="4"/>
  <c r="W31" i="4" s="1"/>
  <c r="T9" i="4" l="1"/>
  <c r="T12" i="4" s="1"/>
  <c r="T44" i="4" s="1"/>
  <c r="T40" i="4"/>
  <c r="AA26" i="4"/>
  <c r="S41" i="4"/>
  <c r="X31" i="4"/>
  <c r="S28" i="4"/>
  <c r="S51" i="4"/>
  <c r="K19" i="4"/>
  <c r="K22" i="4" s="1"/>
  <c r="K34" i="4" s="1"/>
  <c r="Y14" i="4"/>
  <c r="Z14" i="4" s="1"/>
  <c r="AB25" i="4"/>
  <c r="K29" i="4" l="1"/>
  <c r="K30" i="4"/>
  <c r="K32" i="4" s="1"/>
  <c r="T41" i="4"/>
  <c r="AA14" i="4"/>
  <c r="AB14" i="4" s="1"/>
  <c r="AB26" i="4"/>
  <c r="AC25" i="4"/>
  <c r="AD25" i="4" s="1"/>
  <c r="AD26" i="4" s="1"/>
  <c r="Y31" i="4"/>
  <c r="Z31" i="4" s="1"/>
  <c r="U9" i="4"/>
  <c r="U12" i="4" s="1"/>
  <c r="U44" i="4" s="1"/>
  <c r="U40" i="4"/>
  <c r="T28" i="4"/>
  <c r="T51" i="4"/>
  <c r="K35" i="4"/>
  <c r="K36" i="4" s="1"/>
  <c r="K43" i="4" s="1"/>
  <c r="AC14" i="4" l="1"/>
  <c r="AD14" i="4" s="1"/>
  <c r="AE14" i="4" s="1"/>
  <c r="AF14" i="4" s="1"/>
  <c r="U41" i="4"/>
  <c r="K59" i="4"/>
  <c r="AC26" i="4"/>
  <c r="V40" i="4"/>
  <c r="V9" i="4"/>
  <c r="V12" i="4" s="1"/>
  <c r="V44" i="4" s="1"/>
  <c r="K53" i="4"/>
  <c r="K55" i="4"/>
  <c r="L13" i="4"/>
  <c r="L15" i="4" s="1"/>
  <c r="L16" i="4" s="1"/>
  <c r="L17" i="4" s="1"/>
  <c r="AE25" i="4"/>
  <c r="AE26" i="4" s="1"/>
  <c r="U28" i="4"/>
  <c r="U51" i="4"/>
  <c r="AA31" i="4"/>
  <c r="AF25" i="4" l="1"/>
  <c r="AF26" i="4" s="1"/>
  <c r="V28" i="4"/>
  <c r="V51" i="4"/>
  <c r="W9" i="4"/>
  <c r="W12" i="4" s="1"/>
  <c r="W44" i="4" s="1"/>
  <c r="W40" i="4"/>
  <c r="L19" i="4"/>
  <c r="L22" i="4" s="1"/>
  <c r="L34" i="4" s="1"/>
  <c r="AB31" i="4"/>
  <c r="AC31" i="4" s="1"/>
  <c r="V41" i="4"/>
  <c r="L29" i="4" l="1"/>
  <c r="L30" i="4"/>
  <c r="W41" i="4"/>
  <c r="AD31" i="4"/>
  <c r="AE31" i="4" s="1"/>
  <c r="X9" i="4"/>
  <c r="X12" i="4" s="1"/>
  <c r="X44" i="4" s="1"/>
  <c r="X40" i="4"/>
  <c r="L35" i="4"/>
  <c r="L59" i="4" s="1"/>
  <c r="L32" i="4"/>
  <c r="W51" i="4"/>
  <c r="W28" i="4"/>
  <c r="X41" i="4" l="1"/>
  <c r="AF31" i="4"/>
  <c r="Y9" i="4"/>
  <c r="Y12" i="4" s="1"/>
  <c r="Y44" i="4" s="1"/>
  <c r="Y40" i="4"/>
  <c r="L36" i="4"/>
  <c r="L43" i="4" s="1"/>
  <c r="X51" i="4"/>
  <c r="X28" i="4"/>
  <c r="Y41" i="4" l="1"/>
  <c r="M13" i="4"/>
  <c r="M15" i="4" s="1"/>
  <c r="M16" i="4" s="1"/>
  <c r="M17" i="4" s="1"/>
  <c r="L53" i="4"/>
  <c r="L55" i="4"/>
  <c r="Z9" i="4"/>
  <c r="Z12" i="4" s="1"/>
  <c r="Z44" i="4" s="1"/>
  <c r="Z40" i="4"/>
  <c r="Y51" i="4"/>
  <c r="Y28" i="4"/>
  <c r="AA40" i="4" l="1"/>
  <c r="AA9" i="4"/>
  <c r="AA12" i="4" s="1"/>
  <c r="AA44" i="4" s="1"/>
  <c r="M19" i="4"/>
  <c r="M22" i="4" s="1"/>
  <c r="M34" i="4" s="1"/>
  <c r="Z51" i="4"/>
  <c r="Z28" i="4"/>
  <c r="Z41" i="4"/>
  <c r="M29" i="4" l="1"/>
  <c r="M30" i="4"/>
  <c r="M35" i="4" s="1"/>
  <c r="M59" i="4" s="1"/>
  <c r="AA41" i="4"/>
  <c r="M32" i="4"/>
  <c r="AA28" i="4"/>
  <c r="AA51" i="4"/>
  <c r="AB9" i="4"/>
  <c r="AB12" i="4" s="1"/>
  <c r="AB44" i="4" s="1"/>
  <c r="AB40" i="4"/>
  <c r="M36" i="4" l="1"/>
  <c r="M43" i="4" s="1"/>
  <c r="M53" i="4" s="1"/>
  <c r="AB51" i="4"/>
  <c r="AB28" i="4"/>
  <c r="AC9" i="4"/>
  <c r="AC12" i="4" s="1"/>
  <c r="AC44" i="4" s="1"/>
  <c r="AC40" i="4"/>
  <c r="AB41" i="4"/>
  <c r="AC41" i="4" s="1"/>
  <c r="M55" i="4" l="1"/>
  <c r="N13" i="4"/>
  <c r="N15" i="4" s="1"/>
  <c r="N16" i="4" s="1"/>
  <c r="N17" i="4" s="1"/>
  <c r="N19" i="4" s="1"/>
  <c r="N22" i="4" s="1"/>
  <c r="N34" i="4" s="1"/>
  <c r="AC28" i="4"/>
  <c r="AC51" i="4"/>
  <c r="AD40" i="4"/>
  <c r="AD9" i="4"/>
  <c r="AD12" i="4" s="1"/>
  <c r="AD44" i="4" s="1"/>
  <c r="N29" i="4" l="1"/>
  <c r="N30" i="4"/>
  <c r="N32" i="4" s="1"/>
  <c r="AD28" i="4"/>
  <c r="AD51" i="4"/>
  <c r="AE9" i="4"/>
  <c r="AE12" i="4" s="1"/>
  <c r="AE44" i="4" s="1"/>
  <c r="AE40" i="4"/>
  <c r="AD41" i="4"/>
  <c r="AE41" i="4" l="1"/>
  <c r="N35" i="4"/>
  <c r="N59" i="4" s="1"/>
  <c r="AE28" i="4"/>
  <c r="AE51" i="4"/>
  <c r="AF9" i="4"/>
  <c r="AF40" i="4"/>
  <c r="AG40" i="4" s="1"/>
  <c r="N36" i="4" l="1"/>
  <c r="N43" i="4" s="1"/>
  <c r="O13" i="4" s="1"/>
  <c r="O15" i="4" s="1"/>
  <c r="O16" i="4" s="1"/>
  <c r="O17" i="4" s="1"/>
  <c r="O19" i="4" s="1"/>
  <c r="O22" i="4" s="1"/>
  <c r="O34" i="4" s="1"/>
  <c r="AF12" i="4"/>
  <c r="AF44" i="4" s="1"/>
  <c r="AG9" i="4"/>
  <c r="AH24" i="4" s="1"/>
  <c r="AF41" i="4"/>
  <c r="AG41" i="4" s="1"/>
  <c r="O29" i="4" l="1"/>
  <c r="O30" i="4"/>
  <c r="O35" i="4"/>
  <c r="O59" i="4" s="1"/>
  <c r="N55" i="4"/>
  <c r="N53" i="4"/>
  <c r="AF51" i="4"/>
  <c r="AF28" i="4"/>
  <c r="O32" i="4" l="1"/>
  <c r="O36" i="4"/>
  <c r="O43" i="4" s="1"/>
  <c r="O55" i="4" s="1"/>
  <c r="O53" i="4" l="1"/>
  <c r="P13" i="4"/>
  <c r="P15" i="4" s="1"/>
  <c r="P16" i="4" s="1"/>
  <c r="P17" i="4" s="1"/>
  <c r="P19" i="4" l="1"/>
  <c r="P22" i="4" s="1"/>
  <c r="P34" i="4" s="1"/>
  <c r="P29" i="4" l="1"/>
  <c r="P30" i="4"/>
  <c r="P35" i="4" l="1"/>
  <c r="P32" i="4"/>
  <c r="P59" i="4" l="1"/>
  <c r="P36" i="4"/>
  <c r="P43" i="4" s="1"/>
  <c r="P55" i="4" l="1"/>
  <c r="P53" i="4"/>
  <c r="Q13" i="4"/>
  <c r="Q15" i="4" s="1"/>
  <c r="Q16" i="4" s="1"/>
  <c r="Q17" i="4" s="1"/>
  <c r="Q19" i="4" s="1"/>
  <c r="Q22" i="4" s="1"/>
  <c r="Q34" i="4" s="1"/>
  <c r="Q29" i="4" l="1"/>
  <c r="Q30" i="4"/>
  <c r="Q35" i="4" l="1"/>
  <c r="Q32" i="4"/>
  <c r="Q59" i="4" l="1"/>
  <c r="Q36" i="4"/>
  <c r="Q43" i="4" s="1"/>
  <c r="Q55" i="4" l="1"/>
  <c r="R13" i="4"/>
  <c r="R15" i="4" s="1"/>
  <c r="R16" i="4" s="1"/>
  <c r="R17" i="4" s="1"/>
  <c r="R19" i="4" s="1"/>
  <c r="R22" i="4" s="1"/>
  <c r="R34" i="4" s="1"/>
  <c r="Q53" i="4"/>
  <c r="R29" i="4" l="1"/>
  <c r="R30" i="4"/>
  <c r="R32" i="4" l="1"/>
  <c r="R35" i="4"/>
  <c r="R59" i="4" l="1"/>
  <c r="R36" i="4"/>
  <c r="R43" i="4" s="1"/>
  <c r="R53" i="4" l="1"/>
  <c r="S13" i="4"/>
  <c r="S15" i="4" s="1"/>
  <c r="S16" i="4" s="1"/>
  <c r="S17" i="4" s="1"/>
  <c r="S19" i="4" s="1"/>
  <c r="S22" i="4" s="1"/>
  <c r="S34" i="4" s="1"/>
  <c r="S30" i="4" s="1"/>
  <c r="R55" i="4"/>
  <c r="S29" i="4" l="1"/>
  <c r="S35" i="4"/>
  <c r="S32" i="4"/>
  <c r="S59" i="4" l="1"/>
  <c r="S36" i="4"/>
  <c r="S43" i="4" s="1"/>
  <c r="S53" i="4" l="1"/>
  <c r="S55" i="4"/>
  <c r="T13" i="4"/>
  <c r="T15" i="4" s="1"/>
  <c r="T16" i="4" s="1"/>
  <c r="T17" i="4" s="1"/>
  <c r="T19" i="4" s="1"/>
  <c r="T22" i="4" s="1"/>
  <c r="T34" i="4" s="1"/>
  <c r="T29" i="4" l="1"/>
  <c r="T30" i="4"/>
  <c r="T35" i="4"/>
  <c r="T32" i="4"/>
  <c r="T59" i="4" l="1"/>
  <c r="T36" i="4"/>
  <c r="T43" i="4" s="1"/>
  <c r="T53" i="4" l="1"/>
  <c r="U13" i="4"/>
  <c r="U15" i="4" s="1"/>
  <c r="U16" i="4" s="1"/>
  <c r="U17" i="4" s="1"/>
  <c r="U19" i="4" s="1"/>
  <c r="U22" i="4" s="1"/>
  <c r="U34" i="4" s="1"/>
  <c r="T55" i="4"/>
  <c r="U29" i="4" l="1"/>
  <c r="U30" i="4"/>
  <c r="U35" i="4" l="1"/>
  <c r="U32" i="4"/>
  <c r="U59" i="4" l="1"/>
  <c r="U36" i="4"/>
  <c r="U43" i="4" s="1"/>
  <c r="U55" i="4" l="1"/>
  <c r="V13" i="4"/>
  <c r="V15" i="4" s="1"/>
  <c r="V16" i="4" s="1"/>
  <c r="V17" i="4" s="1"/>
  <c r="V19" i="4" s="1"/>
  <c r="V22" i="4" s="1"/>
  <c r="V34" i="4" s="1"/>
  <c r="U53" i="4"/>
  <c r="V29" i="4" l="1"/>
  <c r="V30" i="4"/>
  <c r="V32" i="4" l="1"/>
  <c r="V35" i="4"/>
  <c r="V59" i="4" l="1"/>
  <c r="V36" i="4"/>
  <c r="V43" i="4" s="1"/>
  <c r="W13" i="4" l="1"/>
  <c r="W15" i="4" s="1"/>
  <c r="W16" i="4" s="1"/>
  <c r="W17" i="4" s="1"/>
  <c r="W19" i="4" s="1"/>
  <c r="W22" i="4" s="1"/>
  <c r="W34" i="4" s="1"/>
  <c r="V53" i="4"/>
  <c r="V55" i="4"/>
  <c r="W29" i="4" l="1"/>
  <c r="W30" i="4"/>
  <c r="W35" i="4" l="1"/>
  <c r="W32" i="4"/>
  <c r="W59" i="4" l="1"/>
  <c r="W36" i="4"/>
  <c r="W43" i="4" s="1"/>
  <c r="X13" i="4" l="1"/>
  <c r="X15" i="4" s="1"/>
  <c r="X16" i="4" s="1"/>
  <c r="X17" i="4" s="1"/>
  <c r="X19" i="4" s="1"/>
  <c r="X22" i="4" s="1"/>
  <c r="X34" i="4" s="1"/>
  <c r="W55" i="4"/>
  <c r="W53" i="4"/>
  <c r="X29" i="4" l="1"/>
  <c r="X30" i="4"/>
  <c r="X35" i="4" l="1"/>
  <c r="X32" i="4"/>
  <c r="X36" i="4" l="1"/>
  <c r="X43" i="4" s="1"/>
  <c r="X59" i="4"/>
  <c r="X55" i="4" l="1"/>
  <c r="Y13" i="4"/>
  <c r="Y15" i="4" s="1"/>
  <c r="Y16" i="4" s="1"/>
  <c r="Y17" i="4" s="1"/>
  <c r="Y19" i="4" s="1"/>
  <c r="Y22" i="4" s="1"/>
  <c r="Y34" i="4" s="1"/>
  <c r="X53" i="4"/>
  <c r="Y30" i="4" l="1"/>
  <c r="Y29" i="4"/>
  <c r="Y32" i="4" l="1"/>
  <c r="Y35" i="4"/>
  <c r="Y59" i="4" l="1"/>
  <c r="Y36" i="4"/>
  <c r="Y43" i="4" s="1"/>
  <c r="Z13" i="4" l="1"/>
  <c r="Z15" i="4" s="1"/>
  <c r="Z16" i="4" s="1"/>
  <c r="Z17" i="4" s="1"/>
  <c r="Z19" i="4" s="1"/>
  <c r="Z22" i="4" s="1"/>
  <c r="Z34" i="4" s="1"/>
  <c r="Y53" i="4"/>
  <c r="Y55" i="4"/>
  <c r="Z30" i="4" l="1"/>
  <c r="Z29" i="4"/>
  <c r="Z35" i="4" l="1"/>
  <c r="Z32" i="4"/>
  <c r="Z59" i="4" l="1"/>
  <c r="Z36" i="4"/>
  <c r="Z43" i="4" s="1"/>
  <c r="Z55" i="4" l="1"/>
  <c r="Z53" i="4"/>
  <c r="AA13" i="4"/>
  <c r="AA15" i="4" s="1"/>
  <c r="AA16" i="4" s="1"/>
  <c r="AA17" i="4" s="1"/>
  <c r="AA19" i="4" s="1"/>
  <c r="AA22" i="4" s="1"/>
  <c r="AA34" i="4" s="1"/>
  <c r="AA30" i="4" l="1"/>
  <c r="AA29" i="4"/>
  <c r="AA32" i="4" l="1"/>
  <c r="AA35" i="4"/>
  <c r="AA59" i="4" l="1"/>
  <c r="AA36" i="4"/>
  <c r="AA43" i="4" s="1"/>
  <c r="AA53" i="4" l="1"/>
  <c r="AB13" i="4"/>
  <c r="AB15" i="4" s="1"/>
  <c r="AB16" i="4" s="1"/>
  <c r="AB17" i="4" s="1"/>
  <c r="AB19" i="4" s="1"/>
  <c r="AB22" i="4" s="1"/>
  <c r="AB34" i="4" s="1"/>
  <c r="AA55" i="4"/>
  <c r="AB30" i="4" l="1"/>
  <c r="AB29" i="4"/>
  <c r="AB32" i="4" l="1"/>
  <c r="AB35" i="4"/>
  <c r="AB59" i="4" l="1"/>
  <c r="AB36" i="4"/>
  <c r="AB43" i="4" s="1"/>
  <c r="AB55" i="4" l="1"/>
  <c r="AC13" i="4"/>
  <c r="AC15" i="4" s="1"/>
  <c r="AC16" i="4" s="1"/>
  <c r="AC17" i="4" s="1"/>
  <c r="AC19" i="4" s="1"/>
  <c r="AC22" i="4" s="1"/>
  <c r="AC34" i="4" s="1"/>
  <c r="AB53" i="4"/>
  <c r="AC30" i="4" l="1"/>
  <c r="AC29" i="4"/>
  <c r="AC32" i="4" l="1"/>
  <c r="AC35" i="4"/>
  <c r="AC59" i="4" l="1"/>
  <c r="AC36" i="4"/>
  <c r="AC43" i="4" s="1"/>
  <c r="AD13" i="4" l="1"/>
  <c r="AD15" i="4" s="1"/>
  <c r="AD16" i="4" s="1"/>
  <c r="AD17" i="4" s="1"/>
  <c r="AD19" i="4" s="1"/>
  <c r="AD22" i="4" s="1"/>
  <c r="AD34" i="4" s="1"/>
  <c r="AC53" i="4"/>
  <c r="AC55" i="4"/>
  <c r="AD30" i="4" l="1"/>
  <c r="AD29" i="4"/>
  <c r="AD35" i="4" l="1"/>
  <c r="AD32" i="4"/>
  <c r="AD59" i="4" l="1"/>
  <c r="AD36" i="4"/>
  <c r="AD43" i="4" s="1"/>
  <c r="AD55" i="4" l="1"/>
  <c r="AD53" i="4"/>
  <c r="AE13" i="4"/>
  <c r="AE15" i="4" s="1"/>
  <c r="AE16" i="4" s="1"/>
  <c r="AE17" i="4" s="1"/>
  <c r="AE19" i="4" s="1"/>
  <c r="AE22" i="4" s="1"/>
  <c r="AE34" i="4" s="1"/>
  <c r="AE30" i="4" l="1"/>
  <c r="AE29" i="4"/>
  <c r="AE35" i="4" l="1"/>
  <c r="AE32" i="4"/>
  <c r="AE59" i="4" l="1"/>
  <c r="AE36" i="4"/>
  <c r="AE43" i="4" s="1"/>
  <c r="AF13" i="4" l="1"/>
  <c r="AF15" i="4" s="1"/>
  <c r="AF16" i="4" s="1"/>
  <c r="AF17" i="4" s="1"/>
  <c r="AF19" i="4" s="1"/>
  <c r="AF22" i="4" s="1"/>
  <c r="AF34" i="4" s="1"/>
  <c r="AE53" i="4"/>
  <c r="AE55" i="4"/>
  <c r="AF30" i="4" l="1"/>
  <c r="AF29" i="4"/>
  <c r="D71" i="4"/>
  <c r="AF35" i="4" l="1"/>
  <c r="AF32" i="4"/>
  <c r="AF59" i="4" l="1"/>
  <c r="AF36" i="4"/>
  <c r="AF43" i="4" s="1"/>
  <c r="AF53" i="4" l="1"/>
  <c r="AF55" i="4"/>
  <c r="D77" i="4"/>
  <c r="D70" i="4"/>
  <c r="D78" i="4"/>
  <c r="D72" i="4" l="1"/>
  <c r="E70" i="4"/>
  <c r="E71" i="4" l="1"/>
  <c r="D75" i="4"/>
  <c r="D74" i="4" l="1"/>
  <c r="L42" i="1" s="1"/>
  <c r="E77" i="4"/>
  <c r="H40" i="1"/>
  <c r="D80" i="4"/>
  <c r="E7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Jorge</author>
    <author>Eduardo Ferreira</author>
    <author>Maria Pilar Barrocal Fortunato</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F21" authorId="3" shapeId="0" xr:uid="{2CE66209-3707-41E8-990D-ADC13F916552}">
      <text>
        <r>
          <rPr>
            <sz val="9"/>
            <color indexed="81"/>
            <rFont val="Tahoma"/>
            <family val="2"/>
          </rPr>
          <t>The company doesn't report geographical segments. Most of the revenues are in the USA, and also operates facilities in Mexico and Canada. As such, it operates in the North America market</t>
        </r>
      </text>
    </comment>
    <comment ref="D45" authorId="4"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 ref="I52" authorId="5" shapeId="0" xr:uid="{8B4B8383-6BCB-4692-9534-BCC672D4605A}">
      <text>
        <r>
          <rPr>
            <b/>
            <sz val="9"/>
            <color indexed="81"/>
            <rFont val="Tahoma"/>
            <family val="2"/>
          </rPr>
          <t>Maria Pilar Barrocal Fortunato:</t>
        </r>
        <r>
          <rPr>
            <sz val="9"/>
            <color indexed="81"/>
            <rFont val="Tahoma"/>
            <family val="2"/>
          </rPr>
          <t xml:space="preserve">
Cornerstone Building Brands' Insulated Metal Panels business (2021): $1 billion
Acquisition of Hannibal (2021): $370 million
</t>
        </r>
      </text>
    </comment>
    <comment ref="I53" authorId="5" shapeId="0" xr:uid="{1B447AF6-520E-4C24-A745-FE00457DF092}">
      <text>
        <r>
          <rPr>
            <b/>
            <sz val="9"/>
            <color indexed="81"/>
            <rFont val="Tahoma"/>
            <family val="2"/>
          </rPr>
          <t>Maria Pilar Barrocal Fortunato:</t>
        </r>
        <r>
          <rPr>
            <sz val="9"/>
            <color indexed="81"/>
            <rFont val="Tahoma"/>
            <family val="2"/>
          </rPr>
          <t xml:space="preserve">
C.H.I. Overhead Doors (2022): 3 billion: This acquisition marked Nucor’s entry into the garage door industry, helping it diversify further into building products. 
CSI (2022): $400 million, Nucor used cash on hand to acquire a 51% controlling ownership position in CSI by purchasing a 50% equity interest from a subsidiary of Vale S.A. for a cash purchase price of approximately
</t>
        </r>
      </text>
    </comment>
    <comment ref="I54" authorId="5" shapeId="0" xr:uid="{F08482E4-4D77-44CE-B3A8-6064DD6C27D3}">
      <text>
        <r>
          <rPr>
            <b/>
            <sz val="9"/>
            <color indexed="81"/>
            <rFont val="Tahoma"/>
            <family val="2"/>
          </rPr>
          <t>Maria Pilar Barrocal Fortunato:</t>
        </r>
        <r>
          <rPr>
            <sz val="9"/>
            <color indexed="81"/>
            <rFont val="Tahoma"/>
            <family val="2"/>
          </rPr>
          <t xml:space="preserve">
Elite Storage Solutions (2023): Elite manufactures racking systems for warehouse and distribution facilities, aligning with Nucor's focus on expanding into storage and logistics infrastructure.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Cristina Lin</author>
    <author>tc={A35EF784-24D9-47D0-8BFD-7F7DE71B74D2}</author>
    <author>tc={1CADA163-3680-4D08-BA90-53A3A6EA27B8}</author>
    <author>tc={0E52F09D-F914-4A5A-A77B-F9360DECCD96}</author>
    <author>tc={A1B656D2-D086-4254-892A-47BDCD8946F9}</author>
    <author>tc={06062497-9C1C-4795-B4B6-D1C9FDC1C6EC}</author>
    <author>tc={569F0E55-C9EC-44AC-BBAE-6F7ACC7D7A1C}</author>
  </authors>
  <commentList>
    <comment ref="C5" authorId="0" shapeId="0" xr:uid="{8379465F-4DA0-4AF2-9B7F-EF47FC8274CA}">
      <text>
        <r>
          <rPr>
            <sz val="10"/>
            <rFont val="Arial"/>
            <family val="2"/>
          </rPr>
          <t>The company doesn't report geographical segments. Most of the revenues are in the USA, and also operates facilities in Mexico and Canada. As such, it operates in the North America market.</t>
        </r>
      </text>
    </comment>
    <comment ref="B51" authorId="1" shapeId="0" xr:uid="{A35EF784-24D9-47D0-8BFD-7F7DE71B74D2}">
      <text>
        <t>[Threaded comment]
Your version of Excel allows you to read this threaded comment; however, any edits to it will get removed if the file is opened in a newer version of Excel. Learn more: https://go.microsoft.com/fwlink/?linkid=870924
Comment:
    https://www.precisionbusinessinsights.com/market-reports/steel-market/</t>
      </text>
    </comment>
    <comment ref="D51" authorId="2" shapeId="0" xr:uid="{1CADA163-3680-4D08-BA90-53A3A6EA27B8}">
      <text>
        <t>[Threaded comment]
Your version of Excel allows you to read this threaded comment; however, any edits to it will get removed if the file is opened in a newer version of Excel. Learn more: https://go.microsoft.com/fwlink/?linkid=870924
Comment:
    Market size 2023: $878.2 bn
By product: steel sheets, steel beams, steel bars, others</t>
      </text>
    </comment>
    <comment ref="B52" authorId="3" shapeId="0" xr:uid="{0E52F09D-F914-4A5A-A77B-F9360DECCD96}">
      <text>
        <t>[Threaded comment]
Your version of Excel allows you to read this threaded comment; however, any edits to it will get removed if the file is opened in a newer version of Excel. Learn more: https://go.microsoft.com/fwlink/?linkid=870924
Comment:
    https://www.futuremarketinsights.com/reports/steel-market</t>
      </text>
    </comment>
    <comment ref="D52" authorId="4" shapeId="0" xr:uid="{A1B656D2-D086-4254-892A-47BDCD8946F9}">
      <text>
        <t>[Threaded comment]
Your version of Excel allows you to read this threaded comment; however, any edits to it will get removed if the file is opened in a newer version of Excel. Learn more: https://go.microsoft.com/fwlink/?linkid=870924
Comment:
    USA Market 2023: $271.6 bn
Total Market CAGR: 4.4%
China CAGR: 4.6%
USA CAGR: 3.3%
South Korea: 5.8%</t>
      </text>
    </comment>
    <comment ref="B53" authorId="5" shapeId="0" xr:uid="{06062497-9C1C-4795-B4B6-D1C9FDC1C6EC}">
      <text>
        <t>[Threaded comment]
Your version of Excel allows you to read this threaded comment; however, any edits to it will get removed if the file is opened in a newer version of Excel. Learn more: https://go.microsoft.com/fwlink/?linkid=870924
Comment:
    https://www.marketsandmarkets.com/Market-Reports/iron-steel-market-240207849.html</t>
      </text>
    </comment>
    <comment ref="D53" authorId="6" shapeId="0" xr:uid="{569F0E55-C9EC-44AC-BBAE-6F7ACC7D7A1C}">
      <text>
        <t>[Threaded comment]
Your version of Excel allows you to read this threaded comment; however, any edits to it will get removed if the file is opened in a newer version of Excel. Learn more: https://go.microsoft.com/fwlink/?linkid=870924
Comment:
    This report includes both iron and steel market projections, valued at $1599.4 bn at 2022 and expected to reach $1928.6 bn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Pilar Barrocal Fortunato</author>
  </authors>
  <commentList>
    <comment ref="C78" authorId="0" shapeId="0" xr:uid="{4DD31DC2-6D58-4E67-96E4-4B8C88C26719}">
      <text>
        <r>
          <rPr>
            <b/>
            <sz val="9"/>
            <color indexed="81"/>
            <rFont val="Tahoma"/>
            <family val="2"/>
          </rPr>
          <t>Maria Pilar Barrocal Fortunato:</t>
        </r>
        <r>
          <rPr>
            <sz val="9"/>
            <color indexed="81"/>
            <rFont val="Tahoma"/>
            <family val="2"/>
          </rPr>
          <t xml:space="preserve">
acquisitions
</t>
        </r>
      </text>
    </comment>
    <comment ref="D78" authorId="0" shapeId="0" xr:uid="{F247B52C-E62F-4E19-86A6-14181AB1A81F}">
      <text>
        <r>
          <rPr>
            <b/>
            <sz val="9"/>
            <color indexed="81"/>
            <rFont val="Tahoma"/>
            <family val="2"/>
          </rPr>
          <t>Maria Pilar Barrocal Fortunato:</t>
        </r>
        <r>
          <rPr>
            <sz val="9"/>
            <color indexed="81"/>
            <rFont val="Tahoma"/>
            <family val="2"/>
          </rPr>
          <t xml:space="preserve">
acquisitions
</t>
        </r>
      </text>
    </comment>
    <comment ref="B93" authorId="0" shapeId="0" xr:uid="{1188FF7E-6BF0-448F-8D22-BD5EFEACD48E}">
      <text>
        <r>
          <rPr>
            <b/>
            <sz val="9"/>
            <color indexed="81"/>
            <rFont val="Tahoma"/>
            <family val="2"/>
          </rPr>
          <t>Maria Pilar Barrocal Fortunato:</t>
        </r>
        <r>
          <rPr>
            <sz val="9"/>
            <color indexed="81"/>
            <rFont val="Tahoma"/>
            <family val="2"/>
          </rPr>
          <t xml:space="preserve">
Interest income incresed due to as increase in interest rates and higher level of investments
</t>
        </r>
      </text>
    </comment>
    <comment ref="C136" authorId="0" shapeId="0" xr:uid="{9488DAE4-FD89-4013-A200-6C66ABC04AED}">
      <text>
        <r>
          <rPr>
            <b/>
            <sz val="9"/>
            <color indexed="81"/>
            <rFont val="Tahoma"/>
            <family val="2"/>
          </rPr>
          <t>Maria Pilar Barrocal Fortunato:</t>
        </r>
        <r>
          <rPr>
            <sz val="9"/>
            <color indexed="81"/>
            <rFont val="Tahoma"/>
            <family val="2"/>
          </rPr>
          <t xml:space="preserve">
supply chain normalization, decreased demand (economic uncertainty, interest rates, inflation), end of post pandemic boom , lower prices
</t>
        </r>
      </text>
    </comment>
    <comment ref="E136" authorId="0" shapeId="0" xr:uid="{AEB45278-91FF-4020-90CB-381FCE70E328}">
      <text>
        <r>
          <rPr>
            <b/>
            <sz val="9"/>
            <color indexed="81"/>
            <rFont val="Tahoma"/>
            <family val="2"/>
          </rPr>
          <t xml:space="preserve">Maria Pilar Barrocal Fortunato
</t>
        </r>
        <r>
          <rPr>
            <sz val="9"/>
            <color indexed="81"/>
            <rFont val="Tahoma"/>
            <family val="2"/>
          </rPr>
          <t xml:space="preserve">demand recovery, increased prices and strong internal execution
</t>
        </r>
      </text>
    </comment>
    <comment ref="B220" authorId="0" shapeId="0" xr:uid="{435A8AA0-AE72-409C-A688-79DDBDAE0E78}">
      <text>
        <r>
          <rPr>
            <b/>
            <sz val="9"/>
            <color indexed="81"/>
            <rFont val="Tahoma"/>
            <family val="2"/>
          </rPr>
          <t>Maria Pilar Barrocal Fortunato:</t>
        </r>
        <r>
          <rPr>
            <sz val="9"/>
            <color indexed="81"/>
            <rFont val="Tahoma"/>
            <family val="2"/>
          </rPr>
          <t xml:space="preserve">
 The projects that we anticipate will have the largest capital expenditures in 2024 are the sheet mill expansion in Indiana, the sheet mill under construction in West Virginia, the rebar micro mill under construction in North Carolina and the construction of two manufacturing locations to expand NTS. 
</t>
        </r>
      </text>
    </comment>
    <comment ref="A245" authorId="0" shapeId="0" xr:uid="{D5C2A421-8749-4AE5-9B95-52C96F620490}">
      <text>
        <r>
          <rPr>
            <b/>
            <sz val="9"/>
            <color indexed="81"/>
            <rFont val="Tahoma"/>
            <family val="2"/>
          </rPr>
          <t>Maria Pilar Barrocal Fortunato:</t>
        </r>
        <r>
          <rPr>
            <sz val="9"/>
            <color indexed="81"/>
            <rFont val="Tahoma"/>
            <family val="2"/>
          </rPr>
          <t xml:space="preserve">
ver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tc={3FBD8D92-FF47-4E29-93A6-DB84F938BFA6}</author>
  </authors>
  <commentList>
    <comment ref="A18" authorId="0" shapeId="0" xr:uid="{3FBD8D92-FF47-4E29-93A6-DB84F938BFA6}">
      <text>
        <t>[Threaded comment]
Your version of Excel allows you to read this threaded comment; however, any edits to it will get removed if the file is opened in a newer version of Excel. Learn more: https://go.microsoft.com/fwlink/?linkid=870924
Comment:
    Intially wrong inputs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Leonor Simões</author>
    <author>tc={DACC7167-DA9E-42FC-AADD-151BEBFEF1B3}</author>
    <author>tc={354FFB86-5BF6-4D9E-AF77-EEB75E053955}</author>
  </authors>
  <commentList>
    <comment ref="A8" authorId="0" shapeId="0" xr:uid="{D9C15E50-5EBB-4B51-ABD8-E85F48A3AA38}">
      <text>
        <r>
          <rPr>
            <b/>
            <sz val="9"/>
            <color indexed="81"/>
            <rFont val="Tahoma"/>
            <family val="2"/>
          </rPr>
          <t>Leonor Simões:</t>
        </r>
        <r>
          <rPr>
            <sz val="9"/>
            <color indexed="81"/>
            <rFont val="Tahoma"/>
            <family val="2"/>
          </rPr>
          <t xml:space="preserve">
Earnings before income taxes and noncontrolling interests + Interest (income) expense, net - Losses and impairments of assets + Equity in earnings of unconsolidated affiliates </t>
        </r>
      </text>
    </comment>
    <comment ref="A9" authorId="0" shapeId="0" xr:uid="{1E2C2E7E-42FF-477E-AE77-DD0074643DF8}">
      <text>
        <r>
          <rPr>
            <b/>
            <sz val="9"/>
            <color indexed="81"/>
            <rFont val="Tahoma"/>
            <family val="2"/>
          </rPr>
          <t xml:space="preserve">Leonor Simões
</t>
        </r>
        <r>
          <rPr>
            <sz val="9"/>
            <color indexed="81"/>
            <rFont val="Tahoma"/>
            <family val="2"/>
          </rPr>
          <t xml:space="preserve"> - Equity in earnings of unconsolidated affiliates + Losses and impairments of assets - Earnings attributable to noncontrolling
interests 
</t>
        </r>
      </text>
    </comment>
    <comment ref="B84" authorId="1" shapeId="0" xr:uid="{DACC7167-DA9E-42FC-AADD-151BEBFEF1B3}">
      <text>
        <t xml:space="preserve">[Threaded comment]
Your version of Excel allows you to read this threaded comment; however, any edits to it will get removed if the file is opened in a newer version of Excel. Learn more: https://go.microsoft.com/fwlink/?linkid=870924
Comment:
    10 days average
</t>
      </text>
    </comment>
    <comment ref="B86" authorId="2" shapeId="0" xr:uid="{354FFB86-5BF6-4D9E-AF77-EEB75E053955}">
      <text>
        <t>[Threaded comment]
Your version of Excel allows you to read this threaded comment; however, any edits to it will get removed if the file is opened in a newer version of Excel. Learn more: https://go.microsoft.com/fwlink/?linkid=870924
Comment:
    9/30/2024</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Leonor Simões</author>
  </authors>
  <commentList>
    <comment ref="C11" authorId="0" shapeId="0" xr:uid="{84738585-E866-447F-A408-51CC8D95A89E}">
      <text>
        <r>
          <rPr>
            <b/>
            <sz val="9"/>
            <color indexed="81"/>
            <rFont val="Tahoma"/>
            <family val="2"/>
          </rPr>
          <t>Leonor Simões:</t>
        </r>
        <r>
          <rPr>
            <sz val="9"/>
            <color indexed="81"/>
            <rFont val="Tahoma"/>
            <family val="2"/>
          </rPr>
          <t xml:space="preserve">
Earnings before income taxes and noncontrolling interests + Interest (income) expense, net - Losses and impairments of assets + Equity in earnings of unconsolidated affiliates </t>
        </r>
      </text>
    </comment>
    <comment ref="C12" authorId="0" shapeId="0" xr:uid="{56E64BCA-B5F1-4D24-BFAE-E6F4A6C6A15D}">
      <text>
        <r>
          <rPr>
            <b/>
            <sz val="9"/>
            <color indexed="81"/>
            <rFont val="Tahoma"/>
            <family val="2"/>
          </rPr>
          <t xml:space="preserve">Leonor Simões
</t>
        </r>
        <r>
          <rPr>
            <sz val="9"/>
            <color indexed="81"/>
            <rFont val="Tahoma"/>
            <family val="2"/>
          </rPr>
          <t xml:space="preserve"> - Equity in earnings of unconsolidated affiliates + Losses and impairments of assets - Earnings attributable to noncontrolling
interests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0">
    <bk>
      <extLst>
        <ext uri="{3e2802c4-a4d2-4d8b-9148-e3be6c30e623}">
          <xlrd:rvb i="2"/>
        </ext>
      </extLst>
    </bk>
    <bk>
      <extLst>
        <ext uri="{3e2802c4-a4d2-4d8b-9148-e3be6c30e623}">
          <xlrd:rvb i="3"/>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futureMetadata>
  <futureMetadata name="XLDAPR" count="1">
    <bk>
      <extLst>
        <ext uri="{bdbb8cdc-fa1e-496e-a857-3c3f30c029c3}">
          <xda:dynamicArrayProperties fDynamic="1" fCollapsed="0"/>
        </ext>
      </extLst>
    </bk>
  </futureMetadata>
  <cellMetadata count="1">
    <bk>
      <rc t="2" v="0"/>
    </bk>
  </cell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<sst xmlns="http://schemas.openxmlformats.org/spreadsheetml/2006/main" count="1894" uniqueCount="966">
  <si>
    <t>(Date of last update)</t>
  </si>
  <si>
    <t>Team 1</t>
  </si>
  <si>
    <t>(Date of next Quarter/Annual Report)</t>
  </si>
  <si>
    <t xml:space="preserve">SIC: </t>
  </si>
  <si>
    <t>COMPANY DESCRIPTION</t>
  </si>
  <si>
    <t>CEO &amp; BOARD OF DIRECTORS</t>
  </si>
  <si>
    <t>Nucor Corporation is a manufacturer of steel and steel products, with operating facilities in the United States, Canada and Mexico. Its segments include steel mills, steel products, raw materials, and Nucor Data Systems. The Steel Mills segment produces sheet steel (hot-rolled, cold-rolled and galvanized), plate steel, structural steel (wide-flange beams, beam blanks, H-piling, and sheet piling) and bar steel (blooms, billets, concrete reinforcing bar, merchant bar and engineered special bar quality. The Steel products segment produces steel joists and joist girders, steel deck, galvanized torque tubes used in solar arrays, hollow structural section (HSS) steel tubing, electrical conduit, fabricated concrete reinforcing steel, cold finished steel, and steel fasteners. The Raw materials segment produces direct reduced iron (DRI), brokers ferrous and nonferrous metals, and pig iron. Nucor Data Systems serves its customers in the data center infrastructure industry.</t>
  </si>
  <si>
    <t>Name, Age and Tenure</t>
  </si>
  <si>
    <t>Gender</t>
  </si>
  <si>
    <t>Executive?</t>
  </si>
  <si>
    <t>Other roles</t>
  </si>
  <si>
    <t>Leon J. Topalian, 56,  2020</t>
  </si>
  <si>
    <t>M</t>
  </si>
  <si>
    <t>Y</t>
  </si>
  <si>
    <t>President, CEO &amp; Chairman of the Board</t>
  </si>
  <si>
    <t>Stephen D. Laxton,52 2022</t>
  </si>
  <si>
    <t>CFO, Treasurer &amp; Executive VP</t>
  </si>
  <si>
    <t>David A. Sumoski, 57, 2021</t>
  </si>
  <si>
    <t>N</t>
  </si>
  <si>
    <t>Chief Operating Officer</t>
  </si>
  <si>
    <t>K. Rex Query, 58, 2021</t>
  </si>
  <si>
    <t>Executive Vice President of Sheet, Tubular Products &amp; Talent Resources</t>
  </si>
  <si>
    <t>Norma B. Clayton, 66, 2021</t>
  </si>
  <si>
    <t>W</t>
  </si>
  <si>
    <t>Retired Vice President The Boeing Company</t>
  </si>
  <si>
    <t>Patrick J. Dempsey, 59, 2016</t>
  </si>
  <si>
    <t>Retired President &amp; CEO of Barnes Group Inc.</t>
  </si>
  <si>
    <t>Nicholas C. Gangestad, 56, 2023</t>
  </si>
  <si>
    <t>Senior Vice President &amp; Chief Financial Officer of Rockwell Automation, Inc.</t>
  </si>
  <si>
    <t>Christopher J. Kearney, 68, 2007</t>
  </si>
  <si>
    <t>Lead Director of Nucor Corporation and Retired Chairman, CEO &amp; President SPX FLOW, Inc.</t>
  </si>
  <si>
    <t>Laurette T. Koellner, 69, 2015</t>
  </si>
  <si>
    <t>Retired President of Boeing International</t>
  </si>
  <si>
    <t>Michael W. Lamach, 60, 2022</t>
  </si>
  <si>
    <t>Retired Executive Chair &amp; CEO of Trane Technologies plc</t>
  </si>
  <si>
    <t>Nadja Y. West</t>
  </si>
  <si>
    <t>Lieutenant General, U.S. Army (Retired) &amp; Former Commander of U.S. Army Medical Command</t>
  </si>
  <si>
    <t>COMPANY OVERVIEW</t>
  </si>
  <si>
    <t>Stock</t>
  </si>
  <si>
    <t>Liquidity and Solvency</t>
  </si>
  <si>
    <t>Segments</t>
  </si>
  <si>
    <t>Multiples</t>
  </si>
  <si>
    <t>Last Price</t>
  </si>
  <si>
    <t>Total Assets</t>
  </si>
  <si>
    <t>Regions</t>
  </si>
  <si>
    <t>% Sales</t>
  </si>
  <si>
    <t>Reporting Year</t>
  </si>
  <si>
    <t>Float</t>
  </si>
  <si>
    <t>Outstanding Shares</t>
  </si>
  <si>
    <t>Total Liabilities</t>
  </si>
  <si>
    <t>N/A</t>
  </si>
  <si>
    <t>End of Year</t>
  </si>
  <si>
    <t>Insiders Own</t>
  </si>
  <si>
    <t>Market Cap.</t>
  </si>
  <si>
    <t>Cash/Share</t>
  </si>
  <si>
    <t>EBITDA</t>
  </si>
  <si>
    <t>b (Yahoo)</t>
  </si>
  <si>
    <t>+Total Debt</t>
  </si>
  <si>
    <t>EBITDA/Net Financial Cost (NFC)</t>
  </si>
  <si>
    <t>Depreciation &amp; Amortization</t>
  </si>
  <si>
    <t>Score (S&amp;P)</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</si>
  <si>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</si>
  <si>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</si>
  <si>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</si>
  <si>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</si>
  <si>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</si>
  <si>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</si>
  <si>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</si>
  <si>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</si>
  <si>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</si>
  <si>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</si>
  <si>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</si>
  <si>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</si>
  <si>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</si>
  <si>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</si>
  <si>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</si>
  <si>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</si>
  <si>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</si>
  <si>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</si>
  <si>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</si>
  <si>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Operating Margin (average)</t>
  </si>
  <si>
    <t>ROIC</t>
  </si>
  <si>
    <t>EV/Ebitda (3y average)</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</si>
  <si>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</si>
  <si>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</si>
  <si>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</si>
  <si>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</si>
  <si>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</si>
  <si>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</si>
  <si>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</si>
  <si>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</si>
  <si>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</si>
  <si>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</si>
  <si>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</si>
  <si>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</si>
  <si>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</si>
  <si>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</si>
  <si>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</si>
  <si>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</si>
  <si>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</si>
  <si>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</si>
  <si>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HOLD</t>
  </si>
  <si>
    <t>Check DCF</t>
  </si>
  <si>
    <t>Market Leadership in the Steel Industry</t>
  </si>
  <si>
    <t xml:space="preserve">Nucor is the largest steel producer in the United States, benefiting from economies of scale, a vertically integrated business model, and operational efficiency. </t>
  </si>
  <si>
    <t>Sustainability and Innovation</t>
  </si>
  <si>
    <t xml:space="preserve">Nucor leads the industry in sustainable steel, leveraging electric arc furnace technology to produce steel with one of the lowest carbon footprints in the sector. </t>
  </si>
  <si>
    <t>Diversified Revenue Streams</t>
  </si>
  <si>
    <t>Nucor's product portfolio includes not only raw steel but also value-added steel products, ensuring more stability during fluctuations in specific sectors like automotive or construction.</t>
  </si>
  <si>
    <t>Risks of Investment</t>
  </si>
  <si>
    <t>Price Target</t>
  </si>
  <si>
    <t>Valuation</t>
  </si>
  <si>
    <t>Risk</t>
  </si>
  <si>
    <t>Discount Rate</t>
  </si>
  <si>
    <t>Volatility in Steel Prices</t>
  </si>
  <si>
    <t>Steel prices are highly cyclical, driven by global supply and demand dynamics, drops in steel prices adversely impact Nucor’s margins and revenue</t>
  </si>
  <si>
    <t>Competition from Chinese Steel Producers</t>
  </si>
  <si>
    <t xml:space="preserve">China is the world's largest steel producer and exporter, producing cheaper steel and potentially driving down prices and eroding profit margins. </t>
  </si>
  <si>
    <t>Upside</t>
  </si>
  <si>
    <t>Trade Policies and Tariffs</t>
  </si>
  <si>
    <t>Changes in trade policies, such as the removal of tariffs on imported steel, could increase competition from international producers</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</si>
  <si>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</si>
  <si>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</si>
  <si>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</si>
  <si>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</si>
  <si>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</si>
  <si>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</si>
  <si>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</si>
  <si>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</si>
  <si>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</si>
  <si>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</si>
  <si>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</si>
  <si>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</si>
  <si>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</si>
  <si>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</si>
  <si>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</si>
  <si>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</si>
  <si>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</si>
  <si>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</si>
  <si>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</si>
  <si>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</si>
  <si>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</si>
  <si>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</si>
  <si>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</si>
  <si>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</si>
  <si>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</si>
  <si>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</si>
  <si>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</si>
  <si>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</si>
  <si>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Name</t>
  </si>
  <si>
    <t>% Stake</t>
  </si>
  <si>
    <t>Market Leadership 
Operational Efficiency and Financial Resilience</t>
  </si>
  <si>
    <t xml:space="preserve">Limited International Presence
</t>
  </si>
  <si>
    <t>The Vanguard Group, Inc.</t>
  </si>
  <si>
    <t>State Farm Insurance Companies</t>
  </si>
  <si>
    <t>BlackRock Institutional Trust Company, N.A.</t>
  </si>
  <si>
    <t>State Street Global Advisors (US)</t>
  </si>
  <si>
    <t>Geode Capital Management, L.L.C.</t>
  </si>
  <si>
    <t>Fidelity Management &amp; Research Company LLC</t>
  </si>
  <si>
    <t>Dimensional Fund Advisors, L.P.</t>
  </si>
  <si>
    <t>Capital World Investors</t>
  </si>
  <si>
    <t>Pacer Advisors, Inc.</t>
  </si>
  <si>
    <t>Norges Bank Investment Management (NBIM)</t>
  </si>
  <si>
    <t>Opportunities</t>
  </si>
  <si>
    <t>Risks</t>
  </si>
  <si>
    <t>Northern Trust Investments, Inc.</t>
  </si>
  <si>
    <t>International Expansion
Environmental and Sustainable Initiatives</t>
  </si>
  <si>
    <t>Recessions and Global Economic Fluctuations; 
Inflation and Rising Operational Costs; 
Intense Competition in the Domestic and International Markets</t>
  </si>
  <si>
    <t>BlackRock Investment Management (UK) Ltd.</t>
  </si>
  <si>
    <t>T. Rowe Price International Ltd</t>
  </si>
  <si>
    <t>Legal &amp; General Investment Management Ltd.</t>
  </si>
  <si>
    <t>BlackRock Asset Management Ireland Limited</t>
  </si>
  <si>
    <t>First Trust Advisors L.P.</t>
  </si>
  <si>
    <t>Invesco Capital Management LLC</t>
  </si>
  <si>
    <t>Charles Schwab Investment Management, Inc.</t>
  </si>
  <si>
    <t>Nordea Funds Oy</t>
  </si>
  <si>
    <t>TOTAL</t>
  </si>
  <si>
    <t>NOTES</t>
  </si>
  <si>
    <t>STOCK PERFORMANCE (5 years)</t>
  </si>
  <si>
    <t>Products</t>
  </si>
  <si>
    <t>Nominal value</t>
  </si>
  <si>
    <t>YoY Growth</t>
  </si>
  <si>
    <t>Weight</t>
  </si>
  <si>
    <t>Region</t>
  </si>
  <si>
    <t>NA</t>
  </si>
  <si>
    <t>Category</t>
  </si>
  <si>
    <t>Steel mills</t>
  </si>
  <si>
    <t>Steel products</t>
  </si>
  <si>
    <t>Raw materials</t>
  </si>
  <si>
    <t>Graphs</t>
  </si>
  <si>
    <t>% of Sales</t>
  </si>
  <si>
    <t>Description</t>
  </si>
  <si>
    <t>Production of sheet steel, plate steel, structural steel and others mainly from scrap steel</t>
  </si>
  <si>
    <t>Steel structures ready to deliver to consumer markets, such as metal builoding systems, insulated metal panels, structures for communications and energy transmission, steel mesh and fasteners, etc.</t>
  </si>
  <si>
    <t>Raw Materials</t>
  </si>
  <si>
    <t>Scrap recycling and brokerage operations, direct reduced iron operations (focused providing value for steelmaking operations rather selling)</t>
  </si>
  <si>
    <t>Industry</t>
  </si>
  <si>
    <t>Graphs (Industry Forecasts)</t>
  </si>
  <si>
    <t>Drivers</t>
  </si>
  <si>
    <t>Urbanization and infrastructure</t>
  </si>
  <si>
    <t>Increasing demand for steel in urban housing and infrastructure projects</t>
  </si>
  <si>
    <t xml:space="preserve">Automotive industry </t>
  </si>
  <si>
    <t>Rising demand for lightweight, durable and costumised steel products in electrict vehicles</t>
  </si>
  <si>
    <t>Sales forecast</t>
  </si>
  <si>
    <t>Source</t>
  </si>
  <si>
    <t>Market Growth CAGR</t>
  </si>
  <si>
    <t>Period</t>
  </si>
  <si>
    <t>Precision Business Insights</t>
  </si>
  <si>
    <t>2024-2030</t>
  </si>
  <si>
    <t>Future Market Insights</t>
  </si>
  <si>
    <t>2023-2033</t>
  </si>
  <si>
    <t>Markets and Markets</t>
  </si>
  <si>
    <t>2022-2027</t>
  </si>
  <si>
    <t>Average</t>
  </si>
  <si>
    <t>Company's Strategy / Extra Notes</t>
  </si>
  <si>
    <t>The company is divisting from it's steel meels segment and shifting to steel products, which have a higher margin and growth expectations given the growth in Evs, datacenters, renewable energy, and others. This is complemented with strategic acquisitions as a way of gaining exposure to these businesses.</t>
  </si>
  <si>
    <r>
      <rPr>
        <b/>
        <u/>
        <sz val="10"/>
        <rFont val="Arial"/>
        <family val="2"/>
      </rPr>
      <t>Note</t>
    </r>
    <r>
      <rPr>
        <sz val="10"/>
        <rFont val="Arial"/>
        <family val="2"/>
      </rPr>
      <t>: precision business insights is the one that best reflects the market for Nucor's products, while others refer to the whole steel industry</t>
    </r>
  </si>
  <si>
    <t>Assets</t>
  </si>
  <si>
    <t>Assets Turnover</t>
  </si>
  <si>
    <t>Depreciation expense</t>
  </si>
  <si>
    <t>Corporate</t>
  </si>
  <si>
    <t>Amortization</t>
  </si>
  <si>
    <t>Extra notes: China accounts for over half the global steel consumption, and it's the largest producer.</t>
  </si>
  <si>
    <t xml:space="preserve">Company got exposure to automotive market by acquiring a 50% stake in NuMit, through which processes the flat steel products into costumer </t>
  </si>
  <si>
    <t>specified needs (applicable to several industries such as automotive, agricultural, consumer goods and ohters)</t>
  </si>
  <si>
    <r>
      <rPr>
        <b/>
        <u/>
        <sz val="10"/>
        <rFont val="Arial"/>
        <family val="2"/>
      </rPr>
      <t>Takeaway:</t>
    </r>
    <r>
      <rPr>
        <sz val="10"/>
        <rFont val="Arial"/>
        <family val="2"/>
      </rPr>
      <t xml:space="preserve"> The company is increasing it's exposure to steel products while decrease steel mills</t>
    </r>
  </si>
  <si>
    <t>over the years</t>
  </si>
  <si>
    <t>Invertir</t>
  </si>
  <si>
    <t>NO invertir</t>
  </si>
  <si>
    <t>Mantener sin elevar posición</t>
  </si>
  <si>
    <t>Mantener (y seguir comprando)</t>
  </si>
  <si>
    <t>Liquidar</t>
  </si>
  <si>
    <t>PENDIENTE</t>
  </si>
  <si>
    <t>Peer Logo</t>
  </si>
  <si>
    <t>Peer Name</t>
  </si>
  <si>
    <t>One of the largest U.S. steel producers and metal recyclers, founded in 1993 and headquartered in Fort Wayne, Indiana. The company operates through steel production, metals recycling, and steel fabrication, serving industries like automotive and construction. Known for its sustainability efforts, SDI uses Electric Arc Furnace (EAF) technology to recycle scrap steel, reducing environmental impact. Its vertically integrated structure ensures efficiency across its supply chain, while OmniSource, its metals recycling arm, is one of North America's largest. SDI emphasizes innovation, safety, and environmental responsibility.</t>
  </si>
  <si>
    <t>Founded in 1901, U.S. Steel is one of the largest steel producers in the U.S., headquartered in Pittsburgh, Pennsylvania. It operates integrated steel mills and produces a variety of steel products for industries such as automotive, construction, and energy. U.S. Steel is focused on innovation and sustainability, including the use of advanced manufacturing processes and clean energy solutions. The company is known for its legacy as a key player in America's industrial growth and its ongoing commitment to sustainable steelmaking practices.</t>
  </si>
  <si>
    <t>Founded in 1915 and headquartered in Irving, Texas, is a global leader in recycling, manufacturing, and fabricating steel and metal products. CMC operates through a network of steel mills, recycling facilities, and fabrication plants, primarily serving construction, infrastructure, and industrial markets. With a focus on sustainability, CMC heavily relies on Electric Arc Furnace (EAF) technology to recycle scrap metal into new steel products, reducing environmental impact and promoting resource efficiency.</t>
  </si>
  <si>
    <t>Founded in 1847 and headquartered in Cleveland, Ohio, is the largest flat-rolled steel producer and iron ore pellet supplier in North America. Originally focused on mining, the company expanded into steel production through acquisitions of AK Steel and ArcelorMittal USA. Cleveland-Cliffs is vertically integrated, from mining raw materials to producing steel for the automotive, infrastructure, and manufacturing industries. The company emphasizes sustainability, innovation, and reducing carbon emissions through advanced steelmaking technologies.</t>
  </si>
  <si>
    <t>In Millions USD</t>
  </si>
  <si>
    <t>AVERAGE</t>
  </si>
  <si>
    <t>Deviation from Average</t>
  </si>
  <si>
    <t>Company Info</t>
  </si>
  <si>
    <t>TRAFFIC</t>
  </si>
  <si>
    <t>Market Cap</t>
  </si>
  <si>
    <t>Best Value</t>
  </si>
  <si>
    <t>Net Sales (current)</t>
  </si>
  <si>
    <t>Profitability</t>
  </si>
  <si>
    <t>Important Value</t>
  </si>
  <si>
    <t>Sales Growth (ttm)</t>
  </si>
  <si>
    <t>Sales Growth (36m)</t>
  </si>
  <si>
    <t>Worst Value</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</si>
  <si>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</si>
  <si>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</si>
  <si>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</si>
  <si>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</si>
  <si>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</si>
  <si>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</si>
  <si>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</si>
  <si>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</si>
  <si>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</si>
  <si>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</si>
  <si>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</si>
  <si>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</si>
  <si>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</si>
  <si>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</si>
  <si>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</si>
  <si>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</si>
  <si>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</si>
  <si>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</si>
  <si>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</si>
  <si>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</si>
  <si>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</si>
  <si>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</si>
  <si>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</si>
  <si>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</si>
  <si>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</si>
  <si>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</si>
  <si>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</si>
  <si>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Average Target Price</t>
  </si>
  <si>
    <t>Upside/Downside</t>
  </si>
  <si>
    <t>Extra</t>
  </si>
  <si>
    <t>3y Operating Cash Flow</t>
  </si>
  <si>
    <t>R&amp;D/Net Sales</t>
  </si>
  <si>
    <t>Financial Data</t>
  </si>
  <si>
    <t>IS</t>
  </si>
  <si>
    <t>Net Sales (36m ago)</t>
  </si>
  <si>
    <t>Net Sales (12m ago)</t>
  </si>
  <si>
    <t>COGS</t>
  </si>
  <si>
    <t>Operating Income</t>
  </si>
  <si>
    <t>Net Financial Cost</t>
  </si>
  <si>
    <t>Taxes</t>
  </si>
  <si>
    <t>R&amp;D</t>
  </si>
  <si>
    <t>BS</t>
  </si>
  <si>
    <t>Cash &amp; Eq.</t>
  </si>
  <si>
    <t>Acc. Receivables</t>
  </si>
  <si>
    <t>Inventory</t>
  </si>
  <si>
    <t>Current Assets</t>
  </si>
  <si>
    <t>Fixed Assets</t>
  </si>
  <si>
    <t>Acc. Payable</t>
  </si>
  <si>
    <t>Current Liabilities</t>
  </si>
  <si>
    <t>Total Debt</t>
  </si>
  <si>
    <t>Total Equity</t>
  </si>
  <si>
    <t>Company GICS Sector:</t>
  </si>
  <si>
    <t>Yes</t>
  </si>
  <si>
    <t>Materials</t>
  </si>
  <si>
    <t>&lt;- Select Industry</t>
  </si>
  <si>
    <t>No</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</si>
  <si>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</si>
  <si>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</si>
  <si>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</si>
  <si>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</si>
  <si>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</si>
  <si>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</si>
  <si>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</si>
  <si>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</si>
  <si>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</si>
  <si>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</si>
  <si>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</si>
  <si>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</si>
  <si>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</si>
  <si>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</si>
  <si>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Medium</t>
  </si>
  <si>
    <t>CO2 Emissions/$M Sales</t>
  </si>
  <si>
    <t>Total Water Consumption</t>
  </si>
  <si>
    <t>Medium High</t>
  </si>
  <si>
    <t>Water Consumption/$M Sales</t>
  </si>
  <si>
    <t>CO2 Emissions Total (Tonnes)</t>
  </si>
  <si>
    <t>Total Energy Consumption</t>
  </si>
  <si>
    <t>Energy Consumption/$M Sales</t>
  </si>
  <si>
    <t>Water Consumption Total (Cubic Meters)</t>
  </si>
  <si>
    <t>Waste Management</t>
  </si>
  <si>
    <t>Waste Production/$M Sales</t>
  </si>
  <si>
    <t>Energy Consumption Total (Gigajoules)</t>
  </si>
  <si>
    <t>--</t>
  </si>
  <si>
    <t>Land Degradation/Deforestation/Biodiversity loss/Animal sufering/…</t>
  </si>
  <si>
    <t>Inputs</t>
  </si>
  <si>
    <t>Waste Production Total (Tonnes)</t>
  </si>
  <si>
    <t>Social</t>
  </si>
  <si>
    <t>Net Sales ($M)</t>
  </si>
  <si>
    <t>Employee Turnover %</t>
  </si>
  <si>
    <t>Salaries &amp; Compensation</t>
  </si>
  <si>
    <t>Reputation</t>
  </si>
  <si>
    <t>Discrimination Events</t>
  </si>
  <si>
    <t>Work Safety</t>
  </si>
  <si>
    <t>ESG Scores</t>
  </si>
  <si>
    <t>Damage to consumer health</t>
  </si>
  <si>
    <t>Refinitiv</t>
  </si>
  <si>
    <t>54 (55/66/35)</t>
  </si>
  <si>
    <t>59 (65/45/73)</t>
  </si>
  <si>
    <t>60 (62/63/53)</t>
  </si>
  <si>
    <t>71 (74/68/74)</t>
  </si>
  <si>
    <t>67 (71/55/83)</t>
  </si>
  <si>
    <t>PXP?</t>
  </si>
  <si>
    <t>Sustainalytics</t>
  </si>
  <si>
    <t>31.9 (high risk)</t>
  </si>
  <si>
    <t>31.5 (high risk)</t>
  </si>
  <si>
    <t>33.1 (high risk)</t>
  </si>
  <si>
    <t>25.9 (medium risk)</t>
  </si>
  <si>
    <t>36.6 (high risk)</t>
  </si>
  <si>
    <t>Supply chain</t>
  </si>
  <si>
    <t>ISS</t>
  </si>
  <si>
    <t>C</t>
  </si>
  <si>
    <t>C-</t>
  </si>
  <si>
    <t>B-</t>
  </si>
  <si>
    <t>C+</t>
  </si>
  <si>
    <t>Community involvement</t>
  </si>
  <si>
    <t>CDP</t>
  </si>
  <si>
    <t>F/D</t>
  </si>
  <si>
    <t>F/B-</t>
  </si>
  <si>
    <t>B/A-</t>
  </si>
  <si>
    <t>F/F</t>
  </si>
  <si>
    <t>B/B</t>
  </si>
  <si>
    <t>Public Sector</t>
  </si>
  <si>
    <t>Litigation</t>
  </si>
  <si>
    <t>Corporate Governance</t>
  </si>
  <si>
    <t>PARAMETERS</t>
  </si>
  <si>
    <t>Diversity (Gender, Age, Industry, Region)</t>
  </si>
  <si>
    <t>IMPACT</t>
  </si>
  <si>
    <t>RANKING</t>
  </si>
  <si>
    <t>MITIGATION PLAN</t>
  </si>
  <si>
    <t>% Independence</t>
  </si>
  <si>
    <t>Low</t>
  </si>
  <si>
    <t>"Best in class"</t>
  </si>
  <si>
    <t>Is there evidence of a plan/program ?</t>
  </si>
  <si>
    <t>average time as independent directors</t>
  </si>
  <si>
    <t>Recent departures of directors / C-level executives?</t>
  </si>
  <si>
    <t>High</t>
  </si>
  <si>
    <t>CEO/Chairman duality</t>
  </si>
  <si>
    <t>Very high</t>
  </si>
  <si>
    <t>"Villain"</t>
  </si>
  <si>
    <t>Transparency (ESG, segments, acquisitions, other)</t>
  </si>
  <si>
    <t>Time taken to report after the end of the quarter / year</t>
  </si>
  <si>
    <t>Additional participation of the CEO in other boards or excessive participation of Ch.</t>
  </si>
  <si>
    <t>Audit / Consulting</t>
  </si>
  <si>
    <t>ESG-compensation related</t>
  </si>
  <si>
    <t>Management compensation schemes</t>
  </si>
  <si>
    <t>VALUATION MODEL</t>
  </si>
  <si>
    <t>Short Term</t>
  </si>
  <si>
    <t>Long Term</t>
  </si>
  <si>
    <t>Section</t>
  </si>
  <si>
    <t>Line #</t>
  </si>
  <si>
    <t>ITEM</t>
  </si>
  <si>
    <t>2021 (Real)</t>
  </si>
  <si>
    <t>2022 (Real)</t>
  </si>
  <si>
    <t>2023 (Real)</t>
  </si>
  <si>
    <t>INCOME STATEMENT</t>
  </si>
  <si>
    <t>Growth</t>
  </si>
  <si>
    <t>Revenues/Sales</t>
  </si>
  <si>
    <t>EBIT/Operating Margin</t>
  </si>
  <si>
    <t>5a</t>
  </si>
  <si>
    <t>(Dep)</t>
  </si>
  <si>
    <t>5b</t>
  </si>
  <si>
    <t>(Amort)</t>
  </si>
  <si>
    <t>5c</t>
  </si>
  <si>
    <t>(Stock based compensation)</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</si>
  <si>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</si>
  <si>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</si>
  <si>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</si>
  <si>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</si>
  <si>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</si>
  <si>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</si>
  <si>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</si>
  <si>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</si>
  <si>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</si>
  <si>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</si>
  <si>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</si>
  <si>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</si>
  <si>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</si>
  <si>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</si>
  <si>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</si>
  <si>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</si>
  <si>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</si>
  <si>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</si>
  <si>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</si>
  <si>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</si>
  <si>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</si>
  <si>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</si>
  <si>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</si>
  <si>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</si>
  <si>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</si>
  <si>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</si>
  <si>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</si>
  <si>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amortization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</si>
  <si>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</si>
  <si>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</si>
  <si>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</si>
  <si>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</si>
  <si>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</si>
  <si>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</si>
  <si>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</si>
  <si>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</si>
  <si>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</si>
  <si>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</si>
  <si>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</si>
  <si>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</si>
  <si>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</si>
  <si>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</si>
  <si>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Implied DEBT/EBITDA</t>
  </si>
  <si>
    <t>Modelling factors</t>
  </si>
  <si>
    <t>Reference (line)</t>
  </si>
  <si>
    <t>Depreciation factor</t>
  </si>
  <si>
    <t>Cash/Operational Costs</t>
  </si>
  <si>
    <t>Amortization factor</t>
  </si>
  <si>
    <t>Stock-based comp</t>
  </si>
  <si>
    <t>Cash/Sales</t>
  </si>
  <si>
    <t>Tax Rate</t>
  </si>
  <si>
    <t>Interest Rate on debt</t>
  </si>
  <si>
    <t>Long-term CAGR</t>
  </si>
  <si>
    <t>Interest Rate on cash</t>
  </si>
  <si>
    <t>PPE+ROA</t>
  </si>
  <si>
    <t>return to shareholders</t>
  </si>
  <si>
    <t>Working capital flows</t>
  </si>
  <si>
    <t>% Revenue</t>
  </si>
  <si>
    <t>Intangible Assets</t>
  </si>
  <si>
    <t>Capex</t>
  </si>
  <si>
    <t>Acquisition factor</t>
  </si>
  <si>
    <t>Repurchases</t>
  </si>
  <si>
    <t>Leases</t>
  </si>
  <si>
    <t>Debt Schedule</t>
  </si>
  <si>
    <t>$ millions</t>
  </si>
  <si>
    <t>Value of flows</t>
  </si>
  <si>
    <t>Value of perpetuity</t>
  </si>
  <si>
    <t>Total Value</t>
  </si>
  <si>
    <t>Actual share price</t>
  </si>
  <si>
    <t>Total value vs Mkt Cap</t>
  </si>
  <si>
    <t>Estimated NPV per share</t>
  </si>
  <si>
    <t>Sensibility</t>
  </si>
  <si>
    <t>Sensitivity +0.1%</t>
  </si>
  <si>
    <t>Sensitivity +0.5%</t>
  </si>
  <si>
    <t>Notes</t>
  </si>
  <si>
    <t>Price where it'd be a "BUY"</t>
  </si>
  <si>
    <t>Assumptions</t>
  </si>
  <si>
    <t>Prospects:</t>
  </si>
  <si>
    <t>Links:</t>
  </si>
  <si>
    <t xml:space="preserve">10Y Average </t>
  </si>
  <si>
    <t xml:space="preserve">5Y Average </t>
  </si>
  <si>
    <t xml:space="preserve">3Y Average </t>
  </si>
  <si>
    <t>Short Term Forecast</t>
  </si>
  <si>
    <t>Long Term Forecast</t>
  </si>
  <si>
    <t>Revenue growth</t>
  </si>
  <si>
    <t>Modelling Factors</t>
  </si>
  <si>
    <t>Last 6 Years</t>
  </si>
  <si>
    <t xml:space="preserve">Average </t>
  </si>
  <si>
    <t>Reference</t>
  </si>
  <si>
    <t>% PPE</t>
  </si>
  <si>
    <t>% IA</t>
  </si>
  <si>
    <t>% EBT</t>
  </si>
  <si>
    <t>% Debt</t>
  </si>
  <si>
    <t xml:space="preserve">% Cash </t>
  </si>
  <si>
    <t>- -</t>
  </si>
  <si>
    <t>Growing with CAPEX</t>
  </si>
  <si>
    <t xml:space="preserve">% Change in Revenues </t>
  </si>
  <si>
    <t>Growing with Amortization</t>
  </si>
  <si>
    <t xml:space="preserve">CAPEX </t>
  </si>
  <si>
    <t>% Cash before shareholder returns</t>
  </si>
  <si>
    <t xml:space="preserve">% Cash before shareholder returns </t>
  </si>
  <si>
    <t>% EBITDA</t>
  </si>
  <si>
    <t>Forecasts</t>
  </si>
  <si>
    <t>Gross Profit</t>
  </si>
  <si>
    <t xml:space="preserve">Crude oil prices </t>
  </si>
  <si>
    <t>Correl</t>
  </si>
  <si>
    <t>NYSE Amercian Steel Index</t>
  </si>
  <si>
    <t>1Q</t>
  </si>
  <si>
    <t>2Q</t>
  </si>
  <si>
    <t>3Q</t>
  </si>
  <si>
    <t>4Q</t>
  </si>
  <si>
    <t xml:space="preserve">average </t>
  </si>
  <si>
    <t>US motor vehicle production (million units)</t>
  </si>
  <si>
    <t>Non residential construction spending in the U.S. (millions $)</t>
  </si>
  <si>
    <t>Q1</t>
  </si>
  <si>
    <t>Q2</t>
  </si>
  <si>
    <t>Q3</t>
  </si>
  <si>
    <t>Q4</t>
  </si>
  <si>
    <t>MF</t>
  </si>
  <si>
    <t xml:space="preserve">Stock-based compensation </t>
  </si>
  <si>
    <t>SBC</t>
  </si>
  <si>
    <t>%revenues</t>
  </si>
  <si>
    <t>Goodwill is not amortized</t>
  </si>
  <si>
    <t xml:space="preserve">Amortization </t>
  </si>
  <si>
    <t>Estimated amortization</t>
  </si>
  <si>
    <t>Gross IA</t>
  </si>
  <si>
    <t>Am factor</t>
  </si>
  <si>
    <t>IA growing 0,5% a year</t>
  </si>
  <si>
    <t>Depreciation</t>
  </si>
  <si>
    <t>Gross PPE</t>
  </si>
  <si>
    <t>%PPE</t>
  </si>
  <si>
    <t xml:space="preserve">Interest  </t>
  </si>
  <si>
    <t>debt</t>
  </si>
  <si>
    <t xml:space="preserve">Interest income </t>
  </si>
  <si>
    <t xml:space="preserve">Cash </t>
  </si>
  <si>
    <t>(Increase) decrease in accounts receivable</t>
  </si>
  <si>
    <t>(Increase) decrease in inventories</t>
  </si>
  <si>
    <t>Decrease (increase) in other current assets</t>
  </si>
  <si>
    <t>Increase (decrease) in accounts payable</t>
  </si>
  <si>
    <t xml:space="preserve">Increase (decrease) in accrued expenses </t>
  </si>
  <si>
    <t>SALES FORECAST</t>
  </si>
  <si>
    <t>average</t>
  </si>
  <si>
    <t>Sales</t>
  </si>
  <si>
    <t>YoY</t>
  </si>
  <si>
    <t xml:space="preserve">Sales volume </t>
  </si>
  <si>
    <t>Sales per volume</t>
  </si>
  <si>
    <t xml:space="preserve">Revenue growth </t>
  </si>
  <si>
    <t>Average sales price per ton</t>
  </si>
  <si>
    <t>2018</t>
  </si>
  <si>
    <t>2022</t>
  </si>
  <si>
    <t>2021</t>
  </si>
  <si>
    <t>2020</t>
  </si>
  <si>
    <t>2019</t>
  </si>
  <si>
    <t>2023</t>
  </si>
  <si>
    <t>2024(FWD)</t>
  </si>
  <si>
    <t>2025(FWD)</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</si>
  <si>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</si>
  <si>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</si>
  <si>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</si>
  <si>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</si>
  <si>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</si>
  <si>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</si>
  <si>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</si>
  <si>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</si>
  <si>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</si>
  <si>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</si>
  <si>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</si>
  <si>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</si>
  <si>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</si>
  <si>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</si>
  <si>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</si>
  <si>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</si>
  <si>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</si>
  <si>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</si>
  <si>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</si>
  <si>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</si>
  <si>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</si>
  <si>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</si>
  <si>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</si>
  <si>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</si>
  <si>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sales volume</t>
  </si>
  <si>
    <t>Average sales price/ton</t>
  </si>
  <si>
    <t xml:space="preserve">Average sales price </t>
  </si>
  <si>
    <t xml:space="preserve">sales volume </t>
  </si>
  <si>
    <t xml:space="preserve">average sales price </t>
  </si>
  <si>
    <t>3Y Average</t>
  </si>
  <si>
    <t>Cost of revenues</t>
  </si>
  <si>
    <t>Gross profit</t>
  </si>
  <si>
    <t>% of net sales</t>
  </si>
  <si>
    <t>Marketing, admin and other</t>
  </si>
  <si>
    <t>Other income expense</t>
  </si>
  <si>
    <t>The company's selling prices are positively correlated with steel prices, allowing it to pass through cost increases to customers. However, higher iron prices also drive up raw material costs, partially offsetting the pricing benefit.</t>
  </si>
  <si>
    <t>correl</t>
  </si>
  <si>
    <t>See forecast for crude oil price</t>
  </si>
  <si>
    <t>See forecast for volume sales</t>
  </si>
  <si>
    <t>See forecast for steel prices</t>
  </si>
  <si>
    <t>DEBT</t>
  </si>
  <si>
    <t>Interest rate: combination of fixed (80%) and variable rate debt (20%)</t>
  </si>
  <si>
    <t>Future changes in interest rates are not expected to significantly impact earnings.</t>
  </si>
  <si>
    <t>Rate</t>
  </si>
  <si>
    <t>Notes due</t>
  </si>
  <si>
    <t xml:space="preserve">Notes due </t>
  </si>
  <si>
    <t>debt projections will largely depend on capital investments, strategic acquisitions, and overall industry trends, particularly in steel demand and pricing. Nucor has maintained a conservative approach to leverage</t>
  </si>
  <si>
    <t>Total debt</t>
  </si>
  <si>
    <t>Average excluding 2020</t>
  </si>
  <si>
    <t>Sort term forecast</t>
  </si>
  <si>
    <t>Long term forecast</t>
  </si>
  <si>
    <t xml:space="preserve">as % EBITDA </t>
  </si>
  <si>
    <t>CAPEX</t>
  </si>
  <si>
    <t xml:space="preserve">Revenue </t>
  </si>
  <si>
    <t>CAPEX as % of revenues</t>
  </si>
  <si>
    <t xml:space="preserve">The projects that we anticipate will have the largest capital expenditures in 2024 are the sheet mill expansion in Indiana, the sheet mill under construction in West Virginia, the rebar micro mill under construction in North Carolina and the construction of two manufacturing locations to expand NTS. </t>
  </si>
  <si>
    <t>Short term forecast</t>
  </si>
  <si>
    <t>Variation</t>
  </si>
  <si>
    <t xml:space="preserve">Stock repurchases </t>
  </si>
  <si>
    <t xml:space="preserve">Repurchases </t>
  </si>
  <si>
    <t>Dividend</t>
  </si>
  <si>
    <t>Cash before Shareholder returns</t>
  </si>
  <si>
    <t>% Cash before chareholder returns</t>
  </si>
  <si>
    <t>Variation in NWC</t>
  </si>
  <si>
    <t>Excluding 2021</t>
  </si>
  <si>
    <t>ST</t>
  </si>
  <si>
    <t>LG</t>
  </si>
  <si>
    <t>Historical Data</t>
  </si>
  <si>
    <t>Averages</t>
  </si>
  <si>
    <t>Standard deviation</t>
  </si>
  <si>
    <t>Forecast</t>
  </si>
  <si>
    <t>Revenue</t>
  </si>
  <si>
    <t>chagens in revenue</t>
  </si>
  <si>
    <t>In 2021, the non-recurring factors caused by lock-downs and supply-chain issues caused the high levels of outflows in accounts receivables and inventories</t>
  </si>
  <si>
    <t>Changes in Operating assets and liabilities</t>
  </si>
  <si>
    <t>Accounts receivables</t>
  </si>
  <si>
    <t>% of revenue</t>
  </si>
  <si>
    <t>Inventories</t>
  </si>
  <si>
    <t>Accounts payables</t>
  </si>
  <si>
    <t>Federal income taxes</t>
  </si>
  <si>
    <t>Salaries</t>
  </si>
  <si>
    <t>Other operating activities</t>
  </si>
  <si>
    <t xml:space="preserve">Changes in NWC </t>
  </si>
  <si>
    <t>% of changes in revenue</t>
  </si>
  <si>
    <t>"AR increased 1.39bn$ due to a 100% increase in composite sales price"</t>
  </si>
  <si>
    <t>"Inventories outflow of 2.41bn$ derives from 19% increase in inventory tons and a 47% increase in the average scrap and scrap substitutes cost per ton in inventory)</t>
  </si>
  <si>
    <t>Acquisitions (net of cash acquired)</t>
  </si>
  <si>
    <t>% of revenues</t>
  </si>
  <si>
    <t>Purchase of investments</t>
  </si>
  <si>
    <t>Sale of investments</t>
  </si>
  <si>
    <t>Investments (net)</t>
  </si>
  <si>
    <t>% of sales</t>
  </si>
  <si>
    <t>Acquisitions and investments (net)</t>
  </si>
  <si>
    <t>Results</t>
  </si>
  <si>
    <t>Growth vs. Previous year</t>
  </si>
  <si>
    <t>% over sales</t>
  </si>
  <si>
    <t>Operating expenses</t>
  </si>
  <si>
    <t xml:space="preserve">     Growth vs. Previous year</t>
  </si>
  <si>
    <t>Other Expenses (Revenues)</t>
  </si>
  <si>
    <t>Changes Net Working Capital</t>
  </si>
  <si>
    <t>EBITDA Margin</t>
  </si>
  <si>
    <t>% Tax</t>
  </si>
  <si>
    <t>Cash Generated</t>
  </si>
  <si>
    <t>Share buyback</t>
  </si>
  <si>
    <t>FNP''</t>
  </si>
  <si>
    <t>FNP'</t>
  </si>
  <si>
    <t>Payout Ratio</t>
  </si>
  <si>
    <t xml:space="preserve">Depreciation </t>
  </si>
  <si>
    <t>amortization</t>
  </si>
  <si>
    <t>Other current assets</t>
  </si>
  <si>
    <t>Accounts Receivable</t>
  </si>
  <si>
    <t>Property, Plant and Equipment</t>
  </si>
  <si>
    <t>Other Assets</t>
  </si>
  <si>
    <t>Goodwill</t>
  </si>
  <si>
    <t>Other IA</t>
  </si>
  <si>
    <t>Total IA</t>
  </si>
  <si>
    <t>Liabilities</t>
  </si>
  <si>
    <t xml:space="preserve">   Short-Term Debt</t>
  </si>
  <si>
    <t xml:space="preserve">   Short-Term Leases</t>
  </si>
  <si>
    <t>Other current liabilities</t>
  </si>
  <si>
    <t>Accounts payable</t>
  </si>
  <si>
    <t>Accrued expenses</t>
  </si>
  <si>
    <t>Non-current Liabilities</t>
  </si>
  <si>
    <t xml:space="preserve">   Long-Term Debt and fin leases</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</si>
  <si>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</si>
  <si>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</si>
  <si>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</si>
  <si>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</si>
  <si>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</si>
  <si>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</si>
  <si>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</si>
  <si>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</si>
  <si>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</si>
  <si>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</si>
  <si>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</si>
  <si>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</si>
  <si>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</si>
  <si>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</si>
  <si>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</si>
  <si>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</si>
  <si>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</si>
  <si>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</si>
  <si>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</si>
  <si>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</si>
  <si>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</si>
  <si>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</si>
  <si>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</si>
  <si>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</si>
  <si>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</si>
  <si>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</si>
  <si>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</si>
  <si>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</si>
  <si>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</si>
  <si>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</si>
  <si>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</si>
  <si>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</si>
  <si>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</si>
  <si>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</si>
  <si>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</si>
  <si>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</si>
  <si>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</si>
  <si>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</si>
  <si>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</si>
  <si>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</si>
  <si>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</si>
  <si>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</si>
  <si>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</si>
  <si>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</si>
  <si>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</si>
  <si>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</si>
  <si>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</si>
  <si>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</si>
  <si>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</si>
  <si>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</si>
  <si>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</si>
  <si>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</si>
  <si>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</si>
  <si>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</si>
  <si>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</si>
  <si>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</si>
  <si>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Information Technology</t>
  </si>
  <si>
    <t>Employee turnover</t>
  </si>
  <si>
    <t>Wireless Telecommunication Services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</si>
  <si>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</si>
  <si>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</si>
  <si>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</si>
  <si>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</si>
  <si>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</si>
  <si>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</si>
  <si>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</si>
  <si>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</si>
  <si>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</si>
  <si>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</si>
  <si>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</si>
  <si>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</si>
  <si>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</si>
  <si>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</si>
  <si>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</si>
  <si>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</si>
  <si>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</si>
  <si>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</si>
  <si>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</si>
  <si>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</si>
  <si>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</si>
  <si>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</si>
  <si>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</si>
  <si>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</si>
  <si>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</si>
  <si>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</si>
  <si>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</si>
  <si>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</si>
  <si>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</si>
  <si>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</si>
  <si>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</si>
  <si>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</si>
  <si>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</si>
  <si>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</si>
  <si>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</si>
  <si>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</si>
  <si>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</si>
  <si>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</si>
  <si>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</si>
  <si>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</si>
  <si>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</si>
  <si>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</si>
  <si>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</si>
  <si>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</si>
  <si>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</si>
  <si>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</si>
  <si>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</si>
  <si>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</si>
  <si>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</si>
  <si>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</si>
  <si>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</si>
  <si>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</si>
  <si>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</si>
  <si>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</si>
  <si>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</si>
  <si>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</si>
  <si>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</si>
  <si>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</si>
  <si>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</si>
  <si>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</si>
  <si>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</si>
  <si>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</si>
  <si>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</si>
  <si>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</si>
  <si>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</si>
  <si>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</si>
  <si>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</si>
  <si>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</si>
  <si>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</si>
  <si>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</si>
  <si>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</si>
  <si>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</si>
  <si>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</si>
  <si>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</si>
  <si>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</si>
  <si>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</si>
  <si>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</si>
  <si>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</si>
  <si>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</si>
  <si>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</si>
  <si>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</si>
  <si>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</si>
  <si>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</si>
  <si>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</si>
  <si>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</si>
  <si>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</si>
  <si>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</si>
  <si>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</si>
  <si>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</si>
  <si>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</si>
  <si>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</si>
  <si>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</si>
  <si>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</si>
  <si>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</si>
  <si>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</si>
  <si>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</si>
  <si>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</si>
  <si>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</si>
  <si>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</si>
  <si>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</si>
  <si>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</si>
  <si>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</si>
  <si>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</si>
  <si>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</si>
  <si>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</si>
  <si>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</si>
  <si>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</si>
  <si>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</si>
  <si>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</si>
  <si>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</si>
  <si>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</si>
  <si>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</si>
  <si>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</si>
  <si>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</si>
  <si>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</si>
  <si>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</si>
  <si>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</si>
  <si>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</si>
  <si>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</si>
  <si>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</si>
  <si>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</si>
  <si>
    <t>Figures in Millions of USD</t>
  </si>
  <si>
    <t>Company</t>
  </si>
  <si>
    <t>Report in millions</t>
  </si>
  <si>
    <t>RESULTS</t>
  </si>
  <si>
    <t>Note: IS includes all accounts</t>
  </si>
  <si>
    <t>Hoja</t>
  </si>
  <si>
    <t>Nombre campo Bloomberg</t>
  </si>
  <si>
    <t>Cambio de signo</t>
  </si>
  <si>
    <t>Ingreso</t>
  </si>
  <si>
    <t xml:space="preserve">    + Coste de bienes y servicios</t>
  </si>
  <si>
    <t xml:space="preserve">    + Ventas, generales y admin</t>
  </si>
  <si>
    <t>Other Operating Expenses (Revenues)</t>
  </si>
  <si>
    <t>Income Statement</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</si>
  <si>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</si>
  <si>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</si>
  <si>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</si>
  <si>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</si>
  <si>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</si>
  <si>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</si>
  <si>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</si>
  <si>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</si>
  <si>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</si>
  <si>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</si>
  <si>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</si>
  <si>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</si>
  <si>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</si>
  <si>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</si>
  <si>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</si>
  <si>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</si>
  <si>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</si>
  <si>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</si>
  <si>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</si>
  <si>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</si>
  <si>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</si>
  <si>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</si>
  <si>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</si>
  <si>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</si>
  <si>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</si>
  <si>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</si>
  <si>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</si>
  <si>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</si>
  <si>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</si>
  <si>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</si>
  <si>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</si>
  <si>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</si>
  <si>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</si>
  <si>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</si>
  <si>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</si>
  <si>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</si>
  <si>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Equity Method Investments</t>
  </si>
  <si>
    <t>Other Non-Current Assets</t>
  </si>
  <si>
    <t xml:space="preserve">  + Propiedad, planta y equipo; neto</t>
  </si>
  <si>
    <t>Activos totales</t>
  </si>
  <si>
    <t>LIABILITIES</t>
  </si>
  <si>
    <t>Payables</t>
  </si>
  <si>
    <t>Short term Debt</t>
  </si>
  <si>
    <t>Pasivos totales corrientes</t>
  </si>
  <si>
    <t xml:space="preserve">    + Préstamos CP</t>
  </si>
  <si>
    <t>Total non current liabilities</t>
  </si>
  <si>
    <t>Long-term debt and finance lease obligations</t>
  </si>
  <si>
    <t>Long term debt</t>
  </si>
  <si>
    <t>Other non current Liabilities</t>
  </si>
  <si>
    <t xml:space="preserve">    + Préstamos a largo plazo</t>
  </si>
  <si>
    <t xml:space="preserve">  + Participación minoritaria/no dominante</t>
  </si>
  <si>
    <t>CASH FLOW</t>
  </si>
  <si>
    <t>Changes in assets and liabilities</t>
  </si>
  <si>
    <t>Other Adjustments</t>
  </si>
  <si>
    <t>Other Inflows (Outflows)</t>
  </si>
  <si>
    <t xml:space="preserve">   Increase/Decrease in Borrowings</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</si>
  <si>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</si>
  <si>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</si>
  <si>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</si>
  <si>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</si>
  <si>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</si>
  <si>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</si>
  <si>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</si>
  <si>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</si>
  <si>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</si>
  <si>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</si>
  <si>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</si>
  <si>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</si>
  <si>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A-</t>
  </si>
  <si>
    <t>Dividend Yield(Yahoo Finance)</t>
  </si>
  <si>
    <t>Yahoo Finance</t>
  </si>
  <si>
    <t>2024E</t>
  </si>
  <si>
    <t>Gross Profit Margin</t>
  </si>
  <si>
    <t>Marketing, admin</t>
  </si>
  <si>
    <t>EBT</t>
  </si>
  <si>
    <t>Net Income common stockholders</t>
  </si>
  <si>
    <t>Non-controlling interests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</si>
</sst>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43" formatCode="_-* #,##0.00_-;\-* #,##0.00_-;_-* &quot;-&quot;??_-;_-@_-"/>
    <numFmt numFmtId="164" formatCode="_-&quot;$&quot;* #,##0.00_-;\-&quot;$&quot;* #,##0.00_-;_-&quot;$&quot;* &quot;-&quot;??_-;_-@_-"/>
    <numFmt numFmtId="165" formatCode="&quot;$&quot;#,##0.00"/>
    <numFmt numFmtId="166" formatCode="&quot;$&quot;#,##0"/>
    <numFmt numFmtId="167" formatCode="0.0%"/>
    <numFmt numFmtId="168" formatCode="0.0"/>
    <numFmt numFmtId="169" formatCode="#,##0.0"/>
    <numFmt numFmtId="170" formatCode="[$$-409]#,##0.00_ ;\-[$$-409]#,##0.00\ "/>
    <numFmt numFmtId="171" formatCode="[$$-409]#,##0.00"/>
    <numFmt numFmtId="172" formatCode="[$$-409]#,##0"/>
    <numFmt numFmtId="173" formatCode="_-[$$-409]* #,##0.00_ ;_-[$$-409]* \-#,##0.00\ ;_-[$$-409]* &quot;-&quot;??_ ;_-@_ "/>
    <numFmt numFmtId="174" formatCode="_([$$-409]* #,##0.00_);_([$$-409]* \(#,##0.00\);_([$$-409]* &quot;-&quot;??_);_(@_)"/>
    <numFmt numFmtId="175" formatCode="0.000%"/>
    <numFmt numFmtId="176" formatCode="[$$-C09]#,##0.00"/>
    <numFmt numFmtId="177" formatCode="#,##0_ ;\-#,##0\ "/>
    <numFmt numFmtId="178" formatCode="0.0000"/>
    <numFmt numFmtId="179" formatCode="0.000"/>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b/>
      <sz val="7.5"/>
      <name val="Arial"/>
      <family val="2"/>
    </font>
    <font>
      <b/>
      <sz val="16"/>
      <name val="Arial"/>
      <family val="2"/>
    </font>
    <font>
      <b/>
      <u/>
      <sz val="10"/>
      <color theme="4"/>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b/>
      <sz val="11"/>
      <color rgb="FF374151"/>
      <name val="Arial"/>
      <family val="2"/>
    </font>
    <font>
      <sz val="11"/>
      <color rgb="FFFF0000"/>
      <name val="Calibri"/>
      <family val="2"/>
    </font>
    <font>
      <sz val="10"/>
      <name val="Calibri"/>
      <family val="2"/>
      <charset val="1"/>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1"/>
      <color indexed="9"/>
      <name val="Arial"/>
      <family val="2"/>
    </font>
    <font>
      <sz val="9"/>
      <color indexed="81"/>
      <name val="Tahoma"/>
      <family val="2"/>
    </font>
    <font>
      <b/>
      <sz val="9"/>
      <color indexed="81"/>
      <name val="Tahoma"/>
      <family val="2"/>
    </font>
    <font>
      <sz val="10"/>
      <name val="Arial"/>
      <family val="2"/>
    </font>
    <font>
      <sz val="10"/>
      <color rgb="FF000000"/>
      <name val="Calibri"/>
      <family val="2"/>
    </font>
    <font>
      <sz val="10"/>
      <color rgb="FFF5475B"/>
      <name val="Calibri"/>
      <family val="2"/>
    </font>
    <font>
      <sz val="9"/>
      <color rgb="FF000000"/>
      <name val="Calibri"/>
      <family val="2"/>
    </font>
    <font>
      <sz val="12"/>
      <color theme="1"/>
      <name val="Arial"/>
      <family val="2"/>
    </font>
    <font>
      <sz val="12"/>
      <color rgb="FF000000"/>
      <name val="Arial"/>
      <family val="2"/>
    </font>
    <font>
      <b/>
      <u/>
      <sz val="10"/>
      <name val="Arial"/>
      <family val="2"/>
    </font>
    <font>
      <sz val="7.5"/>
      <color theme="1"/>
      <name val="Arial"/>
      <family val="2"/>
    </font>
    <font>
      <sz val="11"/>
      <color rgb="FF242424"/>
      <name val="Aptos Narrow"/>
      <family val="2"/>
    </font>
    <font>
      <sz val="10"/>
      <color theme="0"/>
      <name val="Aptos Narrow"/>
      <family val="2"/>
    </font>
    <font>
      <sz val="8"/>
      <name val="Arial"/>
      <family val="2"/>
    </font>
    <font>
      <b/>
      <sz val="10"/>
      <color indexed="63"/>
      <name val="Arial"/>
      <family val="2"/>
    </font>
    <font>
      <sz val="8"/>
      <name val="Arial"/>
      <family val="2"/>
    </font>
    <font>
      <b/>
      <sz val="10"/>
      <color theme="1"/>
      <name val="Arial"/>
      <family val="2"/>
    </font>
  </fonts>
  <fills count="62">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rgb="FFFFFFFF"/>
        <bgColor rgb="FF000000"/>
      </patternFill>
    </fill>
    <fill>
      <patternFill patternType="solid">
        <fgColor rgb="FF339966"/>
        <bgColor rgb="FF000000"/>
      </patternFill>
    </fill>
    <fill>
      <patternFill patternType="solid">
        <fgColor rgb="FFFFFFFF"/>
        <bgColor rgb="FFFFFFFF"/>
      </patternFill>
    </fill>
    <fill>
      <patternFill patternType="solid">
        <fgColor theme="8"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C5D9F1"/>
        <bgColor rgb="FF000000"/>
      </patternFill>
    </fill>
    <fill>
      <patternFill patternType="solid">
        <fgColor theme="4" tint="0.59999389629810485"/>
        <bgColor indexed="64"/>
      </patternFill>
    </fill>
    <fill>
      <patternFill patternType="solid">
        <fgColor theme="4" tint="0.79998168889431442"/>
        <bgColor rgb="FF000000"/>
      </patternFill>
    </fill>
    <fill>
      <patternFill patternType="solid">
        <fgColor theme="5" tint="0.79998168889431442"/>
        <bgColor indexed="64"/>
      </patternFill>
    </fill>
    <fill>
      <patternFill patternType="solid">
        <fgColor theme="6"/>
        <bgColor indexed="64"/>
      </patternFill>
    </fill>
    <fill>
      <patternFill patternType="solid">
        <fgColor theme="0" tint="-0.14999847407452621"/>
        <bgColor rgb="FF000000"/>
      </patternFill>
    </fill>
    <fill>
      <patternFill patternType="solid">
        <fgColor rgb="FFEFFDFF"/>
        <bgColor indexed="64"/>
      </patternFill>
    </fill>
    <fill>
      <patternFill patternType="solid">
        <fgColor theme="3" tint="0.59999389629810485"/>
        <bgColor indexed="64"/>
      </patternFill>
    </fill>
  </fills>
  <borders count="329">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medium">
        <color rgb="FF1F497D"/>
      </right>
      <top style="thin">
        <color indexed="64"/>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right/>
      <top style="medium">
        <color theme="3"/>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style="medium">
        <color rgb="FF1F497D"/>
      </left>
      <right/>
      <top style="medium">
        <color theme="3"/>
      </top>
      <bottom style="medium">
        <color rgb="FF1F497D"/>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right style="medium">
        <color indexed="64"/>
      </right>
      <top style="medium">
        <color rgb="FF1F497D"/>
      </top>
      <bottom style="medium">
        <color rgb="FF1F497D"/>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right style="medium">
        <color rgb="FF1F497D"/>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style="thin">
        <color indexed="64"/>
      </right>
      <top style="medium">
        <color indexed="64"/>
      </top>
      <bottom style="thin">
        <color indexed="64"/>
      </bottom>
      <diagonal/>
    </border>
    <border>
      <left style="medium">
        <color theme="3"/>
      </left>
      <right/>
      <top style="medium">
        <color rgb="FF000000"/>
      </top>
      <bottom style="medium">
        <color rgb="FF000000"/>
      </bottom>
      <diagonal/>
    </border>
    <border>
      <left/>
      <right/>
      <top style="medium">
        <color rgb="FF000000"/>
      </top>
      <bottom/>
      <diagonal/>
    </border>
    <border>
      <left/>
      <right style="medium">
        <color theme="3"/>
      </right>
      <top style="medium">
        <color rgb="FF000000"/>
      </top>
      <bottom/>
      <diagonal/>
    </border>
    <border>
      <left style="medium">
        <color theme="3"/>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theme="3"/>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rgb="FF000000"/>
      </right>
      <top/>
      <bottom/>
      <diagonal/>
    </border>
    <border>
      <left style="medium">
        <color rgb="FF000000"/>
      </left>
      <right style="thin">
        <color theme="0" tint="-0.24994659260841701"/>
      </right>
      <top style="medium">
        <color rgb="FF000000"/>
      </top>
      <bottom/>
      <diagonal/>
    </border>
    <border>
      <left style="thin">
        <color theme="0" tint="-0.24994659260841701"/>
      </left>
      <right style="thin">
        <color theme="0" tint="-0.24994659260841701"/>
      </right>
      <top style="medium">
        <color rgb="FF000000"/>
      </top>
      <bottom/>
      <diagonal/>
    </border>
    <border>
      <left style="thin">
        <color theme="0" tint="-0.24994659260841701"/>
      </left>
      <right style="medium">
        <color rgb="FF000000"/>
      </right>
      <top style="medium">
        <color rgb="FF000000"/>
      </top>
      <bottom/>
      <diagonal/>
    </border>
    <border>
      <left style="medium">
        <color rgb="FF000000"/>
      </left>
      <right style="thin">
        <color theme="0" tint="-0.24994659260841701"/>
      </right>
      <top style="medium">
        <color rgb="FF000000"/>
      </top>
      <bottom style="medium">
        <color rgb="FF000000"/>
      </bottom>
      <diagonal/>
    </border>
    <border>
      <left style="thin">
        <color theme="0" tint="-0.24994659260841701"/>
      </left>
      <right style="thin">
        <color theme="0" tint="-0.24994659260841701"/>
      </right>
      <top style="medium">
        <color rgb="FF000000"/>
      </top>
      <bottom style="medium">
        <color rgb="FF000000"/>
      </bottom>
      <diagonal/>
    </border>
    <border>
      <left style="thin">
        <color theme="0" tint="-0.24994659260841701"/>
      </left>
      <right style="medium">
        <color rgb="FF000000"/>
      </right>
      <top style="medium">
        <color rgb="FF000000"/>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rgb="FF1F497D"/>
      </left>
      <right/>
      <top/>
      <bottom style="thin">
        <color theme="0" tint="-0.24994659260841701"/>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style="medium">
        <color theme="3"/>
      </left>
      <right style="thin">
        <color theme="0" tint="-0.24994659260841701"/>
      </right>
      <top style="thin">
        <color theme="0" tint="-0.24994659260841701"/>
      </top>
      <bottom style="thin">
        <color theme="0" tint="-0.24994659260841701"/>
      </bottom>
      <diagonal/>
    </border>
    <border>
      <left style="medium">
        <color theme="3"/>
      </left>
      <right/>
      <top/>
      <bottom style="thin">
        <color theme="0" tint="-0.24994659260841701"/>
      </bottom>
      <diagonal/>
    </border>
    <border>
      <left style="medium">
        <color theme="3"/>
      </left>
      <right style="thin">
        <color indexed="64"/>
      </right>
      <top style="thin">
        <color indexed="64"/>
      </top>
      <bottom style="thin">
        <color indexed="64"/>
      </bottom>
      <diagonal/>
    </border>
    <border>
      <left style="medium">
        <color theme="3"/>
      </left>
      <right style="thin">
        <color indexed="64"/>
      </right>
      <top style="thin">
        <color indexed="64"/>
      </top>
      <bottom style="medium">
        <color theme="3"/>
      </bottom>
      <diagonal/>
    </border>
    <border>
      <left style="thin">
        <color indexed="64"/>
      </left>
      <right style="thin">
        <color indexed="64"/>
      </right>
      <top style="thin">
        <color indexed="64"/>
      </top>
      <bottom style="medium">
        <color theme="3"/>
      </bottom>
      <diagonal/>
    </border>
    <border>
      <left style="thin">
        <color indexed="64"/>
      </left>
      <right style="medium">
        <color rgb="FF1F497D"/>
      </right>
      <top style="thin">
        <color indexed="64"/>
      </top>
      <bottom style="medium">
        <color theme="3"/>
      </bottom>
      <diagonal/>
    </border>
    <border>
      <left/>
      <right style="thin">
        <color rgb="FF000000"/>
      </right>
      <top style="thin">
        <color rgb="FF000000"/>
      </top>
      <bottom style="thin">
        <color rgb="FF000000"/>
      </bottom>
      <diagonal/>
    </border>
    <border>
      <left style="medium">
        <color indexed="64"/>
      </left>
      <right/>
      <top style="thin">
        <color indexed="64"/>
      </top>
      <bottom style="thin">
        <color indexed="64"/>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right style="medium">
        <color rgb="FF1F497D"/>
      </right>
      <top style="thin">
        <color theme="0" tint="-0.24994659260841701"/>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top style="medium">
        <color rgb="FF000000"/>
      </top>
      <bottom/>
      <diagonal/>
    </border>
    <border>
      <left style="medium">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style="medium">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rgb="FF000000"/>
      </right>
      <top/>
      <bottom style="thin">
        <color indexed="64"/>
      </bottom>
      <diagonal/>
    </border>
    <border>
      <left style="medium">
        <color rgb="FF000000"/>
      </left>
      <right style="thin">
        <color indexed="64"/>
      </right>
      <top/>
      <bottom style="medium">
        <color rgb="FF000000"/>
      </bottom>
      <diagonal/>
    </border>
    <border>
      <left/>
      <right style="thin">
        <color indexed="64"/>
      </right>
      <top style="thin">
        <color indexed="64"/>
      </top>
      <bottom style="medium">
        <color indexed="64"/>
      </bottom>
      <diagonal/>
    </border>
    <border>
      <left style="medium">
        <color rgb="FF000000"/>
      </left>
      <right style="thin">
        <color indexed="64"/>
      </right>
      <top style="medium">
        <color rgb="FF000000"/>
      </top>
      <bottom style="medium">
        <color rgb="FF000000"/>
      </bottom>
      <diagonal/>
    </border>
    <border>
      <left style="thin">
        <color theme="0" tint="-0.249977111117893"/>
      </left>
      <right style="thin">
        <color theme="0" tint="-0.249977111117893"/>
      </right>
      <top style="thin">
        <color theme="0" tint="-0.249977111117893"/>
      </top>
      <bottom/>
      <diagonal/>
    </border>
    <border>
      <left style="medium">
        <color rgb="FF1F497D"/>
      </left>
      <right style="thin">
        <color theme="0" tint="-0.249977111117893"/>
      </right>
      <top style="medium">
        <color rgb="FF1F497D"/>
      </top>
      <bottom style="thin">
        <color theme="0" tint="-0.249977111117893"/>
      </bottom>
      <diagonal/>
    </border>
    <border>
      <left style="thin">
        <color theme="0" tint="-0.249977111117893"/>
      </left>
      <right style="thin">
        <color theme="0" tint="-0.249977111117893"/>
      </right>
      <top style="medium">
        <color rgb="FF1F497D"/>
      </top>
      <bottom style="thin">
        <color theme="0" tint="-0.249977111117893"/>
      </bottom>
      <diagonal/>
    </border>
    <border>
      <left style="thin">
        <color theme="0" tint="-0.14999847407452621"/>
      </left>
      <right style="thin">
        <color theme="0" tint="-0.14999847407452621"/>
      </right>
      <top style="medium">
        <color rgb="FF1F497D"/>
      </top>
      <bottom/>
      <diagonal/>
    </border>
    <border>
      <left style="thin">
        <color theme="0" tint="-0.249977111117893"/>
      </left>
      <right/>
      <top style="medium">
        <color rgb="FF1F497D"/>
      </top>
      <bottom/>
      <diagonal/>
    </border>
    <border>
      <left/>
      <right style="thin">
        <color theme="0" tint="-0.249977111117893"/>
      </right>
      <top style="medium">
        <color rgb="FF1F497D"/>
      </top>
      <bottom/>
      <diagonal/>
    </border>
    <border>
      <left style="thin">
        <color theme="0" tint="-0.249977111117893"/>
      </left>
      <right style="thin">
        <color theme="0" tint="-0.249977111117893"/>
      </right>
      <top style="medium">
        <color rgb="FF1F497D"/>
      </top>
      <bottom/>
      <diagonal/>
    </border>
    <border>
      <left style="thin">
        <color theme="0" tint="-0.249977111117893"/>
      </left>
      <right style="medium">
        <color rgb="FF1F497D"/>
      </right>
      <top style="medium">
        <color rgb="FF1F497D"/>
      </top>
      <bottom/>
      <diagonal/>
    </border>
    <border>
      <left style="medium">
        <color rgb="FF1F497D"/>
      </left>
      <right style="thin">
        <color theme="0" tint="-0.249977111117893"/>
      </right>
      <top style="thin">
        <color theme="0" tint="-0.249977111117893"/>
      </top>
      <bottom style="thin">
        <color theme="0" tint="-0.249977111117893"/>
      </bottom>
      <diagonal/>
    </border>
    <border>
      <left style="thin">
        <color theme="0" tint="-0.249977111117893"/>
      </left>
      <right style="medium">
        <color rgb="FF1F497D"/>
      </right>
      <top style="thin">
        <color theme="0" tint="-0.249977111117893"/>
      </top>
      <bottom style="thin">
        <color theme="0" tint="-0.249977111117893"/>
      </bottom>
      <diagonal/>
    </border>
    <border>
      <left/>
      <right style="medium">
        <color rgb="FF1F497D"/>
      </right>
      <top/>
      <bottom style="thin">
        <color theme="0" tint="-0.249977111117893"/>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right/>
      <top style="thin">
        <color theme="0" tint="-0.249977111117893"/>
      </top>
      <bottom/>
      <diagonal/>
    </border>
    <border>
      <left/>
      <right style="medium">
        <color rgb="FF1F497D"/>
      </right>
      <top style="thin">
        <color theme="0" tint="-0.249977111117893"/>
      </top>
      <bottom/>
      <diagonal/>
    </border>
    <border>
      <left style="medium">
        <color indexed="64"/>
      </left>
      <right/>
      <top style="medium">
        <color indexed="64"/>
      </top>
      <bottom style="medium">
        <color rgb="FF1F497D"/>
      </bottom>
      <diagonal/>
    </border>
    <border>
      <left/>
      <right style="medium">
        <color rgb="FF1F497D"/>
      </right>
      <top style="medium">
        <color indexed="64"/>
      </top>
      <bottom style="medium">
        <color rgb="FF1F497D"/>
      </bottom>
      <diagonal/>
    </border>
    <border>
      <left style="medium">
        <color rgb="FF1F497D"/>
      </left>
      <right/>
      <top style="medium">
        <color indexed="64"/>
      </top>
      <bottom style="medium">
        <color rgb="FF1F497D"/>
      </bottom>
      <diagonal/>
    </border>
    <border>
      <left/>
      <right/>
      <top style="medium">
        <color indexed="64"/>
      </top>
      <bottom style="medium">
        <color rgb="FF1F497D"/>
      </bottom>
      <diagonal/>
    </border>
    <border>
      <left style="medium">
        <color rgb="FF1F497D"/>
      </left>
      <right style="medium">
        <color rgb="FF1F497D"/>
      </right>
      <top style="medium">
        <color indexed="64"/>
      </top>
      <bottom/>
      <diagonal/>
    </border>
    <border>
      <left/>
      <right/>
      <top style="medium">
        <color indexed="64"/>
      </top>
      <bottom/>
      <diagonal/>
    </border>
    <border>
      <left style="medium">
        <color indexed="64"/>
      </left>
      <right style="medium">
        <color rgb="FF1F497D"/>
      </right>
      <top/>
      <bottom style="medium">
        <color rgb="FF1F497D"/>
      </bottom>
      <diagonal/>
    </border>
    <border>
      <left style="medium">
        <color theme="3"/>
      </left>
      <right style="medium">
        <color indexed="64"/>
      </right>
      <top style="thin">
        <color theme="0" tint="-0.499984740745262"/>
      </top>
      <bottom/>
      <diagonal/>
    </border>
    <border>
      <left style="medium">
        <color indexed="64"/>
      </left>
      <right style="medium">
        <color rgb="FF1F497D"/>
      </right>
      <top/>
      <bottom style="thin">
        <color theme="0" tint="-0.24994659260841701"/>
      </bottom>
      <diagonal/>
    </border>
    <border>
      <left style="medium">
        <color rgb="FF1F497D"/>
      </left>
      <right style="medium">
        <color indexed="64"/>
      </right>
      <top style="medium">
        <color rgb="FF1F497D"/>
      </top>
      <bottom style="thin">
        <color theme="0" tint="-0.24994659260841701"/>
      </bottom>
      <diagonal/>
    </border>
    <border>
      <left style="medium">
        <color rgb="FF1F497D"/>
      </left>
      <right style="medium">
        <color indexed="64"/>
      </right>
      <top/>
      <bottom style="thin">
        <color theme="0" tint="-0.24994659260841701"/>
      </bottom>
      <diagonal/>
    </border>
    <border>
      <left style="medium">
        <color rgb="FF1F497D"/>
      </left>
      <right style="medium">
        <color indexed="64"/>
      </right>
      <top style="thin">
        <color theme="0" tint="-0.24994659260841701"/>
      </top>
      <bottom style="thin">
        <color theme="0" tint="-0.24994659260841701"/>
      </bottom>
      <diagonal/>
    </border>
    <border>
      <left style="medium">
        <color rgb="FF1F497D"/>
      </left>
      <right style="medium">
        <color indexed="64"/>
      </right>
      <top style="thin">
        <color theme="0" tint="-0.24994659260841701"/>
      </top>
      <bottom style="medium">
        <color rgb="FF1F497D"/>
      </bottom>
      <diagonal/>
    </border>
    <border>
      <left style="medium">
        <color indexed="64"/>
      </left>
      <right style="medium">
        <color theme="3"/>
      </right>
      <top/>
      <bottom style="medium">
        <color indexed="64"/>
      </bottom>
      <diagonal/>
    </border>
    <border>
      <left style="medium">
        <color theme="3"/>
      </left>
      <right/>
      <top style="medium">
        <color theme="3"/>
      </top>
      <bottom style="medium">
        <color indexed="64"/>
      </bottom>
      <diagonal/>
    </border>
    <border>
      <left/>
      <right/>
      <top style="medium">
        <color theme="3"/>
      </top>
      <bottom style="medium">
        <color indexed="64"/>
      </bottom>
      <diagonal/>
    </border>
    <border>
      <left/>
      <right style="medium">
        <color theme="3"/>
      </right>
      <top style="medium">
        <color theme="3"/>
      </top>
      <bottom style="medium">
        <color indexed="64"/>
      </bottom>
      <diagonal/>
    </border>
    <border>
      <left/>
      <right style="medium">
        <color rgb="FF1F497D"/>
      </right>
      <top/>
      <bottom style="medium">
        <color indexed="64"/>
      </bottom>
      <diagonal/>
    </border>
    <border>
      <left style="medium">
        <color rgb="FF1F497D"/>
      </left>
      <right/>
      <top style="medium">
        <color rgb="FF1F497D"/>
      </top>
      <bottom style="medium">
        <color indexed="64"/>
      </bottom>
      <diagonal/>
    </border>
    <border>
      <left/>
      <right/>
      <top style="medium">
        <color rgb="FF1F497D"/>
      </top>
      <bottom style="medium">
        <color indexed="64"/>
      </bottom>
      <diagonal/>
    </border>
    <border>
      <left/>
      <right style="medium">
        <color indexed="64"/>
      </right>
      <top style="medium">
        <color rgb="FF1F497D"/>
      </top>
      <bottom style="medium">
        <color indexed="64"/>
      </bottom>
      <diagonal/>
    </border>
    <border>
      <left style="thin">
        <color rgb="FFD5D8DB"/>
      </left>
      <right style="thin">
        <color rgb="FFD5D8DB"/>
      </right>
      <top style="thin">
        <color rgb="FFD5D8DB"/>
      </top>
      <bottom style="thin">
        <color rgb="FFD5D8DB"/>
      </bottom>
      <diagonal/>
    </border>
    <border>
      <left/>
      <right style="thin">
        <color rgb="FFD5D8DB"/>
      </right>
      <top style="thin">
        <color rgb="FFD5D8DB"/>
      </top>
      <bottom style="thin">
        <color rgb="FFD5D8DB"/>
      </bottom>
      <diagonal/>
    </border>
    <border>
      <left style="thin">
        <color theme="0" tint="-0.24994659260841701"/>
      </left>
      <right style="medium">
        <color theme="3"/>
      </right>
      <top style="thin">
        <color theme="0" tint="-0.24994659260841701"/>
      </top>
      <bottom/>
      <diagonal/>
    </border>
    <border>
      <left style="medium">
        <color theme="1" tint="0.24994659260841701"/>
      </left>
      <right style="medium">
        <color theme="1" tint="0.24994659260841701"/>
      </right>
      <top/>
      <bottom style="medium">
        <color theme="1" tint="0.24994659260841701"/>
      </bottom>
      <diagonal/>
    </border>
    <border>
      <left style="medium">
        <color rgb="FF000000"/>
      </left>
      <right style="medium">
        <color rgb="FF000000"/>
      </right>
      <top style="medium">
        <color rgb="FF000000"/>
      </top>
      <bottom style="medium">
        <color rgb="FF000000"/>
      </bottom>
      <diagonal/>
    </border>
    <border>
      <left style="medium">
        <color theme="1" tint="0.24994659260841701"/>
      </left>
      <right/>
      <top/>
      <bottom style="medium">
        <color theme="1" tint="0.24994659260841701"/>
      </bottom>
      <diagonal/>
    </border>
    <border>
      <left/>
      <right/>
      <top/>
      <bottom style="medium">
        <color theme="1" tint="0.2499465926084170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style="medium">
        <color indexed="64"/>
      </top>
      <bottom style="medium">
        <color rgb="FF1F497D"/>
      </bottom>
      <diagonal/>
    </border>
    <border>
      <left style="medium">
        <color indexed="64"/>
      </left>
      <right style="medium">
        <color rgb="FF1F497D"/>
      </right>
      <top style="medium">
        <color rgb="FF1F497D"/>
      </top>
      <bottom style="medium">
        <color rgb="FF1F497D"/>
      </bottom>
      <diagonal/>
    </border>
    <border>
      <left style="medium">
        <color indexed="64"/>
      </left>
      <right style="medium">
        <color theme="3"/>
      </right>
      <top/>
      <bottom/>
      <diagonal/>
    </border>
    <border>
      <left style="medium">
        <color indexed="64"/>
      </left>
      <right style="medium">
        <color rgb="FF1F497D"/>
      </right>
      <top style="medium">
        <color rgb="FF1F497D"/>
      </top>
      <bottom style="thin">
        <color theme="0" tint="-0.24994659260841701"/>
      </bottom>
      <diagonal/>
    </border>
    <border>
      <left style="medium">
        <color indexed="64"/>
      </left>
      <right style="medium">
        <color rgb="FF1F497D"/>
      </right>
      <top style="thin">
        <color theme="0" tint="-0.24994659260841701"/>
      </top>
      <bottom style="thin">
        <color theme="0" tint="-0.24994659260841701"/>
      </bottom>
      <diagonal/>
    </border>
    <border>
      <left style="medium">
        <color indexed="64"/>
      </left>
      <right style="medium">
        <color rgb="FF1F497D"/>
      </right>
      <top style="thin">
        <color theme="0" tint="-0.24994659260841701"/>
      </top>
      <bottom/>
      <diagonal/>
    </border>
    <border>
      <left style="medium">
        <color indexed="64"/>
      </left>
      <right/>
      <top style="medium">
        <color theme="3"/>
      </top>
      <bottom style="medium">
        <color indexed="64"/>
      </bottom>
      <diagonal/>
    </border>
    <border>
      <left style="medium">
        <color rgb="FF1F497D"/>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right style="medium">
        <color rgb="FF1F497D"/>
      </right>
      <top style="medium">
        <color theme="3"/>
      </top>
      <bottom style="medium">
        <color rgb="FF1F497D"/>
      </bottom>
      <diagonal/>
    </border>
    <border>
      <left style="medium">
        <color rgb="FF1F497D"/>
      </left>
      <right/>
      <top style="thin">
        <color theme="0" tint="-0.24994659260841701"/>
      </top>
      <bottom style="medium">
        <color theme="3"/>
      </bottom>
      <diagonal/>
    </border>
    <border>
      <left/>
      <right/>
      <top style="thin">
        <color theme="0" tint="-0.24994659260841701"/>
      </top>
      <bottom style="medium">
        <color theme="3"/>
      </bottom>
      <diagonal/>
    </border>
    <border>
      <left/>
      <right style="medium">
        <color rgb="FF1F497D"/>
      </right>
      <top style="thin">
        <color theme="0" tint="-0.24994659260841701"/>
      </top>
      <bottom style="medium">
        <color theme="3"/>
      </bottom>
      <diagonal/>
    </border>
    <border>
      <left/>
      <right/>
      <top style="medium">
        <color rgb="FF1F497D"/>
      </top>
      <bottom style="thin">
        <color theme="0" tint="-0.24994659260841701"/>
      </bottom>
      <diagonal/>
    </border>
    <border>
      <left style="medium">
        <color rgb="FF1F497D"/>
      </left>
      <right/>
      <top style="medium">
        <color rgb="FF1F497D"/>
      </top>
      <bottom style="thin">
        <color theme="0" tint="-0.499984740745262"/>
      </bottom>
      <diagonal/>
    </border>
    <border>
      <left/>
      <right/>
      <top style="medium">
        <color rgb="FF1F497D"/>
      </top>
      <bottom style="thin">
        <color theme="0" tint="-0.499984740745262"/>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rgb="FF000000"/>
      </right>
      <top style="medium">
        <color rgb="FF000000"/>
      </top>
      <bottom style="medium">
        <color indexed="64"/>
      </bottom>
      <diagonal/>
    </border>
    <border>
      <left/>
      <right/>
      <top/>
      <bottom style="medium">
        <color theme="3"/>
      </bottom>
      <diagonal/>
    </border>
    <border>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dotted">
        <color auto="1"/>
      </left>
      <right/>
      <top style="dotted">
        <color auto="1"/>
      </top>
      <bottom style="dotted">
        <color auto="1"/>
      </bottom>
      <diagonal/>
    </border>
    <border>
      <left/>
      <right/>
      <top style="dotted">
        <color auto="1"/>
      </top>
      <bottom style="dotted">
        <color auto="1"/>
      </bottom>
      <diagonal/>
    </border>
    <border>
      <left/>
      <right style="dotted">
        <color auto="1"/>
      </right>
      <top style="dotted">
        <color auto="1"/>
      </top>
      <bottom style="dotted">
        <color auto="1"/>
      </bottom>
      <diagonal/>
    </border>
    <border>
      <left style="thin">
        <color indexed="64"/>
      </left>
      <right/>
      <top style="medium">
        <color indexed="64"/>
      </top>
      <bottom/>
      <diagonal/>
    </border>
    <border>
      <left style="thin">
        <color indexed="64"/>
      </left>
      <right/>
      <top style="medium">
        <color indexed="64"/>
      </top>
      <bottom style="thin">
        <color theme="8"/>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style="thin">
        <color theme="0" tint="-0.249977111117893"/>
      </right>
      <top/>
      <bottom/>
      <diagonal/>
    </border>
    <border>
      <left style="medium">
        <color rgb="FF1F497D"/>
      </left>
      <right/>
      <top style="thin">
        <color theme="0" tint="-0.249977111117893"/>
      </top>
      <bottom/>
      <diagonal/>
    </border>
    <border>
      <left style="medium">
        <color rgb="FF1F497D"/>
      </left>
      <right/>
      <top/>
      <bottom style="thin">
        <color theme="0" tint="-0.249977111117893"/>
      </bottom>
      <diagonal/>
    </border>
    <border>
      <left style="thin">
        <color theme="0" tint="-0.24994659260841701"/>
      </left>
      <right style="medium">
        <color rgb="FF1F497D"/>
      </right>
      <top/>
      <bottom style="thin">
        <color theme="0" tint="-0.24994659260841701"/>
      </bottom>
      <diagonal/>
    </border>
  </borders>
  <cellStyleXfs count="35">
    <xf numFmtId="0" fontId="0" fillId="0" borderId="0"/>
    <xf numFmtId="0" fontId="16" fillId="2" borderId="1" applyNumberFormat="0" applyProtection="0">
      <alignment horizontal="left" vertical="center" readingOrder="1"/>
    </xf>
    <xf numFmtId="0" fontId="17" fillId="2" borderId="2">
      <alignment horizontal="left"/>
    </xf>
    <xf numFmtId="0" fontId="17" fillId="2" borderId="3">
      <alignment horizontal="right"/>
    </xf>
    <xf numFmtId="0" fontId="17" fillId="2" borderId="3">
      <alignment horizontal="left"/>
    </xf>
    <xf numFmtId="3" fontId="18" fillId="3" borderId="4">
      <alignment horizontal="right"/>
    </xf>
    <xf numFmtId="169" fontId="11" fillId="3" borderId="4">
      <alignment horizontal="right"/>
    </xf>
    <xf numFmtId="4" fontId="11" fillId="3" borderId="4">
      <alignment horizontal="right"/>
    </xf>
    <xf numFmtId="0" fontId="20" fillId="4" borderId="5" applyNumberFormat="0" applyAlignment="0" applyProtection="0"/>
    <xf numFmtId="0" fontId="18" fillId="3" borderId="6"/>
    <xf numFmtId="0" fontId="19" fillId="3" borderId="6"/>
    <xf numFmtId="0" fontId="10" fillId="0" borderId="0" applyNumberFormat="0" applyFill="0" applyBorder="0" applyAlignment="0" applyProtection="0">
      <alignment vertical="top"/>
      <protection locked="0"/>
    </xf>
    <xf numFmtId="164" fontId="22" fillId="0" borderId="0" applyFont="0" applyFill="0" applyBorder="0" applyAlignment="0" applyProtection="0"/>
    <xf numFmtId="164" fontId="12" fillId="0" borderId="0" applyFont="0" applyFill="0" applyBorder="0" applyAlignment="0" applyProtection="0"/>
    <xf numFmtId="0" fontId="24" fillId="0" borderId="0"/>
    <xf numFmtId="0" fontId="12" fillId="0" borderId="0"/>
    <xf numFmtId="9" fontId="8" fillId="0" borderId="0" applyFont="0" applyFill="0" applyBorder="0" applyAlignment="0" applyProtection="0"/>
    <xf numFmtId="9" fontId="22" fillId="0" borderId="0" applyFont="0" applyFill="0" applyBorder="0" applyAlignment="0" applyProtection="0"/>
    <xf numFmtId="9" fontId="12" fillId="0" borderId="0" applyFont="0" applyFill="0" applyBorder="0" applyAlignment="0" applyProtection="0"/>
    <xf numFmtId="9" fontId="24" fillId="0" borderId="0" applyFont="0" applyFill="0" applyBorder="0" applyAlignment="0" applyProtection="0"/>
    <xf numFmtId="0" fontId="7" fillId="0" borderId="0"/>
    <xf numFmtId="0" fontId="7"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6" fillId="0" borderId="0"/>
    <xf numFmtId="9" fontId="6" fillId="0" borderId="0" applyFont="0" applyFill="0" applyBorder="0" applyAlignment="0" applyProtection="0"/>
    <xf numFmtId="0" fontId="5" fillId="0" borderId="0"/>
    <xf numFmtId="0" fontId="4" fillId="0" borderId="0"/>
    <xf numFmtId="9" fontId="4" fillId="0" borderId="0" applyFont="0" applyFill="0" applyBorder="0" applyAlignment="0" applyProtection="0"/>
    <xf numFmtId="9" fontId="3" fillId="0" borderId="0" applyFont="0" applyFill="0" applyBorder="0" applyAlignment="0" applyProtection="0"/>
    <xf numFmtId="0" fontId="2" fillId="0" borderId="0"/>
    <xf numFmtId="43" fontId="81" fillId="0" borderId="0" applyFont="0" applyFill="0" applyBorder="0" applyAlignment="0" applyProtection="0"/>
  </cellStyleXfs>
  <cellXfs count="1670">
    <xf numFmtId="0" fontId="0" fillId="0" borderId="0" xfId="0"/>
    <xf numFmtId="9" fontId="0" fillId="0" borderId="0" xfId="16" applyFont="1" applyAlignment="1">
      <alignment horizontal="center"/>
    </xf>
    <xf numFmtId="0" fontId="0" fillId="0" borderId="0" xfId="0" applyAlignment="1">
      <alignment horizontal="center"/>
    </xf>
    <xf numFmtId="166" fontId="0" fillId="0" borderId="0" xfId="0" applyNumberFormat="1"/>
    <xf numFmtId="10" fontId="0" fillId="0" borderId="0" xfId="0" applyNumberFormat="1" applyAlignment="1">
      <alignment horizontal="center"/>
    </xf>
    <xf numFmtId="167" fontId="0" fillId="0" borderId="0" xfId="0" applyNumberFormat="1" applyAlignment="1">
      <alignment horizontal="center"/>
    </xf>
    <xf numFmtId="0" fontId="13" fillId="0" borderId="0" xfId="0" applyFont="1" applyAlignment="1">
      <alignment horizontal="center"/>
    </xf>
    <xf numFmtId="0" fontId="26" fillId="0" borderId="0" xfId="0" applyFont="1"/>
    <xf numFmtId="0" fontId="15" fillId="0" borderId="17" xfId="0" applyFont="1" applyBorder="1"/>
    <xf numFmtId="0" fontId="23" fillId="0" borderId="0" xfId="0" applyFont="1"/>
    <xf numFmtId="0" fontId="8" fillId="0" borderId="0" xfId="0" applyFont="1"/>
    <xf numFmtId="0" fontId="8" fillId="0" borderId="17" xfId="0" applyFont="1" applyBorder="1"/>
    <xf numFmtId="0" fontId="8" fillId="0" borderId="17" xfId="0" applyFont="1" applyBorder="1" applyAlignment="1">
      <alignment horizontal="left"/>
    </xf>
    <xf numFmtId="0" fontId="13" fillId="0" borderId="0" xfId="0" applyFont="1"/>
    <xf numFmtId="166" fontId="13" fillId="0" borderId="0" xfId="0" applyNumberFormat="1" applyFont="1" applyAlignment="1">
      <alignment horizontal="center"/>
    </xf>
    <xf numFmtId="10" fontId="8" fillId="8" borderId="17" xfId="0" applyNumberFormat="1" applyFont="1" applyFill="1" applyBorder="1" applyAlignment="1">
      <alignment horizontal="center"/>
    </xf>
    <xf numFmtId="0" fontId="26" fillId="8" borderId="0" xfId="0" applyFont="1" applyFill="1"/>
    <xf numFmtId="0" fontId="33" fillId="0" borderId="0" xfId="0" applyFont="1"/>
    <xf numFmtId="0" fontId="26" fillId="8" borderId="0" xfId="0" applyFont="1" applyFill="1" applyAlignment="1">
      <alignment horizontal="center"/>
    </xf>
    <xf numFmtId="0" fontId="35" fillId="0" borderId="0" xfId="0" applyFont="1"/>
    <xf numFmtId="0" fontId="35" fillId="12" borderId="0" xfId="0" applyFont="1" applyFill="1"/>
    <xf numFmtId="3" fontId="35" fillId="0" borderId="0" xfId="0" applyNumberFormat="1" applyFont="1" applyAlignment="1">
      <alignment horizontal="center"/>
    </xf>
    <xf numFmtId="0" fontId="35" fillId="0" borderId="0" xfId="0" applyFont="1" applyAlignment="1">
      <alignment horizontal="left"/>
    </xf>
    <xf numFmtId="0" fontId="35" fillId="19" borderId="0" xfId="0" applyFont="1" applyFill="1"/>
    <xf numFmtId="3" fontId="35" fillId="19" borderId="0" xfId="0" applyNumberFormat="1" applyFont="1" applyFill="1" applyAlignment="1">
      <alignment horizontal="center"/>
    </xf>
    <xf numFmtId="0" fontId="0" fillId="12" borderId="0" xfId="0" applyFill="1"/>
    <xf numFmtId="3" fontId="35" fillId="0" borderId="0" xfId="0" applyNumberFormat="1" applyFont="1"/>
    <xf numFmtId="3" fontId="36" fillId="19" borderId="0" xfId="0" applyNumberFormat="1" applyFont="1" applyFill="1" applyAlignment="1">
      <alignment horizontal="center"/>
    </xf>
    <xf numFmtId="3" fontId="35" fillId="12" borderId="0" xfId="0" applyNumberFormat="1" applyFont="1" applyFill="1" applyAlignment="1">
      <alignment horizontal="center"/>
    </xf>
    <xf numFmtId="3" fontId="36" fillId="12" borderId="0" xfId="0" applyNumberFormat="1" applyFont="1" applyFill="1" applyAlignment="1">
      <alignment horizontal="center"/>
    </xf>
    <xf numFmtId="0" fontId="19" fillId="3" borderId="6" xfId="10"/>
    <xf numFmtId="0" fontId="0" fillId="20" borderId="0" xfId="0" applyFill="1"/>
    <xf numFmtId="3" fontId="23" fillId="0" borderId="0" xfId="0" applyNumberFormat="1" applyFont="1" applyAlignment="1">
      <alignment horizontal="center"/>
    </xf>
    <xf numFmtId="3" fontId="23" fillId="0" borderId="0" xfId="0" applyNumberFormat="1" applyFont="1"/>
    <xf numFmtId="0" fontId="0" fillId="21" borderId="0" xfId="0" applyFill="1"/>
    <xf numFmtId="3" fontId="23" fillId="19" borderId="0" xfId="0" applyNumberFormat="1" applyFont="1" applyFill="1" applyAlignment="1">
      <alignment horizontal="center"/>
    </xf>
    <xf numFmtId="0" fontId="23" fillId="19" borderId="0" xfId="0" applyFont="1" applyFill="1"/>
    <xf numFmtId="0" fontId="0" fillId="22" borderId="0" xfId="0" applyFill="1"/>
    <xf numFmtId="169" fontId="35" fillId="0" borderId="0" xfId="0" applyNumberFormat="1" applyFont="1" applyAlignment="1">
      <alignment horizontal="center"/>
    </xf>
    <xf numFmtId="0" fontId="38" fillId="0" borderId="0" xfId="0" applyFont="1"/>
    <xf numFmtId="0" fontId="39" fillId="0" borderId="0" xfId="0" applyFont="1"/>
    <xf numFmtId="0" fontId="40" fillId="0" borderId="0" xfId="0" applyFont="1" applyAlignment="1">
      <alignment horizontal="center"/>
    </xf>
    <xf numFmtId="168" fontId="39" fillId="0" borderId="0" xfId="0" applyNumberFormat="1" applyFont="1" applyAlignment="1">
      <alignment horizontal="center"/>
    </xf>
    <xf numFmtId="0" fontId="41" fillId="0" borderId="0" xfId="0" applyFont="1"/>
    <xf numFmtId="0" fontId="0" fillId="0" borderId="12" xfId="0" applyBorder="1"/>
    <xf numFmtId="0" fontId="23" fillId="0" borderId="0" xfId="0" applyFont="1" applyAlignment="1">
      <alignment horizontal="center"/>
    </xf>
    <xf numFmtId="0" fontId="39" fillId="0" borderId="0" xfId="0" applyFont="1" applyAlignment="1">
      <alignment horizontal="center"/>
    </xf>
    <xf numFmtId="166" fontId="8" fillId="24" borderId="17" xfId="0" applyNumberFormat="1" applyFont="1" applyFill="1" applyBorder="1" applyAlignment="1">
      <alignment horizontal="center"/>
    </xf>
    <xf numFmtId="3" fontId="38" fillId="0" borderId="0" xfId="0" applyNumberFormat="1" applyFont="1"/>
    <xf numFmtId="0" fontId="40" fillId="17" borderId="0" xfId="0" applyFont="1" applyFill="1" applyAlignment="1">
      <alignment horizontal="center"/>
    </xf>
    <xf numFmtId="3" fontId="0" fillId="25" borderId="1" xfId="0" applyNumberFormat="1" applyFill="1" applyBorder="1" applyAlignment="1">
      <alignment horizontal="center"/>
    </xf>
    <xf numFmtId="3" fontId="0" fillId="25" borderId="39" xfId="0" applyNumberFormat="1" applyFill="1" applyBorder="1" applyAlignment="1">
      <alignment horizontal="center"/>
    </xf>
    <xf numFmtId="167" fontId="13" fillId="26" borderId="1" xfId="16" applyNumberFormat="1" applyFont="1" applyFill="1" applyBorder="1" applyAlignment="1">
      <alignment horizontal="center"/>
    </xf>
    <xf numFmtId="167" fontId="13" fillId="26" borderId="39" xfId="16" applyNumberFormat="1" applyFont="1" applyFill="1" applyBorder="1" applyAlignment="1">
      <alignment horizontal="center"/>
    </xf>
    <xf numFmtId="3" fontId="0" fillId="25" borderId="1" xfId="16" applyNumberFormat="1" applyFont="1" applyFill="1" applyBorder="1" applyAlignment="1">
      <alignment horizontal="center"/>
    </xf>
    <xf numFmtId="3" fontId="0" fillId="25" borderId="39" xfId="16" applyNumberFormat="1" applyFont="1" applyFill="1" applyBorder="1" applyAlignment="1">
      <alignment horizontal="center"/>
    </xf>
    <xf numFmtId="3" fontId="13" fillId="27" borderId="1" xfId="16" applyNumberFormat="1" applyFont="1" applyFill="1" applyBorder="1" applyAlignment="1">
      <alignment horizontal="center"/>
    </xf>
    <xf numFmtId="3" fontId="0" fillId="0" borderId="0" xfId="0" applyNumberFormat="1" applyAlignment="1">
      <alignment horizontal="center"/>
    </xf>
    <xf numFmtId="168" fontId="0" fillId="0" borderId="0" xfId="0" applyNumberFormat="1" applyAlignment="1">
      <alignment horizontal="center"/>
    </xf>
    <xf numFmtId="169" fontId="35" fillId="19" borderId="0" xfId="0" applyNumberFormat="1" applyFont="1" applyFill="1" applyAlignment="1">
      <alignment horizontal="center"/>
    </xf>
    <xf numFmtId="0" fontId="35" fillId="19" borderId="0" xfId="0" applyFont="1" applyFill="1" applyAlignment="1">
      <alignment horizontal="center"/>
    </xf>
    <xf numFmtId="167" fontId="35" fillId="19" borderId="0" xfId="0" applyNumberFormat="1" applyFont="1" applyFill="1" applyAlignment="1">
      <alignment horizontal="center"/>
    </xf>
    <xf numFmtId="9" fontId="35" fillId="0" borderId="0" xfId="16" applyFont="1" applyFill="1" applyAlignment="1">
      <alignment horizontal="center"/>
    </xf>
    <xf numFmtId="167" fontId="35" fillId="0" borderId="0" xfId="16" applyNumberFormat="1" applyFont="1" applyFill="1" applyAlignment="1">
      <alignment horizontal="center"/>
    </xf>
    <xf numFmtId="9" fontId="35" fillId="0" borderId="0" xfId="22" applyFont="1" applyFill="1" applyAlignment="1">
      <alignment horizontal="center"/>
    </xf>
    <xf numFmtId="171" fontId="8" fillId="24" borderId="17" xfId="0" applyNumberFormat="1" applyFont="1" applyFill="1" applyBorder="1" applyAlignment="1">
      <alignment horizontal="center"/>
    </xf>
    <xf numFmtId="167" fontId="33" fillId="24" borderId="17" xfId="16" applyNumberFormat="1" applyFont="1" applyFill="1" applyBorder="1" applyAlignment="1">
      <alignment horizontal="center"/>
    </xf>
    <xf numFmtId="0" fontId="13" fillId="0" borderId="32" xfId="0" applyFont="1" applyBorder="1"/>
    <xf numFmtId="0" fontId="17" fillId="5" borderId="8" xfId="4" applyFill="1" applyBorder="1" applyAlignment="1"/>
    <xf numFmtId="0" fontId="8" fillId="0" borderId="0" xfId="26"/>
    <xf numFmtId="0" fontId="27" fillId="5" borderId="7" xfId="26" applyFont="1" applyFill="1" applyBorder="1" applyAlignment="1">
      <alignment horizontal="center"/>
    </xf>
    <xf numFmtId="0" fontId="27" fillId="5" borderId="11" xfId="26" applyFont="1" applyFill="1" applyBorder="1" applyAlignment="1">
      <alignment horizontal="center"/>
    </xf>
    <xf numFmtId="0" fontId="29" fillId="3" borderId="10" xfId="10" applyFont="1" applyBorder="1"/>
    <xf numFmtId="0" fontId="8" fillId="0" borderId="0" xfId="26" applyAlignment="1">
      <alignment vertical="center"/>
    </xf>
    <xf numFmtId="0" fontId="29" fillId="3" borderId="13" xfId="10" applyFont="1" applyBorder="1"/>
    <xf numFmtId="0" fontId="29" fillId="0" borderId="10" xfId="10" applyFont="1" applyFill="1" applyBorder="1"/>
    <xf numFmtId="0" fontId="20" fillId="0" borderId="0" xfId="8" applyFill="1" applyBorder="1"/>
    <xf numFmtId="9" fontId="8" fillId="0" borderId="0" xfId="28" applyFont="1"/>
    <xf numFmtId="0" fontId="30" fillId="0" borderId="0" xfId="11" applyFont="1" applyAlignment="1" applyProtection="1"/>
    <xf numFmtId="0" fontId="27" fillId="29" borderId="0" xfId="26" applyFont="1" applyFill="1" applyAlignment="1">
      <alignment horizontal="center" vertical="center"/>
    </xf>
    <xf numFmtId="0" fontId="28" fillId="0" borderId="9" xfId="9" applyFont="1" applyFill="1" applyBorder="1"/>
    <xf numFmtId="0" fontId="19" fillId="3" borderId="13" xfId="10" applyBorder="1"/>
    <xf numFmtId="0" fontId="19" fillId="3" borderId="10" xfId="10" applyBorder="1"/>
    <xf numFmtId="0" fontId="26" fillId="0" borderId="0" xfId="26" applyFont="1"/>
    <xf numFmtId="0" fontId="13" fillId="0" borderId="27" xfId="0" applyFont="1" applyBorder="1"/>
    <xf numFmtId="0" fontId="13" fillId="0" borderId="33" xfId="0" applyFont="1" applyBorder="1"/>
    <xf numFmtId="0" fontId="0" fillId="0" borderId="4" xfId="0" applyBorder="1"/>
    <xf numFmtId="0" fontId="0" fillId="0" borderId="6" xfId="0" applyBorder="1"/>
    <xf numFmtId="0" fontId="0" fillId="0" borderId="31" xfId="0" applyBorder="1"/>
    <xf numFmtId="0" fontId="0" fillId="0" borderId="2" xfId="0" applyBorder="1"/>
    <xf numFmtId="0" fontId="0" fillId="0" borderId="32" xfId="0" applyBorder="1"/>
    <xf numFmtId="0" fontId="0" fillId="0" borderId="27" xfId="0" applyBorder="1"/>
    <xf numFmtId="0" fontId="0" fillId="0" borderId="33" xfId="0" applyBorder="1"/>
    <xf numFmtId="0" fontId="13" fillId="0" borderId="38" xfId="0" applyFont="1" applyBorder="1"/>
    <xf numFmtId="0" fontId="13" fillId="0" borderId="1" xfId="0" applyFont="1" applyBorder="1"/>
    <xf numFmtId="0" fontId="13" fillId="0" borderId="39" xfId="0" applyFont="1" applyBorder="1"/>
    <xf numFmtId="0" fontId="0" fillId="8" borderId="0" xfId="0" applyFill="1"/>
    <xf numFmtId="0" fontId="35" fillId="19" borderId="0" xfId="0" applyFont="1" applyFill="1" applyAlignment="1">
      <alignment horizontal="left" indent="1"/>
    </xf>
    <xf numFmtId="169" fontId="35" fillId="19" borderId="0" xfId="0" applyNumberFormat="1" applyFont="1" applyFill="1" applyAlignment="1">
      <alignment horizontal="left" indent="1"/>
    </xf>
    <xf numFmtId="0" fontId="35" fillId="30" borderId="0" xfId="0" applyFont="1" applyFill="1" applyAlignment="1">
      <alignment horizontal="left" indent="1"/>
    </xf>
    <xf numFmtId="0" fontId="23" fillId="0" borderId="0" xfId="0" applyFont="1" applyAlignment="1">
      <alignment horizontal="left"/>
    </xf>
    <xf numFmtId="0" fontId="27" fillId="32" borderId="23" xfId="0" applyFont="1" applyFill="1" applyBorder="1" applyAlignment="1">
      <alignment horizontal="center"/>
    </xf>
    <xf numFmtId="0" fontId="27" fillId="32" borderId="20" xfId="0" applyFont="1" applyFill="1" applyBorder="1" applyAlignment="1">
      <alignment horizontal="center"/>
    </xf>
    <xf numFmtId="9" fontId="33" fillId="8" borderId="46" xfId="16" applyFont="1" applyFill="1" applyBorder="1" applyAlignment="1">
      <alignment horizontal="center"/>
    </xf>
    <xf numFmtId="9" fontId="8" fillId="8" borderId="46" xfId="16" applyFont="1" applyFill="1" applyBorder="1" applyAlignment="1">
      <alignment horizontal="center"/>
    </xf>
    <xf numFmtId="0" fontId="13" fillId="0" borderId="46" xfId="0" applyFont="1" applyBorder="1" applyAlignment="1">
      <alignment horizontal="center"/>
    </xf>
    <xf numFmtId="167" fontId="33" fillId="24" borderId="46" xfId="16" applyNumberFormat="1" applyFont="1" applyFill="1" applyBorder="1" applyAlignment="1">
      <alignment horizontal="center"/>
    </xf>
    <xf numFmtId="0" fontId="8" fillId="8" borderId="17" xfId="0" applyFont="1" applyFill="1" applyBorder="1" applyAlignment="1">
      <alignment vertical="center" wrapText="1"/>
    </xf>
    <xf numFmtId="0" fontId="27" fillId="32" borderId="46" xfId="0" applyFont="1" applyFill="1" applyBorder="1" applyAlignment="1">
      <alignment horizontal="center"/>
    </xf>
    <xf numFmtId="3" fontId="8" fillId="0" borderId="0" xfId="0" applyNumberFormat="1" applyFont="1"/>
    <xf numFmtId="0" fontId="8" fillId="17" borderId="38" xfId="0" applyFont="1" applyFill="1" applyBorder="1"/>
    <xf numFmtId="0" fontId="8" fillId="0" borderId="38" xfId="0" applyFont="1" applyBorder="1" applyAlignment="1">
      <alignment horizontal="left" indent="1"/>
    </xf>
    <xf numFmtId="0" fontId="8" fillId="0" borderId="38" xfId="0" applyFont="1" applyBorder="1" applyAlignment="1">
      <alignment horizontal="left"/>
    </xf>
    <xf numFmtId="0" fontId="8" fillId="17" borderId="38" xfId="0" applyFont="1" applyFill="1" applyBorder="1" applyAlignment="1">
      <alignment horizontal="left" indent="1"/>
    </xf>
    <xf numFmtId="0" fontId="13" fillId="0" borderId="38" xfId="0" applyFont="1" applyBorder="1" applyAlignment="1">
      <alignment horizontal="left"/>
    </xf>
    <xf numFmtId="0" fontId="13" fillId="17" borderId="38" xfId="0" applyFont="1" applyFill="1" applyBorder="1"/>
    <xf numFmtId="0" fontId="8" fillId="0" borderId="38" xfId="0" applyFont="1" applyBorder="1"/>
    <xf numFmtId="172" fontId="8" fillId="24" borderId="17" xfId="0" applyNumberFormat="1" applyFont="1" applyFill="1" applyBorder="1" applyAlignment="1">
      <alignment horizontal="center"/>
    </xf>
    <xf numFmtId="9" fontId="8" fillId="24" borderId="17" xfId="16" applyFont="1" applyFill="1" applyBorder="1" applyAlignment="1">
      <alignment horizontal="center"/>
    </xf>
    <xf numFmtId="166" fontId="8" fillId="7" borderId="17" xfId="0" applyNumberFormat="1" applyFont="1" applyFill="1" applyBorder="1" applyAlignment="1">
      <alignment horizontal="center"/>
    </xf>
    <xf numFmtId="4" fontId="8" fillId="7" borderId="17" xfId="0" applyNumberFormat="1" applyFont="1" applyFill="1" applyBorder="1" applyAlignment="1">
      <alignment horizontal="center"/>
    </xf>
    <xf numFmtId="9" fontId="33" fillId="7" borderId="46" xfId="16" applyFont="1" applyFill="1" applyBorder="1" applyAlignment="1">
      <alignment horizontal="center"/>
    </xf>
    <xf numFmtId="0" fontId="8" fillId="7" borderId="17" xfId="0" applyFont="1" applyFill="1" applyBorder="1"/>
    <xf numFmtId="9" fontId="8" fillId="7" borderId="17" xfId="16" applyFont="1" applyFill="1" applyBorder="1" applyAlignment="1">
      <alignment horizontal="center"/>
    </xf>
    <xf numFmtId="167" fontId="8" fillId="7" borderId="17" xfId="16" applyNumberFormat="1" applyFont="1" applyFill="1" applyBorder="1" applyAlignment="1">
      <alignment horizontal="center"/>
    </xf>
    <xf numFmtId="9" fontId="8" fillId="7" borderId="17" xfId="16" applyFont="1" applyFill="1" applyBorder="1"/>
    <xf numFmtId="172" fontId="33" fillId="8" borderId="46" xfId="16" applyNumberFormat="1" applyFont="1" applyFill="1" applyBorder="1" applyAlignment="1">
      <alignment horizontal="center"/>
    </xf>
    <xf numFmtId="172" fontId="8" fillId="8" borderId="46" xfId="0" applyNumberFormat="1" applyFont="1" applyFill="1" applyBorder="1" applyAlignment="1">
      <alignment horizontal="center"/>
    </xf>
    <xf numFmtId="0" fontId="47" fillId="32" borderId="46" xfId="0" applyFont="1" applyFill="1" applyBorder="1" applyAlignment="1">
      <alignment horizontal="center"/>
    </xf>
    <xf numFmtId="0" fontId="48" fillId="32" borderId="46" xfId="0" applyFont="1" applyFill="1" applyBorder="1" applyAlignment="1">
      <alignment horizontal="center"/>
    </xf>
    <xf numFmtId="166" fontId="13" fillId="24" borderId="17" xfId="0" applyNumberFormat="1" applyFont="1" applyFill="1" applyBorder="1" applyAlignment="1">
      <alignment horizontal="center"/>
    </xf>
    <xf numFmtId="0" fontId="13" fillId="14" borderId="12" xfId="0" applyFont="1" applyFill="1" applyBorder="1" applyAlignment="1">
      <alignment horizontal="center"/>
    </xf>
    <xf numFmtId="0" fontId="0" fillId="0" borderId="44" xfId="0" applyBorder="1"/>
    <xf numFmtId="0" fontId="0" fillId="0" borderId="59" xfId="0" applyBorder="1"/>
    <xf numFmtId="0" fontId="13" fillId="0" borderId="74" xfId="0" applyFont="1" applyBorder="1" applyAlignment="1">
      <alignment horizontal="left"/>
    </xf>
    <xf numFmtId="0" fontId="13" fillId="0" borderId="75" xfId="0" applyFont="1" applyBorder="1" applyAlignment="1">
      <alignment horizontal="left"/>
    </xf>
    <xf numFmtId="9" fontId="0" fillId="0" borderId="55" xfId="0" applyNumberFormat="1" applyBorder="1"/>
    <xf numFmtId="166" fontId="0" fillId="0" borderId="69" xfId="0" applyNumberFormat="1" applyBorder="1" applyAlignment="1">
      <alignment horizontal="center"/>
    </xf>
    <xf numFmtId="166" fontId="0" fillId="0" borderId="72" xfId="0" applyNumberFormat="1" applyBorder="1" applyAlignment="1">
      <alignment horizontal="center"/>
    </xf>
    <xf numFmtId="0" fontId="0" fillId="33" borderId="76" xfId="0" applyFill="1" applyBorder="1"/>
    <xf numFmtId="0" fontId="0" fillId="33" borderId="77" xfId="0" applyFill="1" applyBorder="1"/>
    <xf numFmtId="10" fontId="0" fillId="33" borderId="77" xfId="0" applyNumberFormat="1" applyFill="1" applyBorder="1"/>
    <xf numFmtId="0" fontId="13" fillId="8" borderId="34" xfId="0" applyFont="1" applyFill="1" applyBorder="1" applyAlignment="1">
      <alignment horizontal="center"/>
    </xf>
    <xf numFmtId="9" fontId="0" fillId="0" borderId="79" xfId="16" applyFont="1" applyBorder="1"/>
    <xf numFmtId="0" fontId="13" fillId="0" borderId="79" xfId="0" applyFont="1" applyBorder="1"/>
    <xf numFmtId="0" fontId="13" fillId="14" borderId="54" xfId="0" applyFont="1" applyFill="1" applyBorder="1" applyAlignment="1">
      <alignment horizontal="center"/>
    </xf>
    <xf numFmtId="9" fontId="13" fillId="14" borderId="54" xfId="16" applyFont="1" applyFill="1" applyBorder="1" applyAlignment="1">
      <alignment horizontal="center"/>
    </xf>
    <xf numFmtId="0" fontId="13" fillId="0" borderId="54" xfId="0" applyFont="1" applyBorder="1" applyAlignment="1">
      <alignment horizontal="center"/>
    </xf>
    <xf numFmtId="166" fontId="0" fillId="0" borderId="80" xfId="0" applyNumberFormat="1" applyBorder="1" applyAlignment="1">
      <alignment horizontal="center"/>
    </xf>
    <xf numFmtId="0" fontId="13" fillId="0" borderId="81" xfId="0" applyFont="1" applyBorder="1"/>
    <xf numFmtId="0" fontId="0" fillId="0" borderId="56" xfId="0" applyBorder="1"/>
    <xf numFmtId="0" fontId="0" fillId="0" borderId="57" xfId="0" applyBorder="1"/>
    <xf numFmtId="0" fontId="0" fillId="0" borderId="58" xfId="0" applyBorder="1"/>
    <xf numFmtId="0" fontId="0" fillId="0" borderId="45" xfId="0" applyBorder="1"/>
    <xf numFmtId="0" fontId="0" fillId="0" borderId="64" xfId="0" applyBorder="1"/>
    <xf numFmtId="0" fontId="0" fillId="0" borderId="65" xfId="0" applyBorder="1"/>
    <xf numFmtId="9" fontId="0" fillId="0" borderId="0" xfId="0" applyNumberFormat="1"/>
    <xf numFmtId="0" fontId="13" fillId="14" borderId="78" xfId="0" applyFont="1" applyFill="1" applyBorder="1" applyAlignment="1">
      <alignment horizontal="center"/>
    </xf>
    <xf numFmtId="0" fontId="0" fillId="33" borderId="61" xfId="0" applyFill="1" applyBorder="1"/>
    <xf numFmtId="0" fontId="0" fillId="33" borderId="63" xfId="0" applyFill="1" applyBorder="1"/>
    <xf numFmtId="0" fontId="13" fillId="0" borderId="61" xfId="0" applyFont="1" applyBorder="1" applyAlignment="1">
      <alignment horizontal="center"/>
    </xf>
    <xf numFmtId="166" fontId="0" fillId="0" borderId="70" xfId="0" applyNumberFormat="1" applyBorder="1" applyAlignment="1">
      <alignment horizontal="center"/>
    </xf>
    <xf numFmtId="166" fontId="0" fillId="0" borderId="73" xfId="0" applyNumberFormat="1" applyBorder="1" applyAlignment="1">
      <alignment horizontal="center"/>
    </xf>
    <xf numFmtId="0" fontId="13" fillId="8" borderId="9" xfId="0" applyFont="1" applyFill="1" applyBorder="1" applyAlignment="1">
      <alignment horizontal="center"/>
    </xf>
    <xf numFmtId="172" fontId="0" fillId="0" borderId="84" xfId="0" applyNumberFormat="1" applyBorder="1" applyAlignment="1">
      <alignment horizontal="center"/>
    </xf>
    <xf numFmtId="172" fontId="0" fillId="0" borderId="86" xfId="0" applyNumberFormat="1" applyBorder="1" applyAlignment="1">
      <alignment horizontal="center"/>
    </xf>
    <xf numFmtId="0" fontId="0" fillId="31" borderId="62" xfId="0" applyFill="1" applyBorder="1"/>
    <xf numFmtId="0" fontId="27" fillId="31" borderId="62" xfId="0" applyFont="1" applyFill="1" applyBorder="1" applyAlignment="1">
      <alignment horizontal="left"/>
    </xf>
    <xf numFmtId="9" fontId="0" fillId="31" borderId="62" xfId="16" applyFont="1" applyFill="1" applyBorder="1" applyAlignment="1">
      <alignment horizontal="center" vertical="center"/>
    </xf>
    <xf numFmtId="170" fontId="27" fillId="31" borderId="63" xfId="0" applyNumberFormat="1" applyFont="1" applyFill="1" applyBorder="1" applyAlignment="1">
      <alignment horizontal="center" vertical="center"/>
    </xf>
    <xf numFmtId="0" fontId="13" fillId="17" borderId="90" xfId="0" applyFont="1" applyFill="1" applyBorder="1"/>
    <xf numFmtId="0" fontId="13" fillId="17" borderId="92" xfId="0" applyFont="1" applyFill="1" applyBorder="1"/>
    <xf numFmtId="172" fontId="0" fillId="0" borderId="93" xfId="0" applyNumberFormat="1" applyBorder="1" applyAlignment="1">
      <alignment horizontal="center"/>
    </xf>
    <xf numFmtId="172" fontId="0" fillId="0" borderId="91" xfId="0" applyNumberFormat="1" applyBorder="1" applyAlignment="1">
      <alignment horizontal="center"/>
    </xf>
    <xf numFmtId="172" fontId="0" fillId="0" borderId="94" xfId="0" applyNumberFormat="1" applyBorder="1" applyAlignment="1">
      <alignment horizontal="center"/>
    </xf>
    <xf numFmtId="0" fontId="27" fillId="32" borderId="95" xfId="0" applyFont="1" applyFill="1" applyBorder="1" applyAlignment="1">
      <alignment horizontal="center"/>
    </xf>
    <xf numFmtId="0" fontId="0" fillId="32" borderId="96" xfId="0" applyFill="1" applyBorder="1"/>
    <xf numFmtId="0" fontId="0" fillId="32" borderId="97" xfId="0" applyFill="1" applyBorder="1"/>
    <xf numFmtId="0" fontId="27" fillId="32" borderId="90" xfId="0" applyFont="1" applyFill="1" applyBorder="1" applyAlignment="1">
      <alignment horizontal="center"/>
    </xf>
    <xf numFmtId="0" fontId="0" fillId="32" borderId="86" xfId="0" applyFill="1" applyBorder="1"/>
    <xf numFmtId="0" fontId="0" fillId="32" borderId="91" xfId="0" applyFill="1" applyBorder="1"/>
    <xf numFmtId="0" fontId="13" fillId="0" borderId="88" xfId="0" applyFont="1" applyBorder="1" applyAlignment="1">
      <alignment horizontal="left" vertical="center"/>
    </xf>
    <xf numFmtId="0" fontId="46" fillId="5" borderId="61" xfId="0" applyFont="1" applyFill="1" applyBorder="1" applyAlignment="1">
      <alignment horizontal="left" vertical="center"/>
    </xf>
    <xf numFmtId="0" fontId="46" fillId="31" borderId="61" xfId="0" applyFont="1" applyFill="1" applyBorder="1" applyAlignment="1">
      <alignment horizontal="left" vertical="center"/>
    </xf>
    <xf numFmtId="0" fontId="46" fillId="13" borderId="63" xfId="0" applyFont="1" applyFill="1" applyBorder="1" applyAlignment="1">
      <alignment horizontal="center"/>
    </xf>
    <xf numFmtId="0" fontId="13" fillId="8" borderId="88" xfId="0" applyFont="1" applyFill="1" applyBorder="1" applyAlignment="1">
      <alignment horizontal="left" vertical="center"/>
    </xf>
    <xf numFmtId="0" fontId="13" fillId="8" borderId="90" xfId="0" applyFont="1" applyFill="1" applyBorder="1" applyAlignment="1">
      <alignment horizontal="left" vertical="center"/>
    </xf>
    <xf numFmtId="0" fontId="0" fillId="31" borderId="62" xfId="0" applyFill="1" applyBorder="1" applyAlignment="1">
      <alignment horizontal="center"/>
    </xf>
    <xf numFmtId="0" fontId="8" fillId="0" borderId="56" xfId="0" applyFont="1" applyBorder="1"/>
    <xf numFmtId="0" fontId="49" fillId="5" borderId="53" xfId="0" applyFont="1" applyFill="1" applyBorder="1" applyAlignment="1">
      <alignment horizontal="center"/>
    </xf>
    <xf numFmtId="0" fontId="49" fillId="5" borderId="53" xfId="0" applyFont="1" applyFill="1" applyBorder="1"/>
    <xf numFmtId="0" fontId="0" fillId="0" borderId="53" xfId="0" applyBorder="1"/>
    <xf numFmtId="172" fontId="0" fillId="24" borderId="86" xfId="0" applyNumberFormat="1" applyFill="1" applyBorder="1" applyAlignment="1">
      <alignment horizontal="center"/>
    </xf>
    <xf numFmtId="172" fontId="0" fillId="24" borderId="93" xfId="0" applyNumberFormat="1" applyFill="1" applyBorder="1" applyAlignment="1">
      <alignment horizontal="center"/>
    </xf>
    <xf numFmtId="0" fontId="29" fillId="0" borderId="10" xfId="26" applyFont="1" applyBorder="1" applyAlignment="1">
      <alignment horizontal="center"/>
    </xf>
    <xf numFmtId="0" fontId="29" fillId="0" borderId="15" xfId="26" applyFont="1" applyBorder="1" applyAlignment="1">
      <alignment horizontal="center"/>
    </xf>
    <xf numFmtId="0" fontId="29" fillId="0" borderId="10" xfId="26" applyFont="1" applyBorder="1" applyAlignment="1">
      <alignment horizontal="center" vertical="center"/>
    </xf>
    <xf numFmtId="0" fontId="29" fillId="0" borderId="15" xfId="26" applyFont="1" applyBorder="1" applyAlignment="1">
      <alignment horizontal="center" vertical="center"/>
    </xf>
    <xf numFmtId="0" fontId="29" fillId="0" borderId="14" xfId="26" applyFont="1" applyBorder="1" applyAlignment="1">
      <alignment horizontal="center"/>
    </xf>
    <xf numFmtId="0" fontId="29" fillId="0" borderId="16" xfId="26" applyFont="1" applyBorder="1" applyAlignment="1">
      <alignment horizontal="center"/>
    </xf>
    <xf numFmtId="0" fontId="50" fillId="5" borderId="101" xfId="4" applyFont="1" applyFill="1" applyBorder="1" applyAlignment="1">
      <alignment horizontal="center" vertical="center"/>
    </xf>
    <xf numFmtId="0" fontId="50" fillId="5" borderId="101" xfId="3" applyFont="1" applyFill="1" applyBorder="1" applyAlignment="1">
      <alignment horizontal="center" vertical="center" wrapText="1"/>
    </xf>
    <xf numFmtId="0" fontId="50" fillId="5" borderId="101" xfId="3" applyFont="1" applyFill="1" applyBorder="1" applyAlignment="1">
      <alignment horizontal="center" vertical="center"/>
    </xf>
    <xf numFmtId="0" fontId="8" fillId="3" borderId="101" xfId="10" applyFont="1" applyBorder="1" applyAlignment="1">
      <alignment horizontal="center" vertical="center"/>
    </xf>
    <xf numFmtId="169" fontId="8" fillId="8" borderId="101" xfId="6" applyFont="1" applyFill="1" applyBorder="1" applyAlignment="1">
      <alignment horizontal="right" vertical="center" wrapText="1"/>
    </xf>
    <xf numFmtId="0" fontId="29" fillId="3" borderId="101" xfId="10" applyFont="1" applyBorder="1" applyAlignment="1">
      <alignment vertical="center"/>
    </xf>
    <xf numFmtId="169" fontId="8" fillId="3" borderId="101" xfId="6" applyFont="1" applyBorder="1" applyAlignment="1">
      <alignment horizontal="right" vertical="center" wrapText="1"/>
    </xf>
    <xf numFmtId="0" fontId="29" fillId="3" borderId="101" xfId="10" applyFont="1" applyBorder="1" applyAlignment="1">
      <alignment horizontal="center" vertical="center"/>
    </xf>
    <xf numFmtId="3" fontId="13" fillId="34" borderId="103" xfId="5" applyFont="1" applyFill="1" applyBorder="1" applyAlignment="1">
      <alignment horizontal="center" vertical="center"/>
    </xf>
    <xf numFmtId="0" fontId="13" fillId="0" borderId="0" xfId="26" applyFont="1" applyAlignment="1">
      <alignment vertical="center"/>
    </xf>
    <xf numFmtId="0" fontId="8" fillId="12" borderId="0" xfId="26" applyFill="1" applyAlignment="1">
      <alignment vertical="center"/>
    </xf>
    <xf numFmtId="0" fontId="28" fillId="0" borderId="101" xfId="9" applyFont="1" applyFill="1" applyBorder="1" applyAlignment="1">
      <alignment horizontal="center" vertical="center"/>
    </xf>
    <xf numFmtId="3" fontId="51" fillId="34" borderId="102" xfId="5" applyFont="1" applyFill="1" applyBorder="1" applyAlignment="1">
      <alignment horizontal="right" vertical="center"/>
    </xf>
    <xf numFmtId="3" fontId="51" fillId="34" borderId="103" xfId="5" applyFont="1" applyFill="1" applyBorder="1" applyAlignment="1">
      <alignment horizontal="right" vertical="center"/>
    </xf>
    <xf numFmtId="3" fontId="51" fillId="34" borderId="104" xfId="5" applyFont="1" applyFill="1" applyBorder="1" applyAlignment="1">
      <alignment horizontal="right" vertical="center"/>
    </xf>
    <xf numFmtId="169" fontId="8" fillId="3" borderId="101" xfId="6" applyFont="1" applyBorder="1" applyAlignment="1">
      <alignment horizontal="center" vertical="center"/>
    </xf>
    <xf numFmtId="4" fontId="32" fillId="0" borderId="101" xfId="7" applyFont="1" applyFill="1" applyBorder="1" applyAlignment="1">
      <alignment horizontal="right" vertical="center"/>
    </xf>
    <xf numFmtId="0" fontId="0" fillId="34" borderId="103" xfId="0" applyFill="1" applyBorder="1" applyAlignment="1">
      <alignment horizontal="center" vertical="center"/>
    </xf>
    <xf numFmtId="4" fontId="8" fillId="34" borderId="103" xfId="7" applyFont="1" applyFill="1" applyBorder="1" applyAlignment="1">
      <alignment horizontal="right" vertical="center"/>
    </xf>
    <xf numFmtId="3" fontId="13" fillId="34" borderId="104" xfId="5" applyFont="1" applyFill="1" applyBorder="1" applyAlignment="1">
      <alignment horizontal="right" vertical="center" wrapText="1"/>
    </xf>
    <xf numFmtId="4" fontId="8" fillId="8" borderId="101" xfId="7" applyFont="1" applyFill="1" applyBorder="1" applyAlignment="1">
      <alignment horizontal="right" vertical="center" wrapText="1"/>
    </xf>
    <xf numFmtId="4" fontId="8" fillId="3" borderId="101" xfId="7" applyFont="1" applyBorder="1" applyAlignment="1">
      <alignment horizontal="center" vertical="center"/>
    </xf>
    <xf numFmtId="4" fontId="8" fillId="3" borderId="101" xfId="7" applyFont="1" applyBorder="1" applyAlignment="1">
      <alignment horizontal="right" vertical="center" wrapText="1"/>
    </xf>
    <xf numFmtId="0" fontId="29" fillId="0" borderId="101" xfId="10" applyFont="1" applyFill="1" applyBorder="1" applyAlignment="1">
      <alignment vertical="center"/>
    </xf>
    <xf numFmtId="0" fontId="8" fillId="0" borderId="101" xfId="10" applyFont="1" applyFill="1" applyBorder="1" applyAlignment="1">
      <alignment horizontal="center" vertical="center"/>
    </xf>
    <xf numFmtId="0" fontId="8" fillId="0" borderId="101" xfId="27" applyFont="1" applyBorder="1" applyAlignment="1">
      <alignment horizontal="right" vertical="center" wrapText="1"/>
    </xf>
    <xf numFmtId="3" fontId="13" fillId="34" borderId="102" xfId="5" applyFont="1" applyFill="1" applyBorder="1" applyAlignment="1">
      <alignment horizontal="right" vertical="center"/>
    </xf>
    <xf numFmtId="4" fontId="8" fillId="6" borderId="101" xfId="7" applyFont="1" applyFill="1" applyBorder="1" applyAlignment="1">
      <alignment horizontal="right" vertical="center"/>
    </xf>
    <xf numFmtId="4" fontId="8" fillId="6" borderId="101" xfId="7" applyFont="1" applyFill="1" applyBorder="1" applyAlignment="1">
      <alignment horizontal="center" vertical="center"/>
    </xf>
    <xf numFmtId="4" fontId="8" fillId="0" borderId="101" xfId="7" applyFont="1" applyFill="1" applyBorder="1" applyAlignment="1">
      <alignment horizontal="right" vertical="center" wrapText="1"/>
    </xf>
    <xf numFmtId="0" fontId="29" fillId="3" borderId="101" xfId="10" applyFont="1" applyBorder="1" applyAlignment="1">
      <alignment vertical="center" wrapText="1"/>
    </xf>
    <xf numFmtId="4" fontId="8" fillId="0" borderId="101" xfId="7" applyFont="1" applyFill="1" applyBorder="1" applyAlignment="1">
      <alignment horizontal="center" vertical="center"/>
    </xf>
    <xf numFmtId="0" fontId="50" fillId="32" borderId="101" xfId="3" applyFont="1" applyFill="1" applyBorder="1" applyAlignment="1">
      <alignment horizontal="center" vertical="center" wrapText="1"/>
    </xf>
    <xf numFmtId="0" fontId="35" fillId="12" borderId="101" xfId="26" applyFont="1" applyFill="1" applyBorder="1" applyAlignment="1">
      <alignment horizontal="center" vertical="center"/>
    </xf>
    <xf numFmtId="0" fontId="53" fillId="0" borderId="0" xfId="0" applyFont="1"/>
    <xf numFmtId="0" fontId="55" fillId="0" borderId="0" xfId="0" applyFont="1"/>
    <xf numFmtId="0" fontId="13" fillId="0" borderId="33" xfId="0" applyFont="1" applyBorder="1" applyAlignment="1">
      <alignment horizontal="center"/>
    </xf>
    <xf numFmtId="0" fontId="13" fillId="0" borderId="31" xfId="0" applyFont="1" applyBorder="1" applyAlignment="1">
      <alignment horizontal="center"/>
    </xf>
    <xf numFmtId="0" fontId="55" fillId="0" borderId="33" xfId="0" applyFont="1" applyBorder="1" applyAlignment="1">
      <alignment horizontal="center"/>
    </xf>
    <xf numFmtId="0" fontId="55" fillId="0" borderId="31" xfId="0" applyFont="1" applyBorder="1" applyAlignment="1">
      <alignment horizontal="center"/>
    </xf>
    <xf numFmtId="0" fontId="55" fillId="0" borderId="27" xfId="0" applyFont="1" applyBorder="1"/>
    <xf numFmtId="0" fontId="55" fillId="0" borderId="105" xfId="0" applyFont="1" applyBorder="1" applyAlignment="1">
      <alignment horizontal="center" vertical="center"/>
    </xf>
    <xf numFmtId="0" fontId="55" fillId="0" borderId="109" xfId="0" applyFont="1" applyBorder="1" applyAlignment="1">
      <alignment horizontal="center" vertical="center"/>
    </xf>
    <xf numFmtId="0" fontId="13" fillId="12" borderId="112" xfId="0" applyFont="1" applyFill="1" applyBorder="1" applyAlignment="1">
      <alignment horizontal="center"/>
    </xf>
    <xf numFmtId="0" fontId="55" fillId="12" borderId="112" xfId="0" applyFont="1" applyFill="1" applyBorder="1"/>
    <xf numFmtId="0" fontId="55" fillId="12" borderId="118" xfId="0" applyFont="1" applyFill="1" applyBorder="1"/>
    <xf numFmtId="0" fontId="53" fillId="12" borderId="118" xfId="0" applyFont="1" applyFill="1" applyBorder="1"/>
    <xf numFmtId="10" fontId="0" fillId="0" borderId="115" xfId="0" applyNumberFormat="1" applyBorder="1" applyAlignment="1">
      <alignment horizontal="center" vertical="center"/>
    </xf>
    <xf numFmtId="10" fontId="0" fillId="0" borderId="119" xfId="0" applyNumberFormat="1" applyBorder="1" applyAlignment="1">
      <alignment horizontal="center" vertical="center"/>
    </xf>
    <xf numFmtId="10" fontId="0" fillId="0" borderId="120" xfId="0" applyNumberFormat="1" applyBorder="1" applyAlignment="1">
      <alignment horizontal="center" vertical="center"/>
    </xf>
    <xf numFmtId="0" fontId="55" fillId="0" borderId="121" xfId="0" applyFont="1" applyBorder="1" applyAlignment="1">
      <alignment horizontal="center" vertical="center"/>
    </xf>
    <xf numFmtId="0" fontId="55" fillId="0" borderId="122" xfId="0" applyFont="1" applyBorder="1" applyAlignment="1">
      <alignment horizontal="center" vertical="center"/>
    </xf>
    <xf numFmtId="0" fontId="27" fillId="5" borderId="8" xfId="26" applyFont="1" applyFill="1" applyBorder="1" applyAlignment="1">
      <alignment horizontal="center"/>
    </xf>
    <xf numFmtId="0" fontId="53" fillId="8" borderId="0" xfId="0" applyFont="1" applyFill="1"/>
    <xf numFmtId="0" fontId="8" fillId="37" borderId="27" xfId="0" applyFont="1" applyFill="1" applyBorder="1"/>
    <xf numFmtId="0" fontId="55" fillId="0" borderId="127" xfId="0" applyFont="1" applyBorder="1" applyAlignment="1">
      <alignment horizontal="center"/>
    </xf>
    <xf numFmtId="0" fontId="53" fillId="12" borderId="128" xfId="0" applyFont="1" applyFill="1" applyBorder="1" applyAlignment="1">
      <alignment horizontal="center"/>
    </xf>
    <xf numFmtId="0" fontId="8" fillId="39" borderId="128" xfId="0" applyFont="1" applyFill="1" applyBorder="1"/>
    <xf numFmtId="0" fontId="8" fillId="39" borderId="0" xfId="0" applyFont="1" applyFill="1"/>
    <xf numFmtId="0" fontId="13" fillId="41" borderId="27" xfId="0" quotePrefix="1" applyFont="1" applyFill="1" applyBorder="1"/>
    <xf numFmtId="0" fontId="13" fillId="41" borderId="0" xfId="0" quotePrefix="1" applyFont="1" applyFill="1"/>
    <xf numFmtId="0" fontId="53" fillId="39" borderId="0" xfId="0" applyFont="1" applyFill="1"/>
    <xf numFmtId="0" fontId="13" fillId="0" borderId="143" xfId="0" applyFont="1" applyBorder="1" applyAlignment="1">
      <alignment horizontal="center"/>
    </xf>
    <xf numFmtId="0" fontId="13" fillId="0" borderId="36" xfId="0" applyFont="1" applyBorder="1" applyAlignment="1">
      <alignment horizontal="center"/>
    </xf>
    <xf numFmtId="0" fontId="13" fillId="0" borderId="144" xfId="0" applyFont="1" applyBorder="1" applyAlignment="1">
      <alignment horizontal="center"/>
    </xf>
    <xf numFmtId="0" fontId="13" fillId="0" borderId="135" xfId="0" applyFont="1" applyBorder="1" applyAlignment="1">
      <alignment horizontal="center"/>
    </xf>
    <xf numFmtId="0" fontId="8" fillId="39" borderId="113" xfId="0" applyFont="1" applyFill="1" applyBorder="1"/>
    <xf numFmtId="10" fontId="0" fillId="0" borderId="0" xfId="16" applyNumberFormat="1" applyFont="1"/>
    <xf numFmtId="3" fontId="23" fillId="0" borderId="0" xfId="0" applyNumberFormat="1" applyFont="1" applyAlignment="1">
      <alignment horizontal="center" vertical="center"/>
    </xf>
    <xf numFmtId="3" fontId="35" fillId="19" borderId="0" xfId="0" applyNumberFormat="1" applyFont="1" applyFill="1" applyAlignment="1">
      <alignment horizontal="center" vertical="center"/>
    </xf>
    <xf numFmtId="167" fontId="33" fillId="43" borderId="138" xfId="30" applyNumberFormat="1" applyFont="1" applyFill="1" applyBorder="1" applyAlignment="1">
      <alignment horizontal="center" vertical="center"/>
    </xf>
    <xf numFmtId="0" fontId="58" fillId="0" borderId="140" xfId="0" applyFont="1" applyBorder="1" applyAlignment="1">
      <alignment horizontal="center" vertical="center"/>
    </xf>
    <xf numFmtId="0" fontId="58" fillId="0" borderId="40" xfId="0" applyFont="1" applyBorder="1" applyAlignment="1">
      <alignment horizontal="center" vertical="center"/>
    </xf>
    <xf numFmtId="0" fontId="58" fillId="41" borderId="140" xfId="0" applyFont="1" applyFill="1" applyBorder="1" applyAlignment="1">
      <alignment horizontal="center" vertical="center"/>
    </xf>
    <xf numFmtId="0" fontId="58" fillId="41" borderId="40" xfId="0" applyFont="1" applyFill="1" applyBorder="1" applyAlignment="1">
      <alignment horizontal="center" vertical="center"/>
    </xf>
    <xf numFmtId="3" fontId="58" fillId="40" borderId="40" xfId="0" applyNumberFormat="1" applyFont="1" applyFill="1" applyBorder="1" applyAlignment="1">
      <alignment horizontal="center" vertical="center"/>
    </xf>
    <xf numFmtId="3" fontId="58" fillId="40" borderId="140" xfId="0" applyNumberFormat="1" applyFont="1" applyFill="1" applyBorder="1" applyAlignment="1">
      <alignment horizontal="center" vertical="center"/>
    </xf>
    <xf numFmtId="0" fontId="61" fillId="0" borderId="40" xfId="0" applyFont="1" applyBorder="1" applyAlignment="1">
      <alignment horizontal="center" vertical="center"/>
    </xf>
    <xf numFmtId="9" fontId="38" fillId="0" borderId="0" xfId="16" applyFont="1"/>
    <xf numFmtId="9" fontId="0" fillId="0" borderId="80" xfId="0" applyNumberFormat="1" applyBorder="1" applyAlignment="1">
      <alignment horizontal="center"/>
    </xf>
    <xf numFmtId="9" fontId="13" fillId="0" borderId="61" xfId="0" applyNumberFormat="1" applyFont="1" applyBorder="1" applyAlignment="1">
      <alignment horizontal="center"/>
    </xf>
    <xf numFmtId="9" fontId="13" fillId="0" borderId="62" xfId="0" applyNumberFormat="1" applyFont="1" applyBorder="1" applyAlignment="1">
      <alignment horizontal="center"/>
    </xf>
    <xf numFmtId="9" fontId="8" fillId="0" borderId="66" xfId="0" applyNumberFormat="1" applyFont="1" applyBorder="1" applyAlignment="1">
      <alignment horizontal="center"/>
    </xf>
    <xf numFmtId="9" fontId="8" fillId="0" borderId="68" xfId="0" applyNumberFormat="1" applyFont="1" applyBorder="1" applyAlignment="1">
      <alignment horizontal="center"/>
    </xf>
    <xf numFmtId="9" fontId="8" fillId="0" borderId="71" xfId="0" applyNumberFormat="1" applyFont="1" applyBorder="1" applyAlignment="1">
      <alignment horizontal="center"/>
    </xf>
    <xf numFmtId="10" fontId="0" fillId="0" borderId="0" xfId="0" applyNumberFormat="1"/>
    <xf numFmtId="4" fontId="32" fillId="12" borderId="101" xfId="7" applyFont="1" applyFill="1" applyBorder="1" applyAlignment="1">
      <alignment horizontal="right" vertical="center"/>
    </xf>
    <xf numFmtId="4" fontId="8" fillId="0" borderId="0" xfId="7" applyFont="1" applyFill="1" applyBorder="1">
      <alignment horizontal="right"/>
    </xf>
    <xf numFmtId="4" fontId="32" fillId="0" borderId="0" xfId="7" applyFont="1" applyFill="1" applyBorder="1">
      <alignment horizontal="right"/>
    </xf>
    <xf numFmtId="4" fontId="32" fillId="28" borderId="101" xfId="7" applyFont="1" applyFill="1" applyBorder="1" applyAlignment="1">
      <alignment horizontal="right" vertical="center"/>
    </xf>
    <xf numFmtId="4" fontId="25" fillId="12" borderId="101" xfId="7" applyFont="1" applyFill="1" applyBorder="1" applyAlignment="1">
      <alignment horizontal="right" vertical="center"/>
    </xf>
    <xf numFmtId="4" fontId="25" fillId="28" borderId="101" xfId="7" applyFont="1" applyFill="1" applyBorder="1" applyAlignment="1">
      <alignment horizontal="right" vertical="center"/>
    </xf>
    <xf numFmtId="3" fontId="58" fillId="40" borderId="40" xfId="0" quotePrefix="1" applyNumberFormat="1" applyFont="1" applyFill="1" applyBorder="1" applyAlignment="1">
      <alignment horizontal="center" vertical="center"/>
    </xf>
    <xf numFmtId="3" fontId="58" fillId="40" borderId="140" xfId="0" quotePrefix="1" applyNumberFormat="1" applyFont="1" applyFill="1" applyBorder="1" applyAlignment="1">
      <alignment horizontal="center" vertical="center"/>
    </xf>
    <xf numFmtId="1" fontId="53" fillId="40" borderId="33" xfId="0" applyNumberFormat="1" applyFont="1" applyFill="1" applyBorder="1" applyAlignment="1">
      <alignment horizontal="center" vertical="center"/>
    </xf>
    <xf numFmtId="4" fontId="5" fillId="0" borderId="40" xfId="29" applyNumberFormat="1" applyBorder="1" applyAlignment="1">
      <alignment horizontal="center"/>
    </xf>
    <xf numFmtId="0" fontId="26" fillId="0" borderId="0" xfId="0" applyFont="1" applyAlignment="1">
      <alignment horizontal="center"/>
    </xf>
    <xf numFmtId="0" fontId="65" fillId="0" borderId="0" xfId="0" applyFont="1"/>
    <xf numFmtId="0" fontId="0" fillId="0" borderId="40" xfId="0" applyBorder="1"/>
    <xf numFmtId="0" fontId="64" fillId="0" borderId="0" xfId="0" applyFont="1"/>
    <xf numFmtId="3" fontId="53" fillId="0" borderId="33" xfId="0" applyNumberFormat="1" applyFont="1" applyBorder="1" applyAlignment="1">
      <alignment horizontal="center" vertical="center"/>
    </xf>
    <xf numFmtId="0" fontId="53" fillId="0" borderId="33" xfId="0" applyFont="1" applyBorder="1" applyAlignment="1">
      <alignment horizontal="center" vertical="center"/>
    </xf>
    <xf numFmtId="167" fontId="33" fillId="38" borderId="40" xfId="16" applyNumberFormat="1" applyFont="1" applyFill="1" applyBorder="1" applyAlignment="1">
      <alignment horizontal="center" vertical="center"/>
    </xf>
    <xf numFmtId="3" fontId="61" fillId="0" borderId="40" xfId="0" applyNumberFormat="1" applyFont="1" applyBorder="1" applyAlignment="1">
      <alignment horizontal="center" vertical="center"/>
    </xf>
    <xf numFmtId="3" fontId="61" fillId="38" borderId="40" xfId="0" applyNumberFormat="1" applyFont="1" applyFill="1" applyBorder="1" applyAlignment="1">
      <alignment horizontal="center" vertical="center"/>
    </xf>
    <xf numFmtId="167" fontId="33" fillId="43" borderId="156" xfId="30" applyNumberFormat="1" applyFont="1" applyFill="1" applyBorder="1" applyAlignment="1">
      <alignment horizontal="center" vertical="center"/>
    </xf>
    <xf numFmtId="3" fontId="4" fillId="43" borderId="38" xfId="30" applyNumberFormat="1" applyFill="1" applyBorder="1" applyAlignment="1">
      <alignment horizontal="center" vertical="center"/>
    </xf>
    <xf numFmtId="167" fontId="33" fillId="38" borderId="38" xfId="16" applyNumberFormat="1" applyFont="1" applyFill="1" applyBorder="1" applyAlignment="1">
      <alignment horizontal="center" vertical="center"/>
    </xf>
    <xf numFmtId="3" fontId="61" fillId="0" borderId="38" xfId="0" applyNumberFormat="1" applyFont="1" applyBorder="1" applyAlignment="1">
      <alignment horizontal="center" vertical="center"/>
    </xf>
    <xf numFmtId="0" fontId="61" fillId="0" borderId="38" xfId="0" applyFont="1" applyBorder="1" applyAlignment="1">
      <alignment horizontal="center" vertical="center"/>
    </xf>
    <xf numFmtId="3" fontId="61" fillId="38" borderId="38" xfId="0" applyNumberFormat="1" applyFont="1" applyFill="1" applyBorder="1" applyAlignment="1">
      <alignment horizontal="center" vertical="center"/>
    </xf>
    <xf numFmtId="0" fontId="61" fillId="38" borderId="157" xfId="0" applyFont="1" applyFill="1" applyBorder="1" applyAlignment="1">
      <alignment horizontal="center" vertical="center"/>
    </xf>
    <xf numFmtId="1" fontId="53" fillId="0" borderId="40" xfId="0" applyNumberFormat="1" applyFont="1" applyBorder="1" applyAlignment="1">
      <alignment horizontal="center" vertical="center"/>
    </xf>
    <xf numFmtId="1" fontId="58" fillId="0" borderId="40" xfId="0" applyNumberFormat="1" applyFont="1" applyBorder="1" applyAlignment="1">
      <alignment horizontal="center" vertical="center"/>
    </xf>
    <xf numFmtId="1" fontId="53" fillId="0" borderId="140" xfId="0" applyNumberFormat="1" applyFont="1" applyBorder="1" applyAlignment="1">
      <alignment horizontal="center" vertical="center"/>
    </xf>
    <xf numFmtId="1" fontId="53" fillId="0" borderId="131" xfId="0" applyNumberFormat="1" applyFont="1" applyBorder="1" applyAlignment="1">
      <alignment horizontal="center" vertical="center"/>
    </xf>
    <xf numFmtId="1" fontId="58" fillId="0" borderId="140" xfId="0" applyNumberFormat="1" applyFont="1" applyBorder="1" applyAlignment="1">
      <alignment horizontal="center" vertical="center"/>
    </xf>
    <xf numFmtId="1" fontId="61" fillId="38" borderId="141" xfId="0" applyNumberFormat="1" applyFont="1" applyFill="1" applyBorder="1" applyAlignment="1">
      <alignment horizontal="center" vertical="center"/>
    </xf>
    <xf numFmtId="1" fontId="61" fillId="38" borderId="154" xfId="0" applyNumberFormat="1" applyFont="1" applyFill="1" applyBorder="1" applyAlignment="1">
      <alignment horizontal="center" vertical="center"/>
    </xf>
    <xf numFmtId="1" fontId="61" fillId="38" borderId="155" xfId="0" applyNumberFormat="1" applyFont="1" applyFill="1" applyBorder="1" applyAlignment="1">
      <alignment horizontal="center" vertical="center"/>
    </xf>
    <xf numFmtId="167" fontId="8" fillId="0" borderId="137" xfId="16" applyNumberFormat="1" applyFont="1" applyFill="1" applyBorder="1" applyAlignment="1">
      <alignment horizontal="center" vertical="center"/>
    </xf>
    <xf numFmtId="167" fontId="8" fillId="0" borderId="138" xfId="16" applyNumberFormat="1" applyFont="1" applyFill="1" applyBorder="1" applyAlignment="1">
      <alignment horizontal="center" vertical="center"/>
    </xf>
    <xf numFmtId="167" fontId="0" fillId="0" borderId="139" xfId="16" applyNumberFormat="1" applyFont="1" applyFill="1" applyBorder="1" applyAlignment="1">
      <alignment horizontal="center" vertical="center"/>
    </xf>
    <xf numFmtId="167" fontId="33" fillId="0" borderId="140" xfId="16" applyNumberFormat="1" applyFont="1" applyFill="1" applyBorder="1" applyAlignment="1">
      <alignment horizontal="center" vertical="center"/>
    </xf>
    <xf numFmtId="167" fontId="33" fillId="0" borderId="40" xfId="16" applyNumberFormat="1" applyFont="1" applyFill="1" applyBorder="1" applyAlignment="1">
      <alignment horizontal="center" vertical="center"/>
    </xf>
    <xf numFmtId="167" fontId="33" fillId="0" borderId="131" xfId="16" applyNumberFormat="1" applyFont="1" applyFill="1" applyBorder="1" applyAlignment="1">
      <alignment horizontal="center" vertical="center"/>
    </xf>
    <xf numFmtId="1" fontId="61" fillId="0" borderId="140" xfId="0" applyNumberFormat="1" applyFont="1" applyBorder="1" applyAlignment="1">
      <alignment horizontal="center" vertical="center"/>
    </xf>
    <xf numFmtId="1" fontId="61" fillId="0" borderId="40" xfId="0" applyNumberFormat="1" applyFont="1" applyBorder="1" applyAlignment="1">
      <alignment horizontal="center" vertical="center"/>
    </xf>
    <xf numFmtId="1" fontId="61" fillId="0" borderId="131" xfId="0" applyNumberFormat="1" applyFont="1" applyBorder="1" applyAlignment="1">
      <alignment horizontal="center" vertical="center"/>
    </xf>
    <xf numFmtId="1" fontId="58" fillId="41" borderId="40" xfId="0" applyNumberFormat="1" applyFont="1" applyFill="1" applyBorder="1" applyAlignment="1">
      <alignment horizontal="center" vertical="center"/>
    </xf>
    <xf numFmtId="1" fontId="58" fillId="41" borderId="140" xfId="0" applyNumberFormat="1" applyFont="1" applyFill="1" applyBorder="1" applyAlignment="1">
      <alignment horizontal="center" vertical="center"/>
    </xf>
    <xf numFmtId="1" fontId="53" fillId="40" borderId="40" xfId="0" applyNumberFormat="1" applyFont="1" applyFill="1" applyBorder="1" applyAlignment="1">
      <alignment horizontal="center" vertical="center"/>
    </xf>
    <xf numFmtId="1" fontId="53" fillId="40" borderId="137" xfId="0" applyNumberFormat="1" applyFont="1" applyFill="1" applyBorder="1" applyAlignment="1">
      <alignment horizontal="center" vertical="center"/>
    </xf>
    <xf numFmtId="1" fontId="53" fillId="40" borderId="138" xfId="0" applyNumberFormat="1" applyFont="1" applyFill="1" applyBorder="1" applyAlignment="1">
      <alignment horizontal="center" vertical="center"/>
    </xf>
    <xf numFmtId="1" fontId="53" fillId="40" borderId="140" xfId="0" applyNumberFormat="1" applyFont="1" applyFill="1" applyBorder="1" applyAlignment="1">
      <alignment horizontal="center" vertical="center"/>
    </xf>
    <xf numFmtId="1" fontId="53" fillId="40" borderId="156" xfId="0" applyNumberFormat="1" applyFont="1" applyFill="1" applyBorder="1" applyAlignment="1">
      <alignment horizontal="center" vertical="center"/>
    </xf>
    <xf numFmtId="1" fontId="53" fillId="40" borderId="38" xfId="0" applyNumberFormat="1" applyFont="1" applyFill="1" applyBorder="1" applyAlignment="1">
      <alignment horizontal="center" vertical="center"/>
    </xf>
    <xf numFmtId="1" fontId="0" fillId="0" borderId="40" xfId="0" applyNumberFormat="1" applyBorder="1" applyAlignment="1">
      <alignment horizontal="center" vertical="center"/>
    </xf>
    <xf numFmtId="1" fontId="0" fillId="0" borderId="137" xfId="0" applyNumberFormat="1" applyBorder="1" applyAlignment="1">
      <alignment horizontal="center" vertical="center"/>
    </xf>
    <xf numFmtId="1" fontId="0" fillId="0" borderId="138" xfId="0" applyNumberFormat="1" applyBorder="1" applyAlignment="1">
      <alignment horizontal="center" vertical="center"/>
    </xf>
    <xf numFmtId="1" fontId="0" fillId="0" borderId="139" xfId="0" applyNumberFormat="1" applyBorder="1" applyAlignment="1">
      <alignment horizontal="center" vertical="center"/>
    </xf>
    <xf numFmtId="1" fontId="0" fillId="0" borderId="140" xfId="0" applyNumberFormat="1" applyBorder="1" applyAlignment="1">
      <alignment horizontal="center" vertical="center"/>
    </xf>
    <xf numFmtId="1" fontId="0" fillId="0" borderId="131" xfId="0" applyNumberFormat="1" applyBorder="1" applyAlignment="1">
      <alignment horizontal="center" vertical="center"/>
    </xf>
    <xf numFmtId="1" fontId="53" fillId="40" borderId="129" xfId="0" applyNumberFormat="1" applyFont="1" applyFill="1" applyBorder="1" applyAlignment="1">
      <alignment horizontal="center" vertical="center"/>
    </xf>
    <xf numFmtId="1" fontId="53" fillId="40" borderId="130" xfId="0" applyNumberFormat="1" applyFont="1" applyFill="1" applyBorder="1" applyAlignment="1">
      <alignment horizontal="center" vertical="center"/>
    </xf>
    <xf numFmtId="4" fontId="5" fillId="0" borderId="140" xfId="29" applyNumberFormat="1" applyBorder="1" applyAlignment="1">
      <alignment horizontal="center"/>
    </xf>
    <xf numFmtId="4" fontId="5" fillId="0" borderId="131" xfId="29" applyNumberFormat="1" applyBorder="1" applyAlignment="1">
      <alignment horizontal="center"/>
    </xf>
    <xf numFmtId="9" fontId="0" fillId="0" borderId="0" xfId="16" applyFont="1" applyBorder="1" applyAlignment="1">
      <alignment horizontal="left"/>
    </xf>
    <xf numFmtId="3" fontId="58" fillId="0" borderId="40" xfId="0" applyNumberFormat="1" applyFont="1" applyBorder="1" applyAlignment="1">
      <alignment horizontal="center" vertical="center"/>
    </xf>
    <xf numFmtId="3" fontId="58" fillId="0" borderId="140" xfId="0" applyNumberFormat="1" applyFont="1" applyBorder="1" applyAlignment="1">
      <alignment horizontal="center" vertical="center"/>
    </xf>
    <xf numFmtId="2" fontId="8" fillId="24" borderId="17" xfId="0" applyNumberFormat="1" applyFont="1" applyFill="1" applyBorder="1" applyAlignment="1">
      <alignment horizontal="center"/>
    </xf>
    <xf numFmtId="3" fontId="35" fillId="19" borderId="0" xfId="21" applyNumberFormat="1" applyFont="1" applyFill="1" applyAlignment="1">
      <alignment horizontal="center" vertical="center"/>
    </xf>
    <xf numFmtId="3" fontId="35" fillId="0" borderId="0" xfId="0" applyNumberFormat="1" applyFont="1" applyAlignment="1">
      <alignment horizontal="center" vertical="center"/>
    </xf>
    <xf numFmtId="0" fontId="0" fillId="0" borderId="0" xfId="0" applyAlignment="1">
      <alignment horizontal="center" vertical="center"/>
    </xf>
    <xf numFmtId="172" fontId="0" fillId="0" borderId="86" xfId="0" applyNumberFormat="1" applyBorder="1" applyAlignment="1">
      <alignment horizontal="center" wrapText="1"/>
    </xf>
    <xf numFmtId="0" fontId="46" fillId="9" borderId="61" xfId="0" applyFont="1" applyFill="1" applyBorder="1" applyAlignment="1">
      <alignment horizontal="center" vertical="center" wrapText="1"/>
    </xf>
    <xf numFmtId="0" fontId="46" fillId="10" borderId="62" xfId="0" applyFont="1" applyFill="1" applyBorder="1" applyAlignment="1">
      <alignment horizontal="center" vertical="center" wrapText="1"/>
    </xf>
    <xf numFmtId="0" fontId="46" fillId="11" borderId="62" xfId="0" applyFont="1" applyFill="1" applyBorder="1" applyAlignment="1">
      <alignment horizontal="center" vertical="center" wrapText="1"/>
    </xf>
    <xf numFmtId="0" fontId="46" fillId="15" borderId="62" xfId="0" applyFont="1" applyFill="1" applyBorder="1" applyAlignment="1">
      <alignment horizontal="center" vertical="center" wrapText="1"/>
    </xf>
    <xf numFmtId="0" fontId="46" fillId="23" borderId="87" xfId="0" applyFont="1" applyFill="1" applyBorder="1" applyAlignment="1">
      <alignment horizontal="center" vertical="center" wrapText="1"/>
    </xf>
    <xf numFmtId="0" fontId="46" fillId="16" borderId="62" xfId="0" applyFont="1" applyFill="1" applyBorder="1" applyAlignment="1">
      <alignment horizontal="center" vertical="center" wrapText="1"/>
    </xf>
    <xf numFmtId="0" fontId="46" fillId="10" borderId="53" xfId="0" applyFont="1" applyFill="1" applyBorder="1" applyAlignment="1">
      <alignment horizontal="center" vertical="center" wrapText="1"/>
    </xf>
    <xf numFmtId="0" fontId="46" fillId="11" borderId="53" xfId="0" applyFont="1" applyFill="1" applyBorder="1" applyAlignment="1">
      <alignment horizontal="center" vertical="center" wrapText="1"/>
    </xf>
    <xf numFmtId="0" fontId="46" fillId="15" borderId="53" xfId="0" applyFont="1" applyFill="1" applyBorder="1" applyAlignment="1">
      <alignment horizontal="center" vertical="center" wrapText="1"/>
    </xf>
    <xf numFmtId="0" fontId="46" fillId="23" borderId="53" xfId="0" applyFont="1" applyFill="1" applyBorder="1" applyAlignment="1">
      <alignment horizontal="center" vertical="center" wrapText="1"/>
    </xf>
    <xf numFmtId="0" fontId="46" fillId="16" borderId="53" xfId="0" applyFont="1" applyFill="1" applyBorder="1" applyAlignment="1">
      <alignment horizontal="center" vertical="center" wrapText="1"/>
    </xf>
    <xf numFmtId="0" fontId="55" fillId="0" borderId="0" xfId="0" applyFont="1" applyAlignment="1">
      <alignment horizontal="center" vertical="center"/>
    </xf>
    <xf numFmtId="0" fontId="0" fillId="0" borderId="0" xfId="0" applyAlignment="1">
      <alignment horizontal="left"/>
    </xf>
    <xf numFmtId="2" fontId="8" fillId="24" borderId="46" xfId="0" applyNumberFormat="1" applyFont="1" applyFill="1" applyBorder="1" applyAlignment="1">
      <alignment horizontal="center"/>
    </xf>
    <xf numFmtId="2" fontId="33" fillId="24" borderId="46" xfId="16" applyNumberFormat="1" applyFont="1" applyFill="1" applyBorder="1" applyAlignment="1">
      <alignment horizontal="center"/>
    </xf>
    <xf numFmtId="0" fontId="8" fillId="7" borderId="158" xfId="0" applyFont="1" applyFill="1" applyBorder="1"/>
    <xf numFmtId="0" fontId="13" fillId="0" borderId="50" xfId="0" applyFont="1" applyBorder="1" applyAlignment="1">
      <alignment horizontal="center"/>
    </xf>
    <xf numFmtId="166" fontId="13" fillId="24" borderId="18" xfId="0" applyNumberFormat="1" applyFont="1" applyFill="1" applyBorder="1" applyAlignment="1">
      <alignment horizontal="center"/>
    </xf>
    <xf numFmtId="2" fontId="33" fillId="24" borderId="50" xfId="16" applyNumberFormat="1" applyFont="1" applyFill="1" applyBorder="1" applyAlignment="1">
      <alignment horizontal="center"/>
    </xf>
    <xf numFmtId="0" fontId="8" fillId="0" borderId="0" xfId="0" applyFont="1" applyAlignment="1">
      <alignment horizontal="center"/>
    </xf>
    <xf numFmtId="10" fontId="8" fillId="0" borderId="111" xfId="0" applyNumberFormat="1" applyFont="1" applyBorder="1" applyAlignment="1">
      <alignment horizontal="center" vertical="center"/>
    </xf>
    <xf numFmtId="10" fontId="8" fillId="0" borderId="5" xfId="0" applyNumberFormat="1" applyFont="1" applyBorder="1" applyAlignment="1">
      <alignment horizontal="center" vertical="center"/>
    </xf>
    <xf numFmtId="0" fontId="0" fillId="0" borderId="40" xfId="0" applyBorder="1" applyAlignment="1">
      <alignment horizontal="center"/>
    </xf>
    <xf numFmtId="166" fontId="0" fillId="0" borderId="40" xfId="0" applyNumberFormat="1" applyBorder="1" applyAlignment="1">
      <alignment horizontal="center"/>
    </xf>
    <xf numFmtId="167" fontId="64" fillId="0" borderId="40" xfId="16" applyNumberFormat="1" applyFont="1" applyBorder="1" applyAlignment="1">
      <alignment horizontal="center"/>
    </xf>
    <xf numFmtId="0" fontId="64" fillId="0" borderId="40" xfId="0" applyFont="1" applyBorder="1"/>
    <xf numFmtId="165" fontId="64" fillId="0" borderId="40" xfId="0" applyNumberFormat="1" applyFont="1" applyBorder="1" applyAlignment="1">
      <alignment horizontal="center"/>
    </xf>
    <xf numFmtId="9" fontId="0" fillId="0" borderId="0" xfId="16" applyFont="1" applyAlignment="1">
      <alignment horizontal="left"/>
    </xf>
    <xf numFmtId="0" fontId="53" fillId="0" borderId="159" xfId="0" applyFont="1" applyBorder="1"/>
    <xf numFmtId="0" fontId="53" fillId="0" borderId="30" xfId="0" applyFont="1" applyBorder="1"/>
    <xf numFmtId="3" fontId="58" fillId="0" borderId="137" xfId="0" applyNumberFormat="1" applyFont="1" applyBorder="1" applyAlignment="1">
      <alignment horizontal="center" vertical="center"/>
    </xf>
    <xf numFmtId="3" fontId="68" fillId="0" borderId="140" xfId="0" quotePrefix="1" applyNumberFormat="1" applyFont="1" applyBorder="1" applyAlignment="1">
      <alignment horizontal="center" vertical="center"/>
    </xf>
    <xf numFmtId="3" fontId="68" fillId="0" borderId="40" xfId="0" quotePrefix="1" applyNumberFormat="1" applyFont="1" applyBorder="1" applyAlignment="1">
      <alignment horizontal="center" vertical="center"/>
    </xf>
    <xf numFmtId="3" fontId="68" fillId="0" borderId="131" xfId="0" quotePrefix="1" applyNumberFormat="1" applyFont="1" applyBorder="1" applyAlignment="1">
      <alignment horizontal="center" vertical="center"/>
    </xf>
    <xf numFmtId="0" fontId="53" fillId="40" borderId="2" xfId="0" applyFont="1" applyFill="1" applyBorder="1" applyAlignment="1">
      <alignment horizontal="center" vertical="center"/>
    </xf>
    <xf numFmtId="1" fontId="53" fillId="40" borderId="109" xfId="0" applyNumberFormat="1" applyFont="1" applyFill="1" applyBorder="1" applyAlignment="1">
      <alignment horizontal="center" vertical="center"/>
    </xf>
    <xf numFmtId="1" fontId="53" fillId="40" borderId="161" xfId="0" applyNumberFormat="1" applyFont="1" applyFill="1" applyBorder="1" applyAlignment="1">
      <alignment horizontal="center" vertical="center"/>
    </xf>
    <xf numFmtId="3" fontId="58" fillId="41" borderId="162" xfId="0" applyNumberFormat="1" applyFont="1" applyFill="1" applyBorder="1" applyAlignment="1">
      <alignment horizontal="center" vertical="center"/>
    </xf>
    <xf numFmtId="3" fontId="58" fillId="41" borderId="3" xfId="0" applyNumberFormat="1" applyFont="1" applyFill="1" applyBorder="1" applyAlignment="1">
      <alignment horizontal="center" vertical="center"/>
    </xf>
    <xf numFmtId="3" fontId="58" fillId="41" borderId="29" xfId="0" applyNumberFormat="1" applyFont="1" applyFill="1" applyBorder="1" applyAlignment="1">
      <alignment horizontal="center" vertical="center"/>
    </xf>
    <xf numFmtId="3" fontId="59" fillId="12" borderId="0" xfId="0" applyNumberFormat="1" applyFont="1" applyFill="1" applyAlignment="1">
      <alignment horizontal="center" vertical="center"/>
    </xf>
    <xf numFmtId="3" fontId="59" fillId="12" borderId="163" xfId="0" applyNumberFormat="1" applyFont="1" applyFill="1" applyBorder="1" applyAlignment="1">
      <alignment horizontal="center" vertical="center"/>
    </xf>
    <xf numFmtId="1" fontId="58" fillId="41" borderId="38" xfId="0" applyNumberFormat="1" applyFont="1" applyFill="1" applyBorder="1" applyAlignment="1">
      <alignment horizontal="center" vertical="center"/>
    </xf>
    <xf numFmtId="1" fontId="58" fillId="0" borderId="38" xfId="0" applyNumberFormat="1" applyFont="1" applyBorder="1" applyAlignment="1">
      <alignment horizontal="center" vertical="center"/>
    </xf>
    <xf numFmtId="0" fontId="64" fillId="0" borderId="0" xfId="29" applyFont="1" applyAlignment="1">
      <alignment horizontal="center" vertical="center"/>
    </xf>
    <xf numFmtId="0" fontId="5" fillId="0" borderId="0" xfId="29"/>
    <xf numFmtId="0" fontId="5" fillId="0" borderId="31" xfId="29" applyBorder="1"/>
    <xf numFmtId="0" fontId="53" fillId="0" borderId="164" xfId="0" applyFont="1" applyBorder="1"/>
    <xf numFmtId="0" fontId="55" fillId="0" borderId="107" xfId="0" applyFont="1" applyBorder="1" applyAlignment="1">
      <alignment horizontal="center" vertical="center"/>
    </xf>
    <xf numFmtId="0" fontId="55" fillId="0" borderId="108" xfId="0" applyFont="1" applyBorder="1" applyAlignment="1">
      <alignment horizontal="center" vertical="center"/>
    </xf>
    <xf numFmtId="0" fontId="53" fillId="0" borderId="165" xfId="0" applyFont="1" applyBorder="1"/>
    <xf numFmtId="0" fontId="53" fillId="0" borderId="106" xfId="0" applyFont="1" applyBorder="1" applyAlignment="1">
      <alignment horizontal="center" vertical="center"/>
    </xf>
    <xf numFmtId="0" fontId="53" fillId="0" borderId="166" xfId="0" applyFont="1" applyBorder="1"/>
    <xf numFmtId="10" fontId="0" fillId="0" borderId="0" xfId="0" applyNumberFormat="1" applyAlignment="1">
      <alignment horizontal="center" vertical="center"/>
    </xf>
    <xf numFmtId="0" fontId="53" fillId="0" borderId="106" xfId="0" applyFont="1" applyBorder="1"/>
    <xf numFmtId="1" fontId="58" fillId="41" borderId="129" xfId="0" applyNumberFormat="1" applyFont="1" applyFill="1" applyBorder="1" applyAlignment="1">
      <alignment horizontal="center" vertical="center"/>
    </xf>
    <xf numFmtId="1" fontId="58" fillId="41" borderId="2" xfId="0" applyNumberFormat="1" applyFont="1" applyFill="1" applyBorder="1" applyAlignment="1">
      <alignment horizontal="center" vertical="center"/>
    </xf>
    <xf numFmtId="1" fontId="58" fillId="41" borderId="32" xfId="0" applyNumberFormat="1" applyFont="1" applyFill="1" applyBorder="1" applyAlignment="1">
      <alignment horizontal="center" vertical="center"/>
    </xf>
    <xf numFmtId="3" fontId="0" fillId="0" borderId="40" xfId="0" applyNumberFormat="1" applyBorder="1" applyAlignment="1">
      <alignment horizontal="center" vertical="center"/>
    </xf>
    <xf numFmtId="3" fontId="0" fillId="0" borderId="131" xfId="0" applyNumberFormat="1" applyBorder="1" applyAlignment="1">
      <alignment horizontal="center" vertical="center"/>
    </xf>
    <xf numFmtId="167" fontId="38" fillId="0" borderId="0" xfId="0" applyNumberFormat="1" applyFont="1"/>
    <xf numFmtId="1" fontId="53" fillId="40" borderId="168" xfId="0" applyNumberFormat="1" applyFont="1" applyFill="1" applyBorder="1" applyAlignment="1">
      <alignment horizontal="center" vertical="center"/>
    </xf>
    <xf numFmtId="1" fontId="0" fillId="0" borderId="169" xfId="0" applyNumberFormat="1" applyBorder="1" applyAlignment="1">
      <alignment horizontal="center" vertical="center"/>
    </xf>
    <xf numFmtId="1" fontId="0" fillId="0" borderId="39" xfId="0" applyNumberFormat="1" applyBorder="1" applyAlignment="1">
      <alignment horizontal="center" vertical="center"/>
    </xf>
    <xf numFmtId="3" fontId="68" fillId="0" borderId="140" xfId="0" applyNumberFormat="1" applyFont="1" applyBorder="1" applyAlignment="1">
      <alignment horizontal="center" vertical="center"/>
    </xf>
    <xf numFmtId="2" fontId="0" fillId="24" borderId="50" xfId="0" applyNumberFormat="1" applyFill="1" applyBorder="1" applyAlignment="1">
      <alignment horizontal="center"/>
    </xf>
    <xf numFmtId="166" fontId="0" fillId="24" borderId="18" xfId="0" applyNumberFormat="1" applyFill="1" applyBorder="1" applyAlignment="1">
      <alignment horizontal="center"/>
    </xf>
    <xf numFmtId="1" fontId="58" fillId="0" borderId="129" xfId="0" applyNumberFormat="1" applyFont="1" applyBorder="1" applyAlignment="1">
      <alignment horizontal="center" vertical="center"/>
    </xf>
    <xf numFmtId="1" fontId="58" fillId="0" borderId="2" xfId="0" applyNumberFormat="1" applyFont="1" applyBorder="1" applyAlignment="1">
      <alignment horizontal="center" vertical="center"/>
    </xf>
    <xf numFmtId="1" fontId="8" fillId="0" borderId="162" xfId="0" applyNumberFormat="1" applyFont="1" applyBorder="1" applyAlignment="1">
      <alignment horizontal="center" vertical="center"/>
    </xf>
    <xf numFmtId="10" fontId="70" fillId="35" borderId="101" xfId="26" applyNumberFormat="1" applyFont="1" applyFill="1" applyBorder="1"/>
    <xf numFmtId="167" fontId="53" fillId="0" borderId="0" xfId="16" applyNumberFormat="1" applyFont="1"/>
    <xf numFmtId="3" fontId="68" fillId="38" borderId="40" xfId="0" quotePrefix="1" applyNumberFormat="1" applyFont="1" applyFill="1" applyBorder="1" applyAlignment="1">
      <alignment horizontal="center" vertical="center"/>
    </xf>
    <xf numFmtId="3" fontId="68" fillId="38" borderId="38" xfId="0" quotePrefix="1" applyNumberFormat="1" applyFont="1" applyFill="1" applyBorder="1" applyAlignment="1">
      <alignment horizontal="center" vertical="center"/>
    </xf>
    <xf numFmtId="3" fontId="25" fillId="38" borderId="40" xfId="0" applyNumberFormat="1" applyFont="1" applyFill="1" applyBorder="1" applyAlignment="1">
      <alignment horizontal="center" vertical="center"/>
    </xf>
    <xf numFmtId="3" fontId="25" fillId="38" borderId="38" xfId="0" applyNumberFormat="1" applyFont="1" applyFill="1" applyBorder="1" applyAlignment="1">
      <alignment horizontal="center" vertical="center"/>
    </xf>
    <xf numFmtId="0" fontId="68" fillId="38" borderId="40" xfId="0" applyFont="1" applyFill="1" applyBorder="1" applyAlignment="1">
      <alignment horizontal="center" vertical="center"/>
    </xf>
    <xf numFmtId="0" fontId="68" fillId="38" borderId="38" xfId="0" applyFont="1" applyFill="1" applyBorder="1" applyAlignment="1">
      <alignment horizontal="center" vertical="center"/>
    </xf>
    <xf numFmtId="1" fontId="68" fillId="0" borderId="140" xfId="0" applyNumberFormat="1" applyFont="1" applyBorder="1" applyAlignment="1">
      <alignment horizontal="center" vertical="center"/>
    </xf>
    <xf numFmtId="1" fontId="68" fillId="0" borderId="40" xfId="0" quotePrefix="1" applyNumberFormat="1" applyFont="1" applyBorder="1" applyAlignment="1">
      <alignment horizontal="center" vertical="center"/>
    </xf>
    <xf numFmtId="1" fontId="68" fillId="0" borderId="131" xfId="0" quotePrefix="1" applyNumberFormat="1" applyFont="1" applyBorder="1" applyAlignment="1">
      <alignment horizontal="center" vertical="center"/>
    </xf>
    <xf numFmtId="1" fontId="25" fillId="0" borderId="140" xfId="0" applyNumberFormat="1" applyFont="1" applyBorder="1" applyAlignment="1">
      <alignment horizontal="center" vertical="center"/>
    </xf>
    <xf numFmtId="1" fontId="25" fillId="0" borderId="40" xfId="0" applyNumberFormat="1" applyFont="1" applyBorder="1" applyAlignment="1">
      <alignment horizontal="center" vertical="center"/>
    </xf>
    <xf numFmtId="1" fontId="25" fillId="0" borderId="131" xfId="0" applyNumberFormat="1" applyFont="1" applyBorder="1" applyAlignment="1">
      <alignment horizontal="center" vertical="center"/>
    </xf>
    <xf numFmtId="1" fontId="68" fillId="0" borderId="40" xfId="0" applyNumberFormat="1" applyFont="1" applyBorder="1" applyAlignment="1">
      <alignment horizontal="center" vertical="center"/>
    </xf>
    <xf numFmtId="1" fontId="68" fillId="0" borderId="131" xfId="0" applyNumberFormat="1" applyFont="1" applyBorder="1" applyAlignment="1">
      <alignment horizontal="center" vertical="center"/>
    </xf>
    <xf numFmtId="1" fontId="8" fillId="0" borderId="3" xfId="0" applyNumberFormat="1" applyFont="1" applyBorder="1" applyAlignment="1">
      <alignment horizontal="center" vertical="center"/>
    </xf>
    <xf numFmtId="1" fontId="8" fillId="0" borderId="29" xfId="0" applyNumberFormat="1" applyFont="1" applyBorder="1" applyAlignment="1">
      <alignment horizontal="center" vertical="center"/>
    </xf>
    <xf numFmtId="0" fontId="65" fillId="0" borderId="0" xfId="0" applyFont="1" applyAlignment="1">
      <alignment horizontal="center"/>
    </xf>
    <xf numFmtId="1" fontId="65" fillId="0" borderId="0" xfId="0" applyNumberFormat="1" applyFont="1" applyAlignment="1">
      <alignment horizontal="center"/>
    </xf>
    <xf numFmtId="1" fontId="71" fillId="0" borderId="0" xfId="0" applyNumberFormat="1" applyFont="1" applyAlignment="1">
      <alignment horizontal="left"/>
    </xf>
    <xf numFmtId="0" fontId="8" fillId="0" borderId="0" xfId="26" applyAlignment="1">
      <alignment vertical="center" wrapText="1"/>
    </xf>
    <xf numFmtId="3" fontId="51" fillId="34" borderId="103" xfId="5" applyFont="1" applyFill="1" applyBorder="1" applyAlignment="1">
      <alignment horizontal="right" vertical="center" wrapText="1"/>
    </xf>
    <xf numFmtId="4" fontId="8" fillId="34" borderId="103" xfId="7" applyFont="1" applyFill="1" applyBorder="1" applyAlignment="1">
      <alignment horizontal="right" vertical="center" wrapText="1"/>
    </xf>
    <xf numFmtId="4" fontId="32" fillId="0" borderId="101" xfId="7" applyFont="1" applyFill="1" applyBorder="1" applyAlignment="1">
      <alignment horizontal="right" vertical="center" wrapText="1"/>
    </xf>
    <xf numFmtId="0" fontId="8" fillId="0" borderId="101" xfId="10" applyFont="1" applyFill="1" applyBorder="1" applyAlignment="1">
      <alignment horizontal="right" vertical="center" wrapText="1"/>
    </xf>
    <xf numFmtId="0" fontId="20" fillId="0" borderId="0" xfId="8" applyFill="1" applyBorder="1" applyAlignment="1">
      <alignment wrapText="1"/>
    </xf>
    <xf numFmtId="0" fontId="8" fillId="0" borderId="0" xfId="26" applyAlignment="1">
      <alignment wrapText="1"/>
    </xf>
    <xf numFmtId="0" fontId="0" fillId="0" borderId="0" xfId="0" applyAlignment="1">
      <alignment wrapText="1"/>
    </xf>
    <xf numFmtId="0" fontId="0" fillId="0" borderId="0" xfId="26" applyFont="1"/>
    <xf numFmtId="2" fontId="8" fillId="0" borderId="0" xfId="26" applyNumberFormat="1"/>
    <xf numFmtId="2" fontId="0" fillId="0" borderId="0" xfId="26" applyNumberFormat="1" applyFont="1"/>
    <xf numFmtId="0" fontId="58" fillId="0" borderId="0" xfId="0" applyFont="1"/>
    <xf numFmtId="0" fontId="58" fillId="0" borderId="0" xfId="0" applyFont="1" applyAlignment="1">
      <alignment horizontal="center"/>
    </xf>
    <xf numFmtId="166" fontId="8" fillId="0" borderId="0" xfId="0" applyNumberFormat="1" applyFont="1"/>
    <xf numFmtId="165" fontId="8" fillId="0" borderId="0" xfId="0" applyNumberFormat="1" applyFont="1"/>
    <xf numFmtId="166" fontId="26" fillId="0" borderId="0" xfId="0" applyNumberFormat="1" applyFont="1"/>
    <xf numFmtId="167" fontId="8" fillId="24" borderId="17" xfId="16" applyNumberFormat="1" applyFont="1" applyFill="1" applyBorder="1" applyAlignment="1">
      <alignment horizontal="center"/>
    </xf>
    <xf numFmtId="172" fontId="34" fillId="24" borderId="86" xfId="0" applyNumberFormat="1" applyFont="1" applyFill="1" applyBorder="1" applyAlignment="1">
      <alignment horizontal="center"/>
    </xf>
    <xf numFmtId="0" fontId="46" fillId="31" borderId="61" xfId="0" applyFont="1" applyFill="1" applyBorder="1" applyAlignment="1">
      <alignment horizontal="center" vertical="center"/>
    </xf>
    <xf numFmtId="4" fontId="25" fillId="9" borderId="101" xfId="7" applyFont="1" applyFill="1" applyBorder="1" applyAlignment="1">
      <alignment horizontal="right" vertical="center"/>
    </xf>
    <xf numFmtId="0" fontId="8" fillId="12" borderId="101" xfId="10" applyFont="1" applyFill="1" applyBorder="1" applyAlignment="1">
      <alignment horizontal="right" vertical="center"/>
    </xf>
    <xf numFmtId="0" fontId="46" fillId="5" borderId="127" xfId="0" applyFont="1" applyFill="1" applyBorder="1" applyAlignment="1">
      <alignment horizontal="center"/>
    </xf>
    <xf numFmtId="0" fontId="27" fillId="32" borderId="10" xfId="0" applyFont="1" applyFill="1" applyBorder="1" applyAlignment="1">
      <alignment horizontal="center"/>
    </xf>
    <xf numFmtId="0" fontId="46" fillId="5" borderId="113" xfId="0" applyFont="1" applyFill="1" applyBorder="1" applyAlignment="1">
      <alignment horizontal="center"/>
    </xf>
    <xf numFmtId="0" fontId="27" fillId="32" borderId="173" xfId="0" applyFont="1" applyFill="1" applyBorder="1" applyAlignment="1">
      <alignment horizontal="center"/>
    </xf>
    <xf numFmtId="0" fontId="13" fillId="17" borderId="89" xfId="0" applyFont="1" applyFill="1" applyBorder="1" applyAlignment="1">
      <alignment horizontal="left" vertical="center"/>
    </xf>
    <xf numFmtId="172" fontId="0" fillId="17" borderId="85" xfId="0" applyNumberFormat="1" applyFill="1" applyBorder="1" applyAlignment="1">
      <alignment horizontal="center"/>
    </xf>
    <xf numFmtId="0" fontId="13" fillId="17" borderId="90" xfId="0" applyFont="1" applyFill="1" applyBorder="1" applyAlignment="1">
      <alignment horizontal="left" vertical="center"/>
    </xf>
    <xf numFmtId="9" fontId="0" fillId="17" borderId="86" xfId="16" applyFont="1" applyFill="1" applyBorder="1" applyAlignment="1">
      <alignment horizontal="center"/>
    </xf>
    <xf numFmtId="9" fontId="8" fillId="17" borderId="85" xfId="16" applyFont="1" applyFill="1" applyBorder="1" applyAlignment="1">
      <alignment horizontal="center"/>
    </xf>
    <xf numFmtId="2" fontId="8" fillId="17" borderId="86" xfId="0" applyNumberFormat="1" applyFont="1" applyFill="1" applyBorder="1" applyAlignment="1">
      <alignment horizontal="center" vertical="center"/>
    </xf>
    <xf numFmtId="2" fontId="0" fillId="17" borderId="86" xfId="0" applyNumberFormat="1" applyFill="1" applyBorder="1" applyAlignment="1">
      <alignment horizontal="center"/>
    </xf>
    <xf numFmtId="0" fontId="13" fillId="17" borderId="88" xfId="0" applyFont="1" applyFill="1" applyBorder="1" applyAlignment="1">
      <alignment horizontal="left" vertical="center"/>
    </xf>
    <xf numFmtId="2" fontId="0" fillId="17" borderId="84" xfId="0" applyNumberFormat="1" applyFill="1" applyBorder="1" applyAlignment="1">
      <alignment horizontal="center"/>
    </xf>
    <xf numFmtId="2" fontId="8" fillId="17" borderId="86" xfId="0" applyNumberFormat="1" applyFont="1" applyFill="1" applyBorder="1" applyAlignment="1">
      <alignment horizontal="center"/>
    </xf>
    <xf numFmtId="168" fontId="0" fillId="17" borderId="86" xfId="0" applyNumberFormat="1" applyFill="1" applyBorder="1" applyAlignment="1">
      <alignment horizontal="center"/>
    </xf>
    <xf numFmtId="9" fontId="0" fillId="0" borderId="84" xfId="16" applyFont="1" applyFill="1" applyBorder="1" applyAlignment="1">
      <alignment horizontal="center"/>
    </xf>
    <xf numFmtId="0" fontId="13" fillId="0" borderId="90" xfId="0" applyFont="1" applyBorder="1" applyAlignment="1">
      <alignment horizontal="left" vertical="center"/>
    </xf>
    <xf numFmtId="9" fontId="0" fillId="0" borderId="86" xfId="16" applyFont="1" applyFill="1" applyBorder="1" applyAlignment="1">
      <alignment horizontal="center"/>
    </xf>
    <xf numFmtId="2" fontId="0" fillId="0" borderId="84" xfId="0" applyNumberFormat="1" applyBorder="1" applyAlignment="1">
      <alignment horizontal="center"/>
    </xf>
    <xf numFmtId="0" fontId="13" fillId="0" borderId="89" xfId="0" applyFont="1" applyBorder="1" applyAlignment="1">
      <alignment horizontal="left" vertical="center"/>
    </xf>
    <xf numFmtId="2" fontId="0" fillId="0" borderId="86" xfId="0" applyNumberFormat="1" applyBorder="1" applyAlignment="1">
      <alignment horizontal="center"/>
    </xf>
    <xf numFmtId="2" fontId="8" fillId="17" borderId="84" xfId="0" applyNumberFormat="1" applyFont="1" applyFill="1" applyBorder="1" applyAlignment="1">
      <alignment horizontal="center"/>
    </xf>
    <xf numFmtId="2" fontId="0" fillId="17" borderId="85" xfId="0" applyNumberFormat="1" applyFill="1" applyBorder="1" applyAlignment="1">
      <alignment horizontal="center"/>
    </xf>
    <xf numFmtId="0" fontId="14" fillId="17" borderId="90" xfId="0" applyFont="1" applyFill="1" applyBorder="1" applyAlignment="1">
      <alignment horizontal="left" vertical="center"/>
    </xf>
    <xf numFmtId="2" fontId="0" fillId="17" borderId="86" xfId="16" applyNumberFormat="1" applyFont="1" applyFill="1" applyBorder="1" applyAlignment="1">
      <alignment horizontal="center"/>
    </xf>
    <xf numFmtId="174" fontId="0" fillId="17" borderId="86" xfId="0" applyNumberFormat="1" applyFill="1" applyBorder="1" applyAlignment="1">
      <alignment horizontal="center"/>
    </xf>
    <xf numFmtId="0" fontId="13" fillId="0" borderId="92" xfId="0" applyFont="1" applyBorder="1" applyAlignment="1">
      <alignment horizontal="left" vertical="center"/>
    </xf>
    <xf numFmtId="9" fontId="0" fillId="0" borderId="93" xfId="16" applyFont="1" applyFill="1" applyBorder="1" applyAlignment="1">
      <alignment horizontal="center"/>
    </xf>
    <xf numFmtId="10" fontId="8" fillId="0" borderId="85" xfId="16" applyNumberFormat="1" applyFont="1" applyFill="1" applyBorder="1" applyAlignment="1">
      <alignment horizontal="center"/>
    </xf>
    <xf numFmtId="10" fontId="0" fillId="0" borderId="85" xfId="16" applyNumberFormat="1" applyFont="1" applyFill="1" applyBorder="1" applyAlignment="1">
      <alignment horizontal="center"/>
    </xf>
    <xf numFmtId="168" fontId="0" fillId="0" borderId="85" xfId="0" applyNumberFormat="1" applyBorder="1" applyAlignment="1">
      <alignment horizontal="center"/>
    </xf>
    <xf numFmtId="168" fontId="0" fillId="0" borderId="84" xfId="0" applyNumberFormat="1" applyBorder="1" applyAlignment="1">
      <alignment horizontal="center"/>
    </xf>
    <xf numFmtId="2" fontId="0" fillId="0" borderId="85" xfId="0" applyNumberFormat="1" applyBorder="1" applyAlignment="1">
      <alignment horizontal="center"/>
    </xf>
    <xf numFmtId="168" fontId="0" fillId="0" borderId="86" xfId="0" applyNumberFormat="1" applyBorder="1" applyAlignment="1">
      <alignment horizontal="center"/>
    </xf>
    <xf numFmtId="167" fontId="0" fillId="0" borderId="84" xfId="16" applyNumberFormat="1" applyFont="1" applyFill="1" applyBorder="1" applyAlignment="1">
      <alignment horizontal="center"/>
    </xf>
    <xf numFmtId="172" fontId="26" fillId="18" borderId="188" xfId="0" applyNumberFormat="1" applyFont="1" applyFill="1" applyBorder="1" applyAlignment="1">
      <alignment horizontal="center"/>
    </xf>
    <xf numFmtId="172" fontId="26" fillId="18" borderId="189" xfId="0" applyNumberFormat="1" applyFont="1" applyFill="1" applyBorder="1" applyAlignment="1">
      <alignment horizontal="center"/>
    </xf>
    <xf numFmtId="9" fontId="26" fillId="31" borderId="63" xfId="16" applyFont="1" applyFill="1" applyBorder="1" applyAlignment="1">
      <alignment horizontal="center" vertical="center"/>
    </xf>
    <xf numFmtId="9" fontId="26" fillId="18" borderId="188" xfId="16" applyFont="1" applyFill="1" applyBorder="1" applyAlignment="1">
      <alignment horizontal="center"/>
    </xf>
    <xf numFmtId="9" fontId="26" fillId="18" borderId="91" xfId="16" applyFont="1" applyFill="1" applyBorder="1" applyAlignment="1">
      <alignment horizontal="center"/>
    </xf>
    <xf numFmtId="0" fontId="26" fillId="31" borderId="63" xfId="0" applyFont="1" applyFill="1" applyBorder="1" applyAlignment="1">
      <alignment horizontal="center" vertical="center"/>
    </xf>
    <xf numFmtId="2" fontId="26" fillId="31" borderId="63" xfId="16" applyNumberFormat="1" applyFont="1" applyFill="1" applyBorder="1" applyAlignment="1">
      <alignment horizontal="center" vertical="center"/>
    </xf>
    <xf numFmtId="10" fontId="26" fillId="31" borderId="63" xfId="0" applyNumberFormat="1" applyFont="1" applyFill="1" applyBorder="1" applyAlignment="1">
      <alignment horizontal="center" vertical="center"/>
    </xf>
    <xf numFmtId="170" fontId="26" fillId="31" borderId="63" xfId="19" applyNumberFormat="1" applyFont="1" applyFill="1" applyBorder="1" applyAlignment="1">
      <alignment horizontal="center" vertical="center"/>
    </xf>
    <xf numFmtId="2" fontId="26" fillId="18" borderId="91" xfId="16" applyNumberFormat="1" applyFont="1" applyFill="1" applyBorder="1" applyAlignment="1">
      <alignment horizontal="center"/>
    </xf>
    <xf numFmtId="0" fontId="26" fillId="31" borderId="63" xfId="0" applyFont="1" applyFill="1" applyBorder="1" applyAlignment="1">
      <alignment horizontal="center"/>
    </xf>
    <xf numFmtId="9" fontId="26" fillId="18" borderId="65" xfId="16" applyFont="1" applyFill="1" applyBorder="1" applyAlignment="1">
      <alignment horizontal="center"/>
    </xf>
    <xf numFmtId="0" fontId="13" fillId="0" borderId="79" xfId="0" applyFont="1" applyBorder="1" applyAlignment="1">
      <alignment horizontal="left"/>
    </xf>
    <xf numFmtId="9" fontId="8" fillId="0" borderId="190" xfId="0" applyNumberFormat="1" applyFont="1" applyBorder="1" applyAlignment="1">
      <alignment horizontal="center"/>
    </xf>
    <xf numFmtId="3" fontId="53" fillId="0" borderId="129" xfId="0" applyNumberFormat="1" applyFont="1" applyBorder="1" applyAlignment="1">
      <alignment horizontal="center" vertical="center"/>
    </xf>
    <xf numFmtId="3" fontId="53" fillId="8" borderId="130" xfId="0" applyNumberFormat="1" applyFont="1" applyFill="1" applyBorder="1" applyAlignment="1">
      <alignment horizontal="center" vertical="center"/>
    </xf>
    <xf numFmtId="0" fontId="53" fillId="0" borderId="191" xfId="0" applyFont="1" applyBorder="1"/>
    <xf numFmtId="4" fontId="5" fillId="0" borderId="192" xfId="29" applyNumberFormat="1" applyBorder="1" applyAlignment="1">
      <alignment horizontal="center"/>
    </xf>
    <xf numFmtId="0" fontId="53" fillId="0" borderId="37" xfId="0" applyFont="1" applyBorder="1"/>
    <xf numFmtId="10" fontId="5" fillId="0" borderId="0" xfId="29" quotePrefix="1" applyNumberFormat="1" applyAlignment="1">
      <alignment horizontal="right"/>
    </xf>
    <xf numFmtId="1" fontId="53" fillId="40" borderId="193" xfId="0" applyNumberFormat="1" applyFont="1" applyFill="1" applyBorder="1" applyAlignment="1">
      <alignment horizontal="center" vertical="center"/>
    </xf>
    <xf numFmtId="1" fontId="53" fillId="40" borderId="162" xfId="0" applyNumberFormat="1" applyFont="1" applyFill="1" applyBorder="1" applyAlignment="1">
      <alignment horizontal="center" vertical="center"/>
    </xf>
    <xf numFmtId="1" fontId="53" fillId="40" borderId="3" xfId="0" applyNumberFormat="1" applyFont="1" applyFill="1" applyBorder="1" applyAlignment="1">
      <alignment horizontal="center" vertical="center"/>
    </xf>
    <xf numFmtId="1" fontId="53" fillId="40" borderId="29" xfId="0" applyNumberFormat="1" applyFont="1" applyFill="1" applyBorder="1" applyAlignment="1">
      <alignment horizontal="center" vertical="center"/>
    </xf>
    <xf numFmtId="1" fontId="0" fillId="0" borderId="162" xfId="0" applyNumberFormat="1" applyBorder="1" applyAlignment="1">
      <alignment horizontal="center" vertical="center"/>
    </xf>
    <xf numFmtId="1" fontId="0" fillId="0" borderId="3" xfId="0" applyNumberFormat="1" applyBorder="1" applyAlignment="1">
      <alignment horizontal="center" vertical="center"/>
    </xf>
    <xf numFmtId="1" fontId="0" fillId="0" borderId="167" xfId="0" applyNumberFormat="1" applyBorder="1" applyAlignment="1">
      <alignment horizontal="center" vertical="center"/>
    </xf>
    <xf numFmtId="1" fontId="0" fillId="0" borderId="30" xfId="0" applyNumberFormat="1" applyBorder="1" applyAlignment="1">
      <alignment horizontal="center" vertical="center"/>
    </xf>
    <xf numFmtId="0" fontId="53" fillId="0" borderId="130" xfId="0" applyFont="1" applyBorder="1" applyAlignment="1">
      <alignment horizontal="center" vertical="center"/>
    </xf>
    <xf numFmtId="1" fontId="53" fillId="0" borderId="129" xfId="0" applyNumberFormat="1" applyFont="1" applyBorder="1" applyAlignment="1">
      <alignment horizontal="center" vertical="center"/>
    </xf>
    <xf numFmtId="1" fontId="53" fillId="0" borderId="2" xfId="0" applyNumberFormat="1" applyFont="1" applyBorder="1" applyAlignment="1">
      <alignment horizontal="center" vertical="center"/>
    </xf>
    <xf numFmtId="1" fontId="53" fillId="0" borderId="160" xfId="0" applyNumberFormat="1" applyFont="1" applyBorder="1" applyAlignment="1">
      <alignment horizontal="center" vertical="center"/>
    </xf>
    <xf numFmtId="4" fontId="5" fillId="0" borderId="167" xfId="29" applyNumberFormat="1" applyBorder="1" applyAlignment="1">
      <alignment horizontal="center"/>
    </xf>
    <xf numFmtId="4" fontId="5" fillId="0" borderId="3" xfId="29" applyNumberFormat="1" applyBorder="1" applyAlignment="1">
      <alignment horizontal="center"/>
    </xf>
    <xf numFmtId="0" fontId="27" fillId="0" borderId="0" xfId="26" applyFont="1" applyAlignment="1">
      <alignment horizontal="center" vertical="center"/>
    </xf>
    <xf numFmtId="4" fontId="25" fillId="0" borderId="0" xfId="7" applyFont="1" applyFill="1" applyBorder="1">
      <alignment horizontal="right"/>
    </xf>
    <xf numFmtId="0" fontId="46" fillId="31" borderId="54" xfId="0" applyFont="1" applyFill="1" applyBorder="1" applyAlignment="1">
      <alignment horizontal="left" vertical="center"/>
    </xf>
    <xf numFmtId="0" fontId="13" fillId="8" borderId="92" xfId="0" applyFont="1" applyFill="1" applyBorder="1" applyAlignment="1">
      <alignment horizontal="left" vertical="center"/>
    </xf>
    <xf numFmtId="10" fontId="0" fillId="8" borderId="93" xfId="16" applyNumberFormat="1" applyFont="1" applyFill="1" applyBorder="1" applyAlignment="1">
      <alignment horizontal="center" vertical="center"/>
    </xf>
    <xf numFmtId="0" fontId="46" fillId="0" borderId="0" xfId="0" applyFont="1" applyAlignment="1">
      <alignment horizontal="left" vertical="center"/>
    </xf>
    <xf numFmtId="10" fontId="0" fillId="0" borderId="0" xfId="16" applyNumberFormat="1" applyFont="1" applyFill="1" applyBorder="1" applyAlignment="1">
      <alignment horizontal="center" vertical="center"/>
    </xf>
    <xf numFmtId="0" fontId="57" fillId="36" borderId="65" xfId="0" applyFont="1" applyFill="1" applyBorder="1" applyAlignment="1">
      <alignment horizontal="center" vertical="center"/>
    </xf>
    <xf numFmtId="172" fontId="0" fillId="17" borderId="189" xfId="0" applyNumberFormat="1" applyFill="1" applyBorder="1" applyAlignment="1">
      <alignment horizontal="center"/>
    </xf>
    <xf numFmtId="0" fontId="0" fillId="31" borderId="63" xfId="0" applyFill="1" applyBorder="1" applyAlignment="1">
      <alignment horizontal="center"/>
    </xf>
    <xf numFmtId="0" fontId="73" fillId="36" borderId="63" xfId="0" applyFont="1" applyFill="1" applyBorder="1" applyAlignment="1">
      <alignment horizontal="center" vertical="center" wrapText="1"/>
    </xf>
    <xf numFmtId="9" fontId="0" fillId="0" borderId="0" xfId="16" applyFont="1" applyBorder="1" applyAlignment="1">
      <alignment horizontal="center" vertical="center"/>
    </xf>
    <xf numFmtId="0" fontId="27" fillId="5" borderId="197" xfId="26" applyFont="1" applyFill="1" applyBorder="1" applyAlignment="1">
      <alignment horizontal="center" vertical="center"/>
    </xf>
    <xf numFmtId="4" fontId="25" fillId="28" borderId="198" xfId="7" applyFont="1" applyFill="1" applyBorder="1">
      <alignment horizontal="right"/>
    </xf>
    <xf numFmtId="4" fontId="8" fillId="12" borderId="198" xfId="7" applyFont="1" applyFill="1" applyBorder="1">
      <alignment horizontal="right"/>
    </xf>
    <xf numFmtId="4" fontId="32" fillId="9" borderId="199" xfId="7" applyFont="1" applyFill="1" applyBorder="1">
      <alignment horizontal="right"/>
    </xf>
    <xf numFmtId="0" fontId="57" fillId="36" borderId="0" xfId="24" applyFont="1" applyFill="1"/>
    <xf numFmtId="0" fontId="74" fillId="36" borderId="0" xfId="24" applyFont="1" applyFill="1" applyAlignment="1">
      <alignment horizontal="left" vertical="center"/>
    </xf>
    <xf numFmtId="0" fontId="74" fillId="36" borderId="0" xfId="24" applyFont="1" applyFill="1" applyAlignment="1">
      <alignment horizontal="center" vertical="center"/>
    </xf>
    <xf numFmtId="0" fontId="8" fillId="31" borderId="0" xfId="24" applyFill="1"/>
    <xf numFmtId="0" fontId="8" fillId="0" borderId="0" xfId="24"/>
    <xf numFmtId="10" fontId="0" fillId="0" borderId="0" xfId="16" applyNumberFormat="1" applyFont="1" applyAlignment="1">
      <alignment horizontal="left"/>
    </xf>
    <xf numFmtId="0" fontId="13" fillId="0" borderId="0" xfId="24" applyFont="1"/>
    <xf numFmtId="0" fontId="8" fillId="8" borderId="0" xfId="24" applyFill="1"/>
    <xf numFmtId="0" fontId="38" fillId="0" borderId="0" xfId="24" applyFont="1"/>
    <xf numFmtId="10" fontId="8" fillId="8" borderId="0" xfId="24" applyNumberFormat="1" applyFill="1"/>
    <xf numFmtId="0" fontId="8" fillId="0" borderId="0" xfId="24" applyAlignment="1">
      <alignment horizontal="left"/>
    </xf>
    <xf numFmtId="10" fontId="75" fillId="0" borderId="0" xfId="24" applyNumberFormat="1" applyFont="1" applyAlignment="1">
      <alignment horizontal="center"/>
    </xf>
    <xf numFmtId="10" fontId="8" fillId="0" borderId="0" xfId="24" applyNumberFormat="1"/>
    <xf numFmtId="167" fontId="0" fillId="0" borderId="0" xfId="16" applyNumberFormat="1" applyFont="1"/>
    <xf numFmtId="0" fontId="75" fillId="0" borderId="0" xfId="24" applyFont="1"/>
    <xf numFmtId="0" fontId="49" fillId="31" borderId="0" xfId="24" applyFont="1" applyFill="1"/>
    <xf numFmtId="0" fontId="27" fillId="32" borderId="208" xfId="0" applyFont="1" applyFill="1" applyBorder="1" applyAlignment="1">
      <alignment horizontal="center"/>
    </xf>
    <xf numFmtId="0" fontId="13" fillId="0" borderId="208" xfId="0" applyFont="1" applyBorder="1" applyAlignment="1">
      <alignment horizontal="center"/>
    </xf>
    <xf numFmtId="0" fontId="0" fillId="0" borderId="208" xfId="0" applyBorder="1" applyAlignment="1">
      <alignment horizontal="center"/>
    </xf>
    <xf numFmtId="0" fontId="27" fillId="10" borderId="54" xfId="0" applyFont="1" applyFill="1" applyBorder="1" applyAlignment="1">
      <alignment horizontal="center" vertical="center" wrapText="1"/>
    </xf>
    <xf numFmtId="0" fontId="27" fillId="11" borderId="54" xfId="0" applyFont="1" applyFill="1" applyBorder="1" applyAlignment="1">
      <alignment horizontal="center" vertical="center" wrapText="1"/>
    </xf>
    <xf numFmtId="0" fontId="27" fillId="23" borderId="54" xfId="0" applyFont="1" applyFill="1" applyBorder="1" applyAlignment="1">
      <alignment horizontal="center" vertical="center" wrapText="1"/>
    </xf>
    <xf numFmtId="0" fontId="56" fillId="0" borderId="0" xfId="24" applyFont="1" applyAlignment="1">
      <alignment horizontal="center"/>
    </xf>
    <xf numFmtId="0" fontId="8" fillId="24" borderId="0" xfId="0" applyFont="1" applyFill="1" applyAlignment="1">
      <alignment horizontal="center" vertical="center"/>
    </xf>
    <xf numFmtId="175" fontId="76" fillId="46" borderId="0" xfId="16" applyNumberFormat="1" applyFont="1" applyFill="1" applyBorder="1" applyAlignment="1">
      <alignment horizontal="center"/>
    </xf>
    <xf numFmtId="0" fontId="57" fillId="0" borderId="0" xfId="24" applyFont="1"/>
    <xf numFmtId="0" fontId="74" fillId="0" borderId="0" xfId="24" applyFont="1" applyAlignment="1">
      <alignment horizontal="center" vertical="center"/>
    </xf>
    <xf numFmtId="0" fontId="75" fillId="0" borderId="0" xfId="0" applyFont="1" applyAlignment="1">
      <alignment horizontal="center"/>
    </xf>
    <xf numFmtId="0" fontId="13" fillId="8" borderId="0" xfId="24" applyFont="1" applyFill="1" applyAlignment="1">
      <alignment horizontal="center" vertical="center"/>
    </xf>
    <xf numFmtId="0" fontId="78" fillId="5" borderId="101" xfId="4" applyFont="1" applyFill="1" applyBorder="1" applyAlignment="1">
      <alignment horizontal="center" vertical="center"/>
    </xf>
    <xf numFmtId="0" fontId="46" fillId="23" borderId="62" xfId="0" applyFont="1" applyFill="1" applyBorder="1" applyAlignment="1">
      <alignment horizontal="center" vertical="center" wrapText="1"/>
    </xf>
    <xf numFmtId="0" fontId="46" fillId="16" borderId="63" xfId="0" applyFont="1" applyFill="1" applyBorder="1" applyAlignment="1">
      <alignment horizontal="center" vertical="center" wrapText="1"/>
    </xf>
    <xf numFmtId="3" fontId="61" fillId="38" borderId="157" xfId="0" applyNumberFormat="1" applyFont="1" applyFill="1" applyBorder="1" applyAlignment="1">
      <alignment horizontal="center" vertical="center"/>
    </xf>
    <xf numFmtId="9" fontId="8" fillId="0" borderId="96" xfId="16" applyFont="1" applyBorder="1" applyAlignment="1">
      <alignment horizontal="center" vertical="center"/>
    </xf>
    <xf numFmtId="9" fontId="8" fillId="17" borderId="86" xfId="16" applyFont="1" applyFill="1" applyBorder="1" applyAlignment="1">
      <alignment horizontal="center" vertical="center"/>
    </xf>
    <xf numFmtId="10" fontId="35" fillId="19" borderId="0" xfId="16" applyNumberFormat="1" applyFont="1" applyFill="1" applyAlignment="1">
      <alignment horizontal="center"/>
    </xf>
    <xf numFmtId="10" fontId="35" fillId="19" borderId="0" xfId="0" applyNumberFormat="1" applyFont="1" applyFill="1" applyAlignment="1">
      <alignment horizontal="center"/>
    </xf>
    <xf numFmtId="4" fontId="5" fillId="0" borderId="160" xfId="29" applyNumberFormat="1" applyBorder="1" applyAlignment="1">
      <alignment horizontal="center"/>
    </xf>
    <xf numFmtId="172" fontId="8" fillId="24" borderId="17" xfId="0" applyNumberFormat="1" applyFont="1" applyFill="1" applyBorder="1" applyAlignment="1">
      <alignment horizontal="center" vertical="center"/>
    </xf>
    <xf numFmtId="3" fontId="5" fillId="0" borderId="40" xfId="29" applyNumberFormat="1" applyBorder="1" applyAlignment="1">
      <alignment horizontal="center"/>
    </xf>
    <xf numFmtId="3" fontId="5" fillId="0" borderId="131" xfId="29" applyNumberFormat="1" applyBorder="1" applyAlignment="1">
      <alignment horizontal="center"/>
    </xf>
    <xf numFmtId="1" fontId="53" fillId="0" borderId="137" xfId="0" applyNumberFormat="1" applyFont="1" applyBorder="1" applyAlignment="1">
      <alignment horizontal="center" vertical="center"/>
    </xf>
    <xf numFmtId="1" fontId="53" fillId="0" borderId="138" xfId="0" applyNumberFormat="1" applyFont="1" applyBorder="1" applyAlignment="1">
      <alignment horizontal="center" vertical="center"/>
    </xf>
    <xf numFmtId="1" fontId="53" fillId="0" borderId="139" xfId="0" applyNumberFormat="1" applyFont="1" applyBorder="1" applyAlignment="1">
      <alignment horizontal="center" vertical="center"/>
    </xf>
    <xf numFmtId="4" fontId="5" fillId="0" borderId="141" xfId="29" applyNumberFormat="1" applyBorder="1" applyAlignment="1">
      <alignment horizontal="center"/>
    </xf>
    <xf numFmtId="4" fontId="5" fillId="0" borderId="154" xfId="29" applyNumberFormat="1" applyBorder="1" applyAlignment="1">
      <alignment horizontal="center"/>
    </xf>
    <xf numFmtId="4" fontId="5" fillId="0" borderId="155" xfId="29" applyNumberFormat="1" applyBorder="1" applyAlignment="1">
      <alignment horizontal="center"/>
    </xf>
    <xf numFmtId="0" fontId="53" fillId="0" borderId="0" xfId="0" applyFont="1" applyAlignment="1">
      <alignment horizontal="center" vertical="center"/>
    </xf>
    <xf numFmtId="0" fontId="8" fillId="0" borderId="0" xfId="24" applyAlignment="1">
      <alignment horizontal="center"/>
    </xf>
    <xf numFmtId="0" fontId="53" fillId="0" borderId="214" xfId="0" applyFont="1" applyBorder="1" applyAlignment="1">
      <alignment horizontal="center" vertical="center"/>
    </xf>
    <xf numFmtId="10" fontId="8" fillId="0" borderId="40" xfId="0" applyNumberFormat="1" applyFont="1" applyBorder="1" applyAlignment="1">
      <alignment horizontal="center" vertical="center"/>
    </xf>
    <xf numFmtId="2" fontId="8" fillId="0" borderId="0" xfId="24" applyNumberFormat="1" applyAlignment="1">
      <alignment horizontal="center" vertical="center"/>
    </xf>
    <xf numFmtId="0" fontId="64" fillId="0" borderId="40" xfId="29" applyFont="1" applyBorder="1"/>
    <xf numFmtId="166" fontId="13" fillId="0" borderId="216" xfId="0" applyNumberFormat="1" applyFont="1" applyBorder="1" applyAlignment="1">
      <alignment horizontal="center"/>
    </xf>
    <xf numFmtId="166" fontId="13" fillId="0" borderId="35" xfId="0" applyNumberFormat="1" applyFont="1" applyBorder="1" applyAlignment="1">
      <alignment horizontal="center"/>
    </xf>
    <xf numFmtId="166" fontId="13" fillId="0" borderId="217" xfId="0" applyNumberFormat="1" applyFont="1" applyBorder="1" applyAlignment="1">
      <alignment horizontal="center"/>
    </xf>
    <xf numFmtId="0" fontId="13" fillId="0" borderId="216" xfId="0" applyFont="1" applyBorder="1" applyAlignment="1">
      <alignment horizontal="center"/>
    </xf>
    <xf numFmtId="10" fontId="0" fillId="33" borderId="65" xfId="0" applyNumberFormat="1" applyFill="1" applyBorder="1"/>
    <xf numFmtId="166" fontId="0" fillId="0" borderId="218" xfId="0" applyNumberFormat="1" applyBorder="1" applyAlignment="1">
      <alignment horizontal="center"/>
    </xf>
    <xf numFmtId="166" fontId="0" fillId="0" borderId="45" xfId="0" applyNumberFormat="1" applyBorder="1" applyAlignment="1">
      <alignment horizontal="center"/>
    </xf>
    <xf numFmtId="165" fontId="8" fillId="0" borderId="86" xfId="0" applyNumberFormat="1" applyFont="1" applyBorder="1" applyAlignment="1">
      <alignment horizontal="center"/>
    </xf>
    <xf numFmtId="1" fontId="8" fillId="0" borderId="219" xfId="0" applyNumberFormat="1" applyFont="1" applyBorder="1" applyAlignment="1">
      <alignment horizontal="center" vertical="center"/>
    </xf>
    <xf numFmtId="1" fontId="8" fillId="0" borderId="220" xfId="0" applyNumberFormat="1" applyFont="1" applyBorder="1" applyAlignment="1">
      <alignment horizontal="center" vertical="center"/>
    </xf>
    <xf numFmtId="1" fontId="8" fillId="0" borderId="221" xfId="0" applyNumberFormat="1" applyFont="1" applyBorder="1" applyAlignment="1">
      <alignment horizontal="center" vertical="center"/>
    </xf>
    <xf numFmtId="1" fontId="8" fillId="0" borderId="222" xfId="0" applyNumberFormat="1" applyFont="1" applyBorder="1" applyAlignment="1">
      <alignment horizontal="center" vertical="center"/>
    </xf>
    <xf numFmtId="1" fontId="8" fillId="0" borderId="223" xfId="0" applyNumberFormat="1" applyFont="1" applyBorder="1" applyAlignment="1">
      <alignment horizontal="center" vertical="center"/>
    </xf>
    <xf numFmtId="1" fontId="8" fillId="0" borderId="224" xfId="0" applyNumberFormat="1" applyFont="1" applyBorder="1" applyAlignment="1">
      <alignment horizontal="center" vertical="center"/>
    </xf>
    <xf numFmtId="1" fontId="8" fillId="0" borderId="225" xfId="0" applyNumberFormat="1" applyFont="1" applyBorder="1" applyAlignment="1">
      <alignment horizontal="center" vertical="center"/>
    </xf>
    <xf numFmtId="3" fontId="8" fillId="0" borderId="226" xfId="0" applyNumberFormat="1" applyFont="1" applyBorder="1" applyAlignment="1">
      <alignment horizontal="center" vertical="center"/>
    </xf>
    <xf numFmtId="1" fontId="58" fillId="0" borderId="227" xfId="0" applyNumberFormat="1" applyFont="1" applyBorder="1" applyAlignment="1">
      <alignment horizontal="center" vertical="center"/>
    </xf>
    <xf numFmtId="1" fontId="58" fillId="41" borderId="228" xfId="0" applyNumberFormat="1" applyFont="1" applyFill="1" applyBorder="1" applyAlignment="1">
      <alignment horizontal="center" vertical="center"/>
    </xf>
    <xf numFmtId="1" fontId="58" fillId="41" borderId="229" xfId="0" applyNumberFormat="1" applyFont="1" applyFill="1" applyBorder="1" applyAlignment="1">
      <alignment horizontal="center" vertical="center"/>
    </xf>
    <xf numFmtId="1" fontId="58" fillId="0" borderId="226" xfId="0" applyNumberFormat="1" applyFont="1" applyBorder="1" applyAlignment="1">
      <alignment horizontal="center" vertical="center"/>
    </xf>
    <xf numFmtId="1" fontId="58" fillId="41" borderId="226" xfId="0" applyNumberFormat="1" applyFont="1" applyFill="1" applyBorder="1" applyAlignment="1">
      <alignment horizontal="center" vertical="center"/>
    </xf>
    <xf numFmtId="1" fontId="58" fillId="41" borderId="227" xfId="0" applyNumberFormat="1" applyFont="1" applyFill="1" applyBorder="1" applyAlignment="1">
      <alignment horizontal="center" vertical="center"/>
    </xf>
    <xf numFmtId="1" fontId="58" fillId="0" borderId="229" xfId="0" applyNumberFormat="1" applyFont="1" applyBorder="1" applyAlignment="1">
      <alignment horizontal="center" vertical="center"/>
    </xf>
    <xf numFmtId="3" fontId="58" fillId="41" borderId="231" xfId="0" applyNumberFormat="1" applyFont="1" applyFill="1" applyBorder="1" applyAlignment="1">
      <alignment horizontal="center" vertical="center"/>
    </xf>
    <xf numFmtId="3" fontId="58" fillId="41" borderId="232" xfId="0" applyNumberFormat="1" applyFont="1" applyFill="1" applyBorder="1" applyAlignment="1">
      <alignment horizontal="center" vertical="center"/>
    </xf>
    <xf numFmtId="3" fontId="58" fillId="41" borderId="233" xfId="0" applyNumberFormat="1" applyFont="1" applyFill="1" applyBorder="1" applyAlignment="1">
      <alignment horizontal="center" vertical="center"/>
    </xf>
    <xf numFmtId="3" fontId="58" fillId="41" borderId="234" xfId="0" applyNumberFormat="1" applyFont="1" applyFill="1" applyBorder="1" applyAlignment="1">
      <alignment horizontal="center" vertical="center"/>
    </xf>
    <xf numFmtId="3" fontId="58" fillId="41" borderId="235" xfId="0" applyNumberFormat="1" applyFont="1" applyFill="1" applyBorder="1" applyAlignment="1">
      <alignment horizontal="center" vertical="center"/>
    </xf>
    <xf numFmtId="0" fontId="58" fillId="0" borderId="38" xfId="0" applyFont="1" applyBorder="1" applyAlignment="1">
      <alignment horizontal="center" vertical="center"/>
    </xf>
    <xf numFmtId="3" fontId="58" fillId="40" borderId="38" xfId="0" applyNumberFormat="1" applyFont="1" applyFill="1" applyBorder="1" applyAlignment="1">
      <alignment horizontal="center" vertical="center"/>
    </xf>
    <xf numFmtId="0" fontId="58" fillId="41" borderId="38" xfId="0" applyFont="1" applyFill="1" applyBorder="1" applyAlignment="1">
      <alignment horizontal="center" vertical="center"/>
    </xf>
    <xf numFmtId="3" fontId="58" fillId="40" borderId="38" xfId="0" quotePrefix="1" applyNumberFormat="1" applyFont="1" applyFill="1" applyBorder="1" applyAlignment="1">
      <alignment horizontal="center" vertical="center"/>
    </xf>
    <xf numFmtId="3" fontId="58" fillId="0" borderId="38" xfId="0" applyNumberFormat="1" applyFont="1" applyBorder="1" applyAlignment="1">
      <alignment horizontal="center" vertical="center"/>
    </xf>
    <xf numFmtId="0" fontId="55" fillId="0" borderId="106" xfId="0" applyFont="1" applyBorder="1" applyAlignment="1">
      <alignment horizontal="center"/>
    </xf>
    <xf numFmtId="0" fontId="13" fillId="0" borderId="228" xfId="0" applyFont="1" applyBorder="1" applyAlignment="1">
      <alignment horizontal="center"/>
    </xf>
    <xf numFmtId="0" fontId="8" fillId="37" borderId="236" xfId="0" applyFont="1" applyFill="1" applyBorder="1"/>
    <xf numFmtId="0" fontId="13" fillId="0" borderId="236" xfId="0" applyFont="1" applyBorder="1"/>
    <xf numFmtId="0" fontId="8" fillId="0" borderId="236" xfId="0" applyFont="1" applyBorder="1"/>
    <xf numFmtId="0" fontId="8" fillId="0" borderId="136" xfId="0" applyFont="1" applyBorder="1"/>
    <xf numFmtId="9" fontId="33" fillId="38" borderId="169" xfId="16" applyFont="1" applyFill="1" applyBorder="1" applyAlignment="1">
      <alignment horizontal="center" vertical="center"/>
    </xf>
    <xf numFmtId="167" fontId="33" fillId="38" borderId="39" xfId="16" applyNumberFormat="1" applyFont="1" applyFill="1" applyBorder="1" applyAlignment="1">
      <alignment horizontal="center" vertical="center"/>
    </xf>
    <xf numFmtId="3" fontId="61" fillId="0" borderId="39" xfId="0" applyNumberFormat="1" applyFont="1" applyBorder="1" applyAlignment="1">
      <alignment horizontal="center" vertical="center"/>
    </xf>
    <xf numFmtId="0" fontId="68" fillId="38" borderId="39" xfId="0" applyFont="1" applyFill="1" applyBorder="1" applyAlignment="1">
      <alignment horizontal="center" vertical="center"/>
    </xf>
    <xf numFmtId="3" fontId="25" fillId="38" borderId="39" xfId="0" applyNumberFormat="1" applyFont="1" applyFill="1" applyBorder="1" applyAlignment="1">
      <alignment horizontal="center" vertical="center"/>
    </xf>
    <xf numFmtId="3" fontId="61" fillId="38" borderId="39" xfId="0" applyNumberFormat="1" applyFont="1" applyFill="1" applyBorder="1" applyAlignment="1">
      <alignment horizontal="center" vertical="center"/>
    </xf>
    <xf numFmtId="3" fontId="68" fillId="38" borderId="39" xfId="0" quotePrefix="1" applyNumberFormat="1" applyFont="1" applyFill="1" applyBorder="1" applyAlignment="1">
      <alignment horizontal="center" vertical="center"/>
    </xf>
    <xf numFmtId="0" fontId="61" fillId="38" borderId="238" xfId="0" applyFont="1" applyFill="1" applyBorder="1" applyAlignment="1">
      <alignment horizontal="center" vertical="center"/>
    </xf>
    <xf numFmtId="0" fontId="55" fillId="0" borderId="239" xfId="0" applyFont="1" applyBorder="1" applyAlignment="1">
      <alignment horizontal="center"/>
    </xf>
    <xf numFmtId="0" fontId="56" fillId="0" borderId="178" xfId="0" applyFont="1" applyBorder="1" applyAlignment="1">
      <alignment horizontal="center"/>
    </xf>
    <xf numFmtId="0" fontId="13" fillId="37" borderId="236" xfId="0" applyFont="1" applyFill="1" applyBorder="1"/>
    <xf numFmtId="0" fontId="27" fillId="32" borderId="21" xfId="0" applyFont="1" applyFill="1" applyBorder="1" applyAlignment="1">
      <alignment horizontal="center"/>
    </xf>
    <xf numFmtId="14" fontId="13" fillId="0" borderId="241" xfId="0" applyNumberFormat="1" applyFont="1" applyBorder="1" applyAlignment="1">
      <alignment horizontal="center" vertical="center"/>
    </xf>
    <xf numFmtId="14" fontId="13" fillId="0" borderId="242" xfId="0" applyNumberFormat="1" applyFont="1" applyBorder="1" applyAlignment="1">
      <alignment horizontal="center" vertical="center"/>
    </xf>
    <xf numFmtId="0" fontId="8" fillId="0" borderId="246" xfId="0" applyFont="1" applyBorder="1" applyAlignment="1">
      <alignment horizontal="center" vertical="center"/>
    </xf>
    <xf numFmtId="0" fontId="0" fillId="0" borderId="247" xfId="0" applyBorder="1" applyAlignment="1">
      <alignment horizontal="center" vertical="center"/>
    </xf>
    <xf numFmtId="0" fontId="0" fillId="0" borderId="248" xfId="0" applyBorder="1"/>
    <xf numFmtId="0" fontId="0" fillId="0" borderId="248" xfId="0" quotePrefix="1" applyBorder="1"/>
    <xf numFmtId="2" fontId="0" fillId="24" borderId="249" xfId="16" applyNumberFormat="1" applyFont="1" applyFill="1" applyBorder="1" applyAlignment="1">
      <alignment horizontal="center"/>
    </xf>
    <xf numFmtId="167" fontId="0" fillId="24" borderId="249" xfId="16" applyNumberFormat="1" applyFont="1" applyFill="1" applyBorder="1" applyAlignment="1">
      <alignment horizontal="center"/>
    </xf>
    <xf numFmtId="168" fontId="0" fillId="24" borderId="249" xfId="16" applyNumberFormat="1" applyFont="1" applyFill="1" applyBorder="1" applyAlignment="1">
      <alignment horizontal="center"/>
    </xf>
    <xf numFmtId="168" fontId="0" fillId="24" borderId="249" xfId="0" applyNumberFormat="1" applyFill="1" applyBorder="1" applyAlignment="1">
      <alignment horizontal="center"/>
    </xf>
    <xf numFmtId="0" fontId="13" fillId="0" borderId="248" xfId="0" applyFont="1" applyBorder="1" applyAlignment="1">
      <alignment horizontal="center"/>
    </xf>
    <xf numFmtId="0" fontId="0" fillId="7" borderId="0" xfId="0" applyFill="1"/>
    <xf numFmtId="14" fontId="40" fillId="0" borderId="243" xfId="0" applyNumberFormat="1" applyFont="1" applyBorder="1" applyAlignment="1">
      <alignment horizontal="center" vertical="center"/>
    </xf>
    <xf numFmtId="176" fontId="8" fillId="24" borderId="17" xfId="0" applyNumberFormat="1" applyFont="1" applyFill="1" applyBorder="1" applyAlignment="1">
      <alignment horizontal="center"/>
    </xf>
    <xf numFmtId="177" fontId="8" fillId="24" borderId="17" xfId="34" applyNumberFormat="1" applyFont="1" applyFill="1" applyBorder="1" applyAlignment="1">
      <alignment horizontal="center" vertical="center"/>
    </xf>
    <xf numFmtId="10" fontId="0" fillId="24" borderId="249" xfId="16" applyNumberFormat="1" applyFont="1" applyFill="1" applyBorder="1" applyAlignment="1">
      <alignment horizontal="center"/>
    </xf>
    <xf numFmtId="173" fontId="8" fillId="0" borderId="101" xfId="26" applyNumberFormat="1" applyBorder="1" applyAlignment="1">
      <alignment horizontal="center" vertical="center"/>
    </xf>
    <xf numFmtId="0" fontId="8" fillId="0" borderId="101" xfId="26" applyBorder="1" applyAlignment="1">
      <alignment horizontal="center" vertical="center"/>
    </xf>
    <xf numFmtId="3" fontId="51" fillId="34" borderId="103" xfId="5" applyFont="1" applyFill="1" applyBorder="1" applyAlignment="1">
      <alignment horizontal="center" vertical="center"/>
    </xf>
    <xf numFmtId="3" fontId="51" fillId="34" borderId="104" xfId="5" applyFont="1" applyFill="1" applyBorder="1" applyAlignment="1">
      <alignment horizontal="center" vertical="center"/>
    </xf>
    <xf numFmtId="0" fontId="27" fillId="32" borderId="240" xfId="0" applyFont="1" applyFill="1" applyBorder="1" applyAlignment="1">
      <alignment horizontal="center" vertical="center" wrapText="1"/>
    </xf>
    <xf numFmtId="0" fontId="0" fillId="0" borderId="17" xfId="0" applyBorder="1"/>
    <xf numFmtId="0" fontId="8" fillId="0" borderId="17" xfId="0" applyFont="1" applyBorder="1" applyAlignment="1">
      <alignment vertical="center"/>
    </xf>
    <xf numFmtId="0" fontId="8" fillId="8" borderId="19" xfId="0" applyFont="1" applyFill="1" applyBorder="1" applyAlignment="1">
      <alignment horizontal="center" vertical="center" wrapText="1"/>
    </xf>
    <xf numFmtId="0" fontId="34" fillId="8" borderId="19" xfId="0" applyFont="1" applyFill="1" applyBorder="1" applyAlignment="1">
      <alignment horizontal="center" vertical="center" wrapText="1"/>
    </xf>
    <xf numFmtId="0" fontId="0" fillId="33" borderId="255" xfId="0" applyFill="1" applyBorder="1"/>
    <xf numFmtId="0" fontId="0" fillId="33" borderId="259" xfId="0" applyFill="1" applyBorder="1"/>
    <xf numFmtId="0" fontId="13" fillId="14" borderId="261" xfId="0" applyFont="1" applyFill="1" applyBorder="1" applyAlignment="1">
      <alignment horizontal="center"/>
    </xf>
    <xf numFmtId="0" fontId="13" fillId="8" borderId="262" xfId="0" applyFont="1" applyFill="1" applyBorder="1" applyAlignment="1">
      <alignment horizontal="center"/>
    </xf>
    <xf numFmtId="9" fontId="0" fillId="0" borderId="263" xfId="16" applyFont="1" applyBorder="1"/>
    <xf numFmtId="9" fontId="8" fillId="0" borderId="264" xfId="0" applyNumberFormat="1" applyFont="1" applyBorder="1" applyAlignment="1">
      <alignment horizontal="center"/>
    </xf>
    <xf numFmtId="9" fontId="8" fillId="0" borderId="265" xfId="0" applyNumberFormat="1" applyFont="1" applyBorder="1" applyAlignment="1">
      <alignment horizontal="center"/>
    </xf>
    <xf numFmtId="9" fontId="8" fillId="0" borderId="266" xfId="0" applyNumberFormat="1" applyFont="1" applyBorder="1" applyAlignment="1">
      <alignment horizontal="center"/>
    </xf>
    <xf numFmtId="9" fontId="8" fillId="0" borderId="267" xfId="0" applyNumberFormat="1" applyFont="1" applyBorder="1" applyAlignment="1">
      <alignment horizontal="center"/>
    </xf>
    <xf numFmtId="9" fontId="0" fillId="0" borderId="268" xfId="0" applyNumberFormat="1" applyBorder="1"/>
    <xf numFmtId="0" fontId="13" fillId="0" borderId="269" xfId="0" applyFont="1" applyBorder="1" applyAlignment="1">
      <alignment horizontal="center"/>
    </xf>
    <xf numFmtId="166" fontId="13" fillId="0" borderId="269" xfId="0" applyNumberFormat="1" applyFont="1" applyBorder="1" applyAlignment="1">
      <alignment horizontal="center"/>
    </xf>
    <xf numFmtId="166" fontId="13" fillId="0" borderId="270" xfId="0" applyNumberFormat="1" applyFont="1" applyBorder="1" applyAlignment="1">
      <alignment horizontal="center"/>
    </xf>
    <xf numFmtId="166" fontId="13" fillId="0" borderId="271" xfId="0" applyNumberFormat="1" applyFont="1" applyBorder="1" applyAlignment="1">
      <alignment horizontal="center"/>
    </xf>
    <xf numFmtId="10" fontId="0" fillId="33" borderId="272" xfId="0" applyNumberFormat="1" applyFill="1" applyBorder="1"/>
    <xf numFmtId="9" fontId="13" fillId="0" borderId="273" xfId="0" applyNumberFormat="1" applyFont="1" applyBorder="1" applyAlignment="1">
      <alignment horizontal="center"/>
    </xf>
    <xf numFmtId="9" fontId="13" fillId="0" borderId="274" xfId="0" applyNumberFormat="1" applyFont="1" applyBorder="1" applyAlignment="1">
      <alignment horizontal="center"/>
    </xf>
    <xf numFmtId="9" fontId="13" fillId="0" borderId="275" xfId="0" applyNumberFormat="1" applyFont="1" applyBorder="1" applyAlignment="1">
      <alignment horizontal="center"/>
    </xf>
    <xf numFmtId="0" fontId="8" fillId="33" borderId="256" xfId="0" applyFont="1" applyFill="1" applyBorder="1"/>
    <xf numFmtId="2" fontId="0" fillId="0" borderId="80" xfId="0" applyNumberFormat="1" applyBorder="1" applyAlignment="1">
      <alignment horizontal="center"/>
    </xf>
    <xf numFmtId="2" fontId="13" fillId="0" borderId="269" xfId="0" applyNumberFormat="1" applyFont="1" applyBorder="1" applyAlignment="1">
      <alignment horizontal="center"/>
    </xf>
    <xf numFmtId="2" fontId="13" fillId="0" borderId="270" xfId="0" applyNumberFormat="1" applyFont="1" applyBorder="1" applyAlignment="1">
      <alignment horizontal="center"/>
    </xf>
    <xf numFmtId="2" fontId="13" fillId="0" borderId="271" xfId="0" applyNumberFormat="1" applyFont="1" applyBorder="1" applyAlignment="1">
      <alignment horizontal="center"/>
    </xf>
    <xf numFmtId="3" fontId="82" fillId="0" borderId="276" xfId="0" applyNumberFormat="1" applyFont="1" applyBorder="1" applyAlignment="1">
      <alignment horizontal="right" vertical="center" wrapText="1"/>
    </xf>
    <xf numFmtId="4" fontId="82" fillId="0" borderId="276" xfId="0" applyNumberFormat="1" applyFont="1" applyBorder="1" applyAlignment="1">
      <alignment horizontal="right" vertical="center" wrapText="1"/>
    </xf>
    <xf numFmtId="0" fontId="82" fillId="0" borderId="276" xfId="0" applyFont="1" applyBorder="1" applyAlignment="1">
      <alignment horizontal="right" vertical="center" wrapText="1"/>
    </xf>
    <xf numFmtId="0" fontId="83" fillId="0" borderId="276" xfId="0" applyFont="1" applyBorder="1" applyAlignment="1">
      <alignment horizontal="right" vertical="center" wrapText="1"/>
    </xf>
    <xf numFmtId="3" fontId="82" fillId="0" borderId="277" xfId="0" applyNumberFormat="1" applyFont="1" applyBorder="1" applyAlignment="1">
      <alignment horizontal="right" vertical="center" wrapText="1"/>
    </xf>
    <xf numFmtId="4" fontId="82" fillId="0" borderId="277" xfId="0" applyNumberFormat="1" applyFont="1" applyBorder="1" applyAlignment="1">
      <alignment horizontal="right" vertical="center" wrapText="1"/>
    </xf>
    <xf numFmtId="0" fontId="27" fillId="32" borderId="278" xfId="0" applyFont="1" applyFill="1" applyBorder="1" applyAlignment="1">
      <alignment horizontal="center"/>
    </xf>
    <xf numFmtId="169" fontId="86" fillId="30" borderId="0" xfId="0" applyNumberFormat="1" applyFont="1" applyFill="1" applyAlignment="1">
      <alignment horizontal="center" vertical="center" wrapText="1"/>
    </xf>
    <xf numFmtId="169" fontId="66" fillId="19" borderId="0" xfId="0" applyNumberFormat="1" applyFont="1" applyFill="1" applyAlignment="1">
      <alignment horizontal="center"/>
    </xf>
    <xf numFmtId="169" fontId="66" fillId="19" borderId="0" xfId="0" applyNumberFormat="1" applyFont="1" applyFill="1" applyAlignment="1">
      <alignment horizontal="center" vertical="center"/>
    </xf>
    <xf numFmtId="169" fontId="85" fillId="19" borderId="0" xfId="21" applyNumberFormat="1" applyFont="1" applyFill="1" applyAlignment="1">
      <alignment horizontal="center" vertical="center"/>
    </xf>
    <xf numFmtId="169" fontId="85" fillId="19" borderId="0" xfId="0" applyNumberFormat="1" applyFont="1" applyFill="1" applyAlignment="1">
      <alignment horizontal="center" vertical="center"/>
    </xf>
    <xf numFmtId="0" fontId="23" fillId="0" borderId="0" xfId="0" applyFont="1" applyAlignment="1">
      <alignment horizontal="center" vertical="center"/>
    </xf>
    <xf numFmtId="9" fontId="13" fillId="0" borderId="0" xfId="0" applyNumberFormat="1" applyFont="1" applyAlignment="1">
      <alignment horizontal="center"/>
    </xf>
    <xf numFmtId="9" fontId="0" fillId="0" borderId="80" xfId="16" applyFont="1" applyBorder="1" applyAlignment="1">
      <alignment horizontal="center"/>
    </xf>
    <xf numFmtId="3" fontId="66" fillId="30" borderId="0" xfId="0" applyNumberFormat="1" applyFont="1" applyFill="1" applyAlignment="1">
      <alignment horizontal="center" vertical="center"/>
    </xf>
    <xf numFmtId="0" fontId="82" fillId="0" borderId="277" xfId="0" applyFont="1" applyBorder="1" applyAlignment="1">
      <alignment horizontal="right" vertical="center" wrapText="1"/>
    </xf>
    <xf numFmtId="0" fontId="35" fillId="19" borderId="0" xfId="0" applyFont="1" applyFill="1" applyAlignment="1">
      <alignment horizontal="left"/>
    </xf>
    <xf numFmtId="4" fontId="0" fillId="21" borderId="0" xfId="0" applyNumberFormat="1" applyFill="1"/>
    <xf numFmtId="4" fontId="35" fillId="19" borderId="0" xfId="0" applyNumberFormat="1" applyFont="1" applyFill="1" applyAlignment="1">
      <alignment horizontal="center"/>
    </xf>
    <xf numFmtId="167" fontId="8" fillId="0" borderId="0" xfId="16" applyNumberFormat="1"/>
    <xf numFmtId="10" fontId="8" fillId="0" borderId="0" xfId="16" applyNumberFormat="1"/>
    <xf numFmtId="10" fontId="0" fillId="0" borderId="0" xfId="24" applyNumberFormat="1" applyFont="1"/>
    <xf numFmtId="0" fontId="13" fillId="0" borderId="29" xfId="24" applyFont="1" applyBorder="1"/>
    <xf numFmtId="0" fontId="8" fillId="0" borderId="5" xfId="24" applyBorder="1"/>
    <xf numFmtId="0" fontId="8" fillId="0" borderId="30" xfId="24" applyBorder="1"/>
    <xf numFmtId="0" fontId="13" fillId="0" borderId="6" xfId="24" applyFont="1" applyBorder="1"/>
    <xf numFmtId="0" fontId="13" fillId="0" borderId="31" xfId="24" applyFont="1" applyBorder="1"/>
    <xf numFmtId="10" fontId="8" fillId="0" borderId="0" xfId="16" applyNumberFormat="1" applyBorder="1"/>
    <xf numFmtId="0" fontId="13" fillId="0" borderId="40" xfId="24" applyFont="1" applyBorder="1"/>
    <xf numFmtId="9" fontId="8" fillId="0" borderId="0" xfId="16" applyBorder="1"/>
    <xf numFmtId="9" fontId="0" fillId="0" borderId="0" xfId="16" applyFont="1" applyBorder="1"/>
    <xf numFmtId="1" fontId="13" fillId="0" borderId="0" xfId="24" applyNumberFormat="1" applyFont="1"/>
    <xf numFmtId="167" fontId="8" fillId="0" borderId="0" xfId="16" applyNumberFormat="1" applyBorder="1"/>
    <xf numFmtId="0" fontId="8" fillId="0" borderId="6" xfId="24" applyBorder="1"/>
    <xf numFmtId="0" fontId="8" fillId="0" borderId="31" xfId="24" applyBorder="1"/>
    <xf numFmtId="0" fontId="8" fillId="0" borderId="27" xfId="24" applyBorder="1"/>
    <xf numFmtId="1" fontId="13" fillId="0" borderId="27" xfId="24" applyNumberFormat="1" applyFont="1" applyBorder="1"/>
    <xf numFmtId="0" fontId="8" fillId="0" borderId="33" xfId="24" applyBorder="1"/>
    <xf numFmtId="0" fontId="13" fillId="0" borderId="5" xfId="24" applyFont="1" applyBorder="1"/>
    <xf numFmtId="0" fontId="13" fillId="0" borderId="30" xfId="24" applyFont="1" applyBorder="1"/>
    <xf numFmtId="10" fontId="13" fillId="0" borderId="31" xfId="16" applyNumberFormat="1" applyFont="1" applyBorder="1"/>
    <xf numFmtId="0" fontId="13" fillId="0" borderId="38" xfId="24" applyFont="1" applyBorder="1"/>
    <xf numFmtId="0" fontId="13" fillId="0" borderId="1" xfId="24" applyFont="1" applyBorder="1" applyAlignment="1">
      <alignment horizontal="right"/>
    </xf>
    <xf numFmtId="0" fontId="13" fillId="0" borderId="39" xfId="24" applyFont="1" applyBorder="1"/>
    <xf numFmtId="0" fontId="8" fillId="0" borderId="32" xfId="24" applyBorder="1"/>
    <xf numFmtId="10" fontId="8" fillId="0" borderId="27" xfId="16" applyNumberFormat="1" applyBorder="1"/>
    <xf numFmtId="10" fontId="0" fillId="0" borderId="27" xfId="16" applyNumberFormat="1" applyFont="1" applyBorder="1"/>
    <xf numFmtId="3" fontId="8" fillId="0" borderId="0" xfId="24" applyNumberFormat="1"/>
    <xf numFmtId="3" fontId="0" fillId="0" borderId="0" xfId="24" applyNumberFormat="1" applyFont="1"/>
    <xf numFmtId="0" fontId="88" fillId="0" borderId="0" xfId="0" applyFont="1"/>
    <xf numFmtId="4" fontId="88" fillId="0" borderId="0" xfId="0" applyNumberFormat="1" applyFont="1"/>
    <xf numFmtId="175" fontId="8" fillId="0" borderId="0" xfId="16" applyNumberFormat="1"/>
    <xf numFmtId="0" fontId="8" fillId="0" borderId="279" xfId="26" applyBorder="1" applyAlignment="1">
      <alignment horizontal="center" vertical="center"/>
    </xf>
    <xf numFmtId="0" fontId="29" fillId="3" borderId="102" xfId="10" applyFont="1" applyBorder="1" applyAlignment="1">
      <alignment vertical="center"/>
    </xf>
    <xf numFmtId="0" fontId="89" fillId="0" borderId="280" xfId="0" applyFont="1" applyBorder="1" applyAlignment="1">
      <alignment horizontal="center" vertical="center"/>
    </xf>
    <xf numFmtId="0" fontId="89" fillId="0" borderId="0" xfId="0" applyFont="1" applyAlignment="1">
      <alignment horizontal="center"/>
    </xf>
    <xf numFmtId="0" fontId="0" fillId="0" borderId="101" xfId="26" applyFont="1" applyBorder="1" applyAlignment="1">
      <alignment horizontal="center" vertical="center"/>
    </xf>
    <xf numFmtId="0" fontId="8" fillId="0" borderId="281" xfId="26" applyBorder="1" applyAlignment="1">
      <alignment horizontal="center" vertical="center"/>
    </xf>
    <xf numFmtId="3" fontId="51" fillId="34" borderId="282" xfId="5" applyFont="1" applyFill="1" applyBorder="1" applyAlignment="1">
      <alignment horizontal="center" vertical="center"/>
    </xf>
    <xf numFmtId="0" fontId="8" fillId="0" borderId="0" xfId="26" applyAlignment="1">
      <alignment horizontal="center" vertical="center"/>
    </xf>
    <xf numFmtId="0" fontId="0" fillId="0" borderId="283" xfId="0" applyBorder="1" applyAlignment="1">
      <alignment horizontal="center"/>
    </xf>
    <xf numFmtId="0" fontId="26" fillId="3" borderId="0" xfId="10" applyFont="1" applyBorder="1" applyAlignment="1">
      <alignment vertical="center"/>
    </xf>
    <xf numFmtId="0" fontId="26" fillId="0" borderId="0" xfId="26" applyFont="1" applyAlignment="1">
      <alignment vertical="center"/>
    </xf>
    <xf numFmtId="0" fontId="90" fillId="0" borderId="0" xfId="0" applyFont="1" applyAlignment="1">
      <alignment horizontal="center"/>
    </xf>
    <xf numFmtId="0" fontId="90" fillId="0" borderId="0" xfId="0" applyFont="1" applyAlignment="1">
      <alignment horizontal="center" vertical="center"/>
    </xf>
    <xf numFmtId="173" fontId="0" fillId="0" borderId="101" xfId="26" applyNumberFormat="1" applyFont="1" applyBorder="1" applyAlignment="1">
      <alignment horizontal="center" vertical="center"/>
    </xf>
    <xf numFmtId="175" fontId="75" fillId="0" borderId="0" xfId="24" applyNumberFormat="1" applyFont="1" applyAlignment="1">
      <alignment horizontal="center"/>
    </xf>
    <xf numFmtId="167" fontId="75" fillId="0" borderId="0" xfId="24" applyNumberFormat="1" applyFont="1" applyAlignment="1">
      <alignment horizontal="center"/>
    </xf>
    <xf numFmtId="0" fontId="91" fillId="0" borderId="0" xfId="24" applyFont="1"/>
    <xf numFmtId="3" fontId="91" fillId="0" borderId="0" xfId="24" applyNumberFormat="1" applyFont="1"/>
    <xf numFmtId="4" fontId="91" fillId="0" borderId="0" xfId="24" applyNumberFormat="1" applyFont="1"/>
    <xf numFmtId="169" fontId="91" fillId="0" borderId="0" xfId="24" applyNumberFormat="1" applyFont="1"/>
    <xf numFmtId="10" fontId="75" fillId="0" borderId="0" xfId="16" applyNumberFormat="1" applyFont="1" applyAlignment="1">
      <alignment horizontal="center"/>
    </xf>
    <xf numFmtId="2" fontId="75" fillId="0" borderId="0" xfId="24" applyNumberFormat="1" applyFont="1" applyAlignment="1">
      <alignment horizontal="center"/>
    </xf>
    <xf numFmtId="167" fontId="0" fillId="17" borderId="189" xfId="16" applyNumberFormat="1" applyFont="1" applyFill="1" applyBorder="1" applyAlignment="1">
      <alignment horizontal="center"/>
    </xf>
    <xf numFmtId="167" fontId="35" fillId="19" borderId="0" xfId="16" applyNumberFormat="1" applyFont="1" applyFill="1" applyAlignment="1">
      <alignment horizontal="center"/>
    </xf>
    <xf numFmtId="2" fontId="0" fillId="0" borderId="0" xfId="24" applyNumberFormat="1" applyFont="1"/>
    <xf numFmtId="2" fontId="8" fillId="0" borderId="0" xfId="24" applyNumberFormat="1"/>
    <xf numFmtId="0" fontId="13" fillId="0" borderId="36" xfId="24" applyFont="1" applyBorder="1" applyAlignment="1">
      <alignment horizontal="center"/>
    </xf>
    <xf numFmtId="168" fontId="8" fillId="24" borderId="285" xfId="24" applyNumberFormat="1" applyFill="1" applyBorder="1" applyAlignment="1">
      <alignment horizontal="center"/>
    </xf>
    <xf numFmtId="10" fontId="8" fillId="24" borderId="134" xfId="24" applyNumberFormat="1" applyFill="1" applyBorder="1" applyAlignment="1">
      <alignment horizontal="center"/>
    </xf>
    <xf numFmtId="0" fontId="13" fillId="0" borderId="286" xfId="24" applyFont="1" applyBorder="1"/>
    <xf numFmtId="0" fontId="13" fillId="0" borderId="260" xfId="24" applyFont="1" applyBorder="1"/>
    <xf numFmtId="0" fontId="13" fillId="0" borderId="36" xfId="24" applyFont="1" applyBorder="1"/>
    <xf numFmtId="1" fontId="8" fillId="0" borderId="37" xfId="24" applyNumberFormat="1" applyBorder="1"/>
    <xf numFmtId="167" fontId="0" fillId="0" borderId="0" xfId="16" applyNumberFormat="1" applyFont="1" applyBorder="1"/>
    <xf numFmtId="167" fontId="0" fillId="0" borderId="285" xfId="16" applyNumberFormat="1" applyFont="1" applyBorder="1"/>
    <xf numFmtId="0" fontId="8" fillId="24" borderId="37" xfId="24" applyFill="1" applyBorder="1"/>
    <xf numFmtId="0" fontId="8" fillId="24" borderId="0" xfId="24" applyFill="1"/>
    <xf numFmtId="0" fontId="8" fillId="24" borderId="285" xfId="24" applyFill="1" applyBorder="1"/>
    <xf numFmtId="0" fontId="8" fillId="0" borderId="37" xfId="24" applyBorder="1"/>
    <xf numFmtId="175" fontId="8" fillId="0" borderId="0" xfId="16" applyNumberFormat="1" applyBorder="1"/>
    <xf numFmtId="175" fontId="8" fillId="0" borderId="285" xfId="16" applyNumberFormat="1" applyBorder="1"/>
    <xf numFmtId="2" fontId="8" fillId="0" borderId="37" xfId="24" applyNumberFormat="1" applyBorder="1"/>
    <xf numFmtId="2" fontId="8" fillId="0" borderId="285" xfId="24" applyNumberFormat="1" applyBorder="1"/>
    <xf numFmtId="10" fontId="8" fillId="24" borderId="287" xfId="24" applyNumberFormat="1" applyFill="1" applyBorder="1"/>
    <xf numFmtId="10" fontId="0" fillId="24" borderId="142" xfId="24" applyNumberFormat="1" applyFont="1" applyFill="1" applyBorder="1"/>
    <xf numFmtId="10" fontId="0" fillId="24" borderId="134" xfId="24" applyNumberFormat="1" applyFont="1" applyFill="1" applyBorder="1"/>
    <xf numFmtId="0" fontId="8" fillId="24" borderId="286" xfId="24" applyFill="1" applyBorder="1"/>
    <xf numFmtId="1" fontId="8" fillId="24" borderId="286" xfId="24" applyNumberFormat="1" applyFill="1" applyBorder="1"/>
    <xf numFmtId="1" fontId="0" fillId="24" borderId="260" xfId="24" applyNumberFormat="1" applyFont="1" applyFill="1" applyBorder="1"/>
    <xf numFmtId="1" fontId="0" fillId="24" borderId="36" xfId="24" applyNumberFormat="1" applyFont="1" applyFill="1" applyBorder="1"/>
    <xf numFmtId="0" fontId="8" fillId="24" borderId="36" xfId="24" applyFill="1" applyBorder="1" applyAlignment="1">
      <alignment horizontal="center"/>
    </xf>
    <xf numFmtId="0" fontId="13" fillId="0" borderId="37" xfId="24" applyFont="1" applyBorder="1"/>
    <xf numFmtId="0" fontId="13" fillId="24" borderId="37" xfId="24" applyFont="1" applyFill="1" applyBorder="1"/>
    <xf numFmtId="0" fontId="13" fillId="24" borderId="287" xfId="24" applyFont="1" applyFill="1" applyBorder="1"/>
    <xf numFmtId="167" fontId="8" fillId="0" borderId="285" xfId="24" applyNumberFormat="1" applyBorder="1" applyAlignment="1">
      <alignment horizontal="center"/>
    </xf>
    <xf numFmtId="167" fontId="0" fillId="0" borderId="196" xfId="24" applyNumberFormat="1" applyFont="1" applyBorder="1" applyAlignment="1">
      <alignment horizontal="center"/>
    </xf>
    <xf numFmtId="167" fontId="8" fillId="0" borderId="0" xfId="24" applyNumberFormat="1"/>
    <xf numFmtId="0" fontId="13" fillId="0" borderId="3" xfId="24" applyFont="1" applyBorder="1"/>
    <xf numFmtId="0" fontId="8" fillId="0" borderId="4" xfId="24" applyBorder="1"/>
    <xf numFmtId="0" fontId="8" fillId="0" borderId="2" xfId="24" applyBorder="1"/>
    <xf numFmtId="10" fontId="8" fillId="0" borderId="0" xfId="16" applyNumberFormat="1" applyFont="1" applyBorder="1"/>
    <xf numFmtId="10" fontId="8" fillId="46" borderId="0" xfId="16" applyNumberFormat="1" applyFont="1" applyFill="1" applyBorder="1"/>
    <xf numFmtId="10" fontId="19" fillId="3" borderId="6" xfId="16" applyNumberFormat="1" applyFont="1" applyFill="1" applyBorder="1"/>
    <xf numFmtId="179" fontId="19" fillId="3" borderId="4" xfId="10" applyNumberFormat="1" applyBorder="1"/>
    <xf numFmtId="178" fontId="19" fillId="3" borderId="31" xfId="10" applyNumberFormat="1" applyBorder="1"/>
    <xf numFmtId="179" fontId="19" fillId="3" borderId="31" xfId="10" applyNumberFormat="1" applyBorder="1"/>
    <xf numFmtId="10" fontId="19" fillId="3" borderId="4" xfId="16" applyNumberFormat="1" applyFont="1" applyFill="1" applyBorder="1"/>
    <xf numFmtId="0" fontId="8" fillId="0" borderId="3" xfId="24" applyBorder="1"/>
    <xf numFmtId="0" fontId="13" fillId="0" borderId="1" xfId="24" applyFont="1" applyBorder="1"/>
    <xf numFmtId="0" fontId="13" fillId="0" borderId="40" xfId="24" applyFont="1" applyBorder="1" applyAlignment="1">
      <alignment horizontal="right"/>
    </xf>
    <xf numFmtId="0" fontId="8" fillId="0" borderId="40" xfId="24" applyBorder="1"/>
    <xf numFmtId="0" fontId="26" fillId="31" borderId="0" xfId="24" applyFont="1" applyFill="1"/>
    <xf numFmtId="0" fontId="13" fillId="17" borderId="40" xfId="24" applyFont="1" applyFill="1" applyBorder="1"/>
    <xf numFmtId="3" fontId="8" fillId="0" borderId="31" xfId="24" applyNumberFormat="1" applyBorder="1"/>
    <xf numFmtId="175" fontId="8" fillId="0" borderId="40" xfId="16" applyNumberFormat="1" applyBorder="1"/>
    <xf numFmtId="175" fontId="13" fillId="0" borderId="40" xfId="24" applyNumberFormat="1" applyFont="1" applyBorder="1"/>
    <xf numFmtId="1" fontId="8" fillId="0" borderId="0" xfId="24" applyNumberFormat="1"/>
    <xf numFmtId="10" fontId="8" fillId="0" borderId="4" xfId="16" applyNumberFormat="1" applyBorder="1"/>
    <xf numFmtId="10" fontId="8" fillId="0" borderId="6" xfId="16" applyNumberFormat="1" applyBorder="1"/>
    <xf numFmtId="0" fontId="8" fillId="46" borderId="0" xfId="24" applyFill="1"/>
    <xf numFmtId="0" fontId="13" fillId="50" borderId="38" xfId="24" applyFont="1" applyFill="1" applyBorder="1"/>
    <xf numFmtId="0" fontId="13" fillId="50" borderId="1" xfId="24" applyFont="1" applyFill="1" applyBorder="1"/>
    <xf numFmtId="0" fontId="13" fillId="50" borderId="39" xfId="24" applyFont="1" applyFill="1" applyBorder="1"/>
    <xf numFmtId="0" fontId="8" fillId="0" borderId="38" xfId="24" applyBorder="1"/>
    <xf numFmtId="10" fontId="8" fillId="50" borderId="1" xfId="16" applyNumberFormat="1" applyFill="1" applyBorder="1"/>
    <xf numFmtId="0" fontId="8" fillId="50" borderId="39" xfId="24" applyFill="1" applyBorder="1"/>
    <xf numFmtId="10" fontId="8" fillId="0" borderId="38" xfId="16" applyNumberFormat="1" applyBorder="1"/>
    <xf numFmtId="10" fontId="8" fillId="0" borderId="1" xfId="16" applyNumberFormat="1" applyBorder="1"/>
    <xf numFmtId="0" fontId="8" fillId="0" borderId="39" xfId="24" applyBorder="1"/>
    <xf numFmtId="0" fontId="8" fillId="5" borderId="0" xfId="24" applyFill="1"/>
    <xf numFmtId="0" fontId="26" fillId="5" borderId="0" xfId="24" applyFont="1" applyFill="1"/>
    <xf numFmtId="0" fontId="8" fillId="0" borderId="1" xfId="24" applyBorder="1"/>
    <xf numFmtId="179" fontId="8" fillId="0" borderId="0" xfId="24" applyNumberFormat="1"/>
    <xf numFmtId="2" fontId="8" fillId="51" borderId="0" xfId="24" applyNumberFormat="1" applyFill="1"/>
    <xf numFmtId="0" fontId="8" fillId="0" borderId="0" xfId="24" applyAlignment="1">
      <alignment horizontal="center" vertical="center"/>
    </xf>
    <xf numFmtId="0" fontId="13" fillId="0" borderId="38" xfId="24" applyFont="1" applyBorder="1" applyAlignment="1">
      <alignment horizontal="right"/>
    </xf>
    <xf numFmtId="0" fontId="13" fillId="0" borderId="4" xfId="24" applyFont="1" applyBorder="1"/>
    <xf numFmtId="0" fontId="13" fillId="0" borderId="2" xfId="24" applyFont="1" applyBorder="1"/>
    <xf numFmtId="10" fontId="8" fillId="52" borderId="4" xfId="16" applyNumberFormat="1" applyFill="1" applyBorder="1"/>
    <xf numFmtId="167" fontId="8" fillId="0" borderId="27" xfId="16" applyNumberFormat="1" applyBorder="1"/>
    <xf numFmtId="178" fontId="8" fillId="0" borderId="3" xfId="24" applyNumberFormat="1" applyBorder="1"/>
    <xf numFmtId="167" fontId="8" fillId="0" borderId="2" xfId="24" applyNumberFormat="1" applyBorder="1"/>
    <xf numFmtId="0" fontId="26" fillId="0" borderId="0" xfId="24" applyFont="1"/>
    <xf numFmtId="179" fontId="19" fillId="3" borderId="3" xfId="10" applyNumberFormat="1" applyBorder="1"/>
    <xf numFmtId="179" fontId="19" fillId="3" borderId="30" xfId="10" applyNumberFormat="1" applyBorder="1"/>
    <xf numFmtId="3" fontId="8" fillId="0" borderId="3" xfId="24" applyNumberFormat="1" applyBorder="1"/>
    <xf numFmtId="10" fontId="19" fillId="3" borderId="2" xfId="16" applyNumberFormat="1" applyFont="1" applyFill="1" applyBorder="1"/>
    <xf numFmtId="167" fontId="19" fillId="3" borderId="2" xfId="16" applyNumberFormat="1" applyFont="1" applyFill="1" applyBorder="1"/>
    <xf numFmtId="1" fontId="19" fillId="3" borderId="2" xfId="10" applyNumberFormat="1" applyBorder="1"/>
    <xf numFmtId="1" fontId="19" fillId="3" borderId="32" xfId="10" applyNumberFormat="1" applyBorder="1"/>
    <xf numFmtId="179" fontId="19" fillId="3" borderId="29" xfId="10" applyNumberFormat="1" applyBorder="1"/>
    <xf numFmtId="167" fontId="8" fillId="0" borderId="40" xfId="16" applyNumberFormat="1" applyFill="1" applyBorder="1"/>
    <xf numFmtId="167" fontId="8" fillId="17" borderId="40" xfId="16" applyNumberFormat="1" applyFill="1" applyBorder="1"/>
    <xf numFmtId="0" fontId="13" fillId="7" borderId="0" xfId="24" applyFont="1" applyFill="1" applyAlignment="1">
      <alignment horizontal="center"/>
    </xf>
    <xf numFmtId="4" fontId="8" fillId="0" borderId="3" xfId="24" applyNumberFormat="1" applyBorder="1"/>
    <xf numFmtId="2" fontId="8" fillId="0" borderId="2" xfId="24" applyNumberFormat="1" applyBorder="1"/>
    <xf numFmtId="2" fontId="8" fillId="17" borderId="29" xfId="24" applyNumberFormat="1" applyFill="1" applyBorder="1"/>
    <xf numFmtId="179" fontId="8" fillId="17" borderId="6" xfId="24" applyNumberFormat="1" applyFill="1" applyBorder="1"/>
    <xf numFmtId="0" fontId="13" fillId="0" borderId="3" xfId="24" applyFont="1" applyBorder="1" applyAlignment="1">
      <alignment horizontal="right"/>
    </xf>
    <xf numFmtId="167" fontId="8" fillId="0" borderId="2" xfId="16" applyNumberFormat="1" applyFill="1" applyBorder="1"/>
    <xf numFmtId="10" fontId="8" fillId="46" borderId="0" xfId="24" applyNumberFormat="1" applyFill="1"/>
    <xf numFmtId="0" fontId="8" fillId="0" borderId="0" xfId="24" applyAlignment="1">
      <alignment horizontal="right"/>
    </xf>
    <xf numFmtId="0" fontId="0" fillId="33" borderId="289" xfId="0" applyFill="1" applyBorder="1"/>
    <xf numFmtId="0" fontId="13" fillId="14" borderId="290" xfId="0" applyFont="1" applyFill="1" applyBorder="1" applyAlignment="1">
      <alignment horizontal="center"/>
    </xf>
    <xf numFmtId="0" fontId="13" fillId="0" borderId="291" xfId="0" applyFont="1" applyBorder="1" applyAlignment="1">
      <alignment horizontal="left"/>
    </xf>
    <xf numFmtId="0" fontId="13" fillId="0" borderId="263" xfId="0" applyFont="1" applyBorder="1" applyAlignment="1">
      <alignment horizontal="left"/>
    </xf>
    <xf numFmtId="0" fontId="13" fillId="0" borderId="292" xfId="0" applyFont="1" applyBorder="1" applyAlignment="1">
      <alignment horizontal="left"/>
    </xf>
    <xf numFmtId="0" fontId="13" fillId="0" borderId="293" xfId="0" applyFont="1" applyBorder="1"/>
    <xf numFmtId="0" fontId="13" fillId="0" borderId="294" xfId="0" applyFont="1" applyBorder="1" applyAlignment="1">
      <alignment horizontal="center"/>
    </xf>
    <xf numFmtId="9" fontId="13" fillId="0" borderId="269" xfId="16" applyFont="1" applyBorder="1" applyAlignment="1">
      <alignment horizontal="center"/>
    </xf>
    <xf numFmtId="9" fontId="13" fillId="0" borderId="270" xfId="16" applyFont="1" applyBorder="1" applyAlignment="1">
      <alignment horizontal="center"/>
    </xf>
    <xf numFmtId="0" fontId="13" fillId="0" borderId="79" xfId="0" applyFont="1" applyBorder="1" applyAlignment="1">
      <alignment horizontal="center"/>
    </xf>
    <xf numFmtId="9" fontId="0" fillId="0" borderId="148" xfId="0" applyNumberFormat="1" applyBorder="1" applyAlignment="1">
      <alignment horizontal="center"/>
    </xf>
    <xf numFmtId="0" fontId="0" fillId="0" borderId="37" xfId="0" applyBorder="1"/>
    <xf numFmtId="0" fontId="0" fillId="0" borderId="285" xfId="0" applyBorder="1"/>
    <xf numFmtId="3" fontId="0" fillId="0" borderId="0" xfId="0" applyNumberFormat="1"/>
    <xf numFmtId="0" fontId="0" fillId="0" borderId="287" xfId="0" applyBorder="1"/>
    <xf numFmtId="0" fontId="0" fillId="0" borderId="142" xfId="0" applyBorder="1"/>
    <xf numFmtId="0" fontId="0" fillId="0" borderId="134" xfId="0" applyBorder="1"/>
    <xf numFmtId="0" fontId="26" fillId="49" borderId="0" xfId="0" applyFont="1" applyFill="1"/>
    <xf numFmtId="0" fontId="26" fillId="0" borderId="0" xfId="26" applyFont="1" applyAlignment="1">
      <alignment horizontal="center" vertical="center"/>
    </xf>
    <xf numFmtId="9" fontId="8" fillId="0" borderId="0" xfId="16"/>
    <xf numFmtId="10" fontId="86" fillId="30" borderId="0" xfId="16" applyNumberFormat="1" applyFont="1" applyFill="1" applyAlignment="1">
      <alignment horizontal="center" vertical="center" wrapText="1"/>
    </xf>
    <xf numFmtId="9" fontId="8" fillId="0" borderId="31" xfId="16" applyBorder="1"/>
    <xf numFmtId="10" fontId="8" fillId="0" borderId="29" xfId="16" applyNumberFormat="1" applyBorder="1"/>
    <xf numFmtId="10" fontId="8" fillId="0" borderId="5" xfId="16" applyNumberFormat="1" applyBorder="1"/>
    <xf numFmtId="10" fontId="8" fillId="0" borderId="5" xfId="24" applyNumberFormat="1" applyBorder="1"/>
    <xf numFmtId="10" fontId="8" fillId="0" borderId="30" xfId="16" applyNumberFormat="1" applyBorder="1"/>
    <xf numFmtId="0" fontId="27" fillId="5" borderId="0" xfId="24" applyFont="1" applyFill="1"/>
    <xf numFmtId="0" fontId="13" fillId="54" borderId="135" xfId="0" applyFont="1" applyFill="1" applyBorder="1" applyAlignment="1">
      <alignment horizontal="center" vertical="center"/>
    </xf>
    <xf numFmtId="0" fontId="13" fillId="0" borderId="116" xfId="0" applyFont="1" applyBorder="1" applyAlignment="1">
      <alignment horizontal="center" vertical="center"/>
    </xf>
    <xf numFmtId="0" fontId="13" fillId="0" borderId="0" xfId="0" applyFont="1" applyAlignment="1">
      <alignment horizontal="center" vertical="center"/>
    </xf>
    <xf numFmtId="0" fontId="13" fillId="0" borderId="117" xfId="0" applyFont="1" applyBorder="1" applyAlignment="1">
      <alignment horizontal="center" vertical="center"/>
    </xf>
    <xf numFmtId="0" fontId="13" fillId="40" borderId="117" xfId="0" applyFont="1" applyFill="1" applyBorder="1"/>
    <xf numFmtId="0" fontId="0" fillId="40" borderId="171" xfId="0" applyFill="1" applyBorder="1" applyAlignment="1">
      <alignment horizontal="center" vertical="center"/>
    </xf>
    <xf numFmtId="0" fontId="0" fillId="40" borderId="117" xfId="0" applyFill="1" applyBorder="1" applyAlignment="1">
      <alignment horizontal="center" vertical="center"/>
    </xf>
    <xf numFmtId="0" fontId="13" fillId="40" borderId="114" xfId="0" applyFont="1" applyFill="1" applyBorder="1"/>
    <xf numFmtId="0" fontId="0" fillId="40" borderId="0" xfId="0" applyFill="1" applyAlignment="1">
      <alignment horizontal="center" vertical="center"/>
    </xf>
    <xf numFmtId="0" fontId="0" fillId="40" borderId="114" xfId="0" applyFill="1" applyBorder="1" applyAlignment="1">
      <alignment horizontal="center" vertical="center"/>
    </xf>
    <xf numFmtId="0" fontId="0" fillId="0" borderId="114" xfId="0" applyBorder="1"/>
    <xf numFmtId="167" fontId="0" fillId="0" borderId="0" xfId="0" applyNumberFormat="1" applyAlignment="1">
      <alignment horizontal="center" vertical="center"/>
    </xf>
    <xf numFmtId="167" fontId="0" fillId="0" borderId="114" xfId="0" applyNumberFormat="1" applyBorder="1" applyAlignment="1">
      <alignment horizontal="center" vertical="center"/>
    </xf>
    <xf numFmtId="0" fontId="63" fillId="0" borderId="114" xfId="0" applyFont="1" applyBorder="1"/>
    <xf numFmtId="0" fontId="0" fillId="0" borderId="114" xfId="0" applyBorder="1" applyAlignment="1">
      <alignment horizontal="center" vertical="center"/>
    </xf>
    <xf numFmtId="0" fontId="0" fillId="40" borderId="114" xfId="0" applyFill="1" applyBorder="1"/>
    <xf numFmtId="3" fontId="0" fillId="40" borderId="0" xfId="0" applyNumberFormat="1" applyFill="1" applyAlignment="1">
      <alignment horizontal="center" vertical="center"/>
    </xf>
    <xf numFmtId="10" fontId="0" fillId="40" borderId="114" xfId="0" applyNumberFormat="1" applyFill="1" applyBorder="1" applyAlignment="1">
      <alignment horizontal="center" vertical="center"/>
    </xf>
    <xf numFmtId="0" fontId="13" fillId="42" borderId="117" xfId="0" applyFont="1" applyFill="1" applyBorder="1"/>
    <xf numFmtId="3" fontId="0" fillId="42" borderId="171" xfId="0" applyNumberFormat="1" applyFill="1" applyBorder="1" applyAlignment="1">
      <alignment horizontal="center" vertical="center"/>
    </xf>
    <xf numFmtId="0" fontId="0" fillId="42" borderId="171" xfId="0" applyFill="1" applyBorder="1" applyAlignment="1">
      <alignment horizontal="center" vertical="center"/>
    </xf>
    <xf numFmtId="3" fontId="0" fillId="42" borderId="117" xfId="0" applyNumberFormat="1" applyFill="1" applyBorder="1" applyAlignment="1">
      <alignment horizontal="center" vertical="center"/>
    </xf>
    <xf numFmtId="0" fontId="13" fillId="8" borderId="305" xfId="0" applyFont="1" applyFill="1" applyBorder="1"/>
    <xf numFmtId="167" fontId="0" fillId="8" borderId="260" xfId="0" applyNumberFormat="1" applyFill="1" applyBorder="1" applyAlignment="1">
      <alignment horizontal="center" vertical="center"/>
    </xf>
    <xf numFmtId="167" fontId="0" fillId="8" borderId="306" xfId="0" applyNumberFormat="1" applyFill="1" applyBorder="1" applyAlignment="1">
      <alignment horizontal="center" vertical="center"/>
    </xf>
    <xf numFmtId="0" fontId="13" fillId="0" borderId="307" xfId="0" applyFont="1" applyBorder="1"/>
    <xf numFmtId="167" fontId="0" fillId="0" borderId="142" xfId="0" applyNumberFormat="1" applyBorder="1" applyAlignment="1">
      <alignment horizontal="center" vertical="center"/>
    </xf>
    <xf numFmtId="167" fontId="0" fillId="12" borderId="308" xfId="0" applyNumberFormat="1" applyFill="1" applyBorder="1" applyAlignment="1">
      <alignment horizontal="center" vertical="center"/>
    </xf>
    <xf numFmtId="1" fontId="0" fillId="40" borderId="0" xfId="0" applyNumberFormat="1" applyFill="1" applyAlignment="1">
      <alignment horizontal="center" vertical="center"/>
    </xf>
    <xf numFmtId="167" fontId="8" fillId="0" borderId="287" xfId="16" applyNumberFormat="1" applyBorder="1" applyAlignment="1">
      <alignment horizontal="center"/>
    </xf>
    <xf numFmtId="0" fontId="13" fillId="14" borderId="194" xfId="24" applyFont="1" applyFill="1" applyBorder="1"/>
    <xf numFmtId="0" fontId="13" fillId="14" borderId="194" xfId="24" applyFont="1" applyFill="1" applyBorder="1" applyAlignment="1">
      <alignment horizontal="center"/>
    </xf>
    <xf numFmtId="0" fontId="13" fillId="14" borderId="283" xfId="24" applyFont="1" applyFill="1" applyBorder="1" applyAlignment="1">
      <alignment horizontal="center"/>
    </xf>
    <xf numFmtId="10" fontId="0" fillId="0" borderId="111" xfId="0" applyNumberFormat="1" applyBorder="1" applyAlignment="1">
      <alignment horizontal="center" vertical="center"/>
    </xf>
    <xf numFmtId="167" fontId="35" fillId="0" borderId="153" xfId="16" applyNumberFormat="1" applyFont="1" applyBorder="1"/>
    <xf numFmtId="0" fontId="23" fillId="0" borderId="36" xfId="0" applyFont="1" applyBorder="1"/>
    <xf numFmtId="0" fontId="35" fillId="0" borderId="285" xfId="0" applyFont="1" applyBorder="1"/>
    <xf numFmtId="167" fontId="35" fillId="0" borderId="285" xfId="16" applyNumberFormat="1" applyFont="1" applyBorder="1"/>
    <xf numFmtId="167" fontId="35" fillId="0" borderId="285" xfId="0" applyNumberFormat="1" applyFont="1" applyBorder="1"/>
    <xf numFmtId="167" fontId="35" fillId="0" borderId="134" xfId="0" applyNumberFormat="1" applyFont="1" applyBorder="1"/>
    <xf numFmtId="0" fontId="23" fillId="0" borderId="286" xfId="0" applyFont="1" applyBorder="1"/>
    <xf numFmtId="0" fontId="23" fillId="0" borderId="260" xfId="0" applyFont="1" applyBorder="1"/>
    <xf numFmtId="0" fontId="35" fillId="0" borderId="37" xfId="0" applyFont="1" applyBorder="1"/>
    <xf numFmtId="167" fontId="35" fillId="0" borderId="37" xfId="16" applyNumberFormat="1" applyFont="1" applyBorder="1"/>
    <xf numFmtId="167" fontId="35" fillId="0" borderId="0" xfId="16" applyNumberFormat="1" applyFont="1" applyBorder="1"/>
    <xf numFmtId="167" fontId="0" fillId="0" borderId="287" xfId="16" applyNumberFormat="1" applyFont="1" applyBorder="1"/>
    <xf numFmtId="167" fontId="0" fillId="0" borderId="142" xfId="16" applyNumberFormat="1" applyFont="1" applyBorder="1"/>
    <xf numFmtId="167" fontId="0" fillId="0" borderId="134" xfId="16" applyNumberFormat="1" applyFont="1" applyBorder="1"/>
    <xf numFmtId="0" fontId="35" fillId="0" borderId="286" xfId="0" applyFont="1" applyBorder="1"/>
    <xf numFmtId="0" fontId="35" fillId="0" borderId="260" xfId="0" applyFont="1" applyBorder="1"/>
    <xf numFmtId="0" fontId="35" fillId="0" borderId="36" xfId="0" applyFont="1" applyBorder="1"/>
    <xf numFmtId="0" fontId="23" fillId="12" borderId="37" xfId="0" applyFont="1" applyFill="1" applyBorder="1"/>
    <xf numFmtId="0" fontId="35" fillId="12" borderId="37" xfId="0" applyFont="1" applyFill="1" applyBorder="1"/>
    <xf numFmtId="0" fontId="23" fillId="55" borderId="286" xfId="0" applyFont="1" applyFill="1" applyBorder="1" applyAlignment="1">
      <alignment horizontal="center"/>
    </xf>
    <xf numFmtId="0" fontId="23" fillId="55" borderId="260" xfId="0" applyFont="1" applyFill="1" applyBorder="1" applyAlignment="1">
      <alignment horizontal="center"/>
    </xf>
    <xf numFmtId="0" fontId="23" fillId="55" borderId="36" xfId="0" applyFont="1" applyFill="1" applyBorder="1" applyAlignment="1">
      <alignment horizontal="center"/>
    </xf>
    <xf numFmtId="0" fontId="23" fillId="55" borderId="284" xfId="0" applyFont="1" applyFill="1" applyBorder="1" applyAlignment="1">
      <alignment horizontal="center"/>
    </xf>
    <xf numFmtId="0" fontId="35" fillId="0" borderId="284" xfId="0" applyFont="1" applyBorder="1" applyAlignment="1">
      <alignment horizontal="center"/>
    </xf>
    <xf numFmtId="0" fontId="35" fillId="0" borderId="196" xfId="0" applyFont="1" applyBorder="1" applyAlignment="1">
      <alignment horizontal="center"/>
    </xf>
    <xf numFmtId="167" fontId="23" fillId="12" borderId="37" xfId="16" applyNumberFormat="1" applyFont="1" applyFill="1" applyBorder="1" applyAlignment="1">
      <alignment horizontal="center"/>
    </xf>
    <xf numFmtId="167" fontId="23" fillId="12" borderId="0" xfId="16" applyNumberFormat="1" applyFont="1" applyFill="1" applyAlignment="1">
      <alignment horizontal="center"/>
    </xf>
    <xf numFmtId="167" fontId="23" fillId="12" borderId="285" xfId="16" applyNumberFormat="1" applyFont="1" applyFill="1" applyBorder="1" applyAlignment="1">
      <alignment horizontal="center"/>
    </xf>
    <xf numFmtId="167" fontId="23" fillId="12" borderId="196" xfId="0" applyNumberFormat="1" applyFont="1" applyFill="1" applyBorder="1" applyAlignment="1">
      <alignment horizontal="center"/>
    </xf>
    <xf numFmtId="167" fontId="23" fillId="12" borderId="196" xfId="16" applyNumberFormat="1" applyFont="1" applyFill="1" applyBorder="1" applyAlignment="1">
      <alignment horizontal="center"/>
    </xf>
    <xf numFmtId="167" fontId="35" fillId="12" borderId="37" xfId="16" applyNumberFormat="1" applyFont="1" applyFill="1" applyBorder="1" applyAlignment="1">
      <alignment horizontal="center"/>
    </xf>
    <xf numFmtId="167" fontId="35" fillId="12" borderId="285" xfId="16" applyNumberFormat="1" applyFont="1" applyFill="1" applyBorder="1" applyAlignment="1">
      <alignment horizontal="center"/>
    </xf>
    <xf numFmtId="167" fontId="35" fillId="12" borderId="196" xfId="16" applyNumberFormat="1" applyFont="1" applyFill="1" applyBorder="1" applyAlignment="1">
      <alignment horizontal="center"/>
    </xf>
    <xf numFmtId="167" fontId="35" fillId="0" borderId="153" xfId="0" applyNumberFormat="1" applyFont="1" applyBorder="1" applyAlignment="1">
      <alignment horizontal="center"/>
    </xf>
    <xf numFmtId="167" fontId="35" fillId="0" borderId="153" xfId="16" applyNumberFormat="1" applyFont="1" applyBorder="1" applyAlignment="1">
      <alignment horizontal="center"/>
    </xf>
    <xf numFmtId="1" fontId="35" fillId="0" borderId="286" xfId="0" applyNumberFormat="1" applyFont="1" applyBorder="1" applyAlignment="1">
      <alignment horizontal="center"/>
    </xf>
    <xf numFmtId="1" fontId="35" fillId="0" borderId="260" xfId="0" applyNumberFormat="1" applyFont="1" applyBorder="1" applyAlignment="1">
      <alignment horizontal="center"/>
    </xf>
    <xf numFmtId="1" fontId="35" fillId="0" borderId="36" xfId="0" applyNumberFormat="1" applyFont="1" applyBorder="1" applyAlignment="1">
      <alignment horizontal="center"/>
    </xf>
    <xf numFmtId="1" fontId="35" fillId="0" borderId="37" xfId="0" applyNumberFormat="1" applyFont="1" applyBorder="1" applyAlignment="1">
      <alignment horizontal="center"/>
    </xf>
    <xf numFmtId="1" fontId="35" fillId="0" borderId="0" xfId="0" applyNumberFormat="1" applyFont="1" applyAlignment="1">
      <alignment horizontal="center"/>
    </xf>
    <xf numFmtId="1" fontId="35" fillId="0" borderId="285" xfId="0" applyNumberFormat="1" applyFont="1" applyBorder="1" applyAlignment="1">
      <alignment horizontal="center"/>
    </xf>
    <xf numFmtId="10" fontId="0" fillId="0" borderId="287" xfId="16" applyNumberFormat="1" applyFont="1" applyBorder="1" applyAlignment="1">
      <alignment horizontal="center"/>
    </xf>
    <xf numFmtId="10" fontId="0" fillId="0" borderId="142" xfId="16" applyNumberFormat="1" applyFont="1" applyBorder="1" applyAlignment="1">
      <alignment horizontal="center"/>
    </xf>
    <xf numFmtId="167" fontId="8" fillId="0" borderId="283" xfId="16" applyNumberFormat="1" applyFont="1" applyBorder="1" applyAlignment="1">
      <alignment horizontal="center"/>
    </xf>
    <xf numFmtId="167" fontId="8" fillId="0" borderId="153" xfId="16" applyNumberFormat="1" applyFont="1" applyBorder="1" applyAlignment="1">
      <alignment horizontal="center"/>
    </xf>
    <xf numFmtId="0" fontId="8" fillId="24" borderId="194" xfId="24" applyFill="1" applyBorder="1" applyAlignment="1">
      <alignment horizontal="center"/>
    </xf>
    <xf numFmtId="0" fontId="8" fillId="56" borderId="309" xfId="0" applyFont="1" applyFill="1" applyBorder="1" applyAlignment="1">
      <alignment horizontal="center" vertical="center"/>
    </xf>
    <xf numFmtId="167" fontId="0" fillId="0" borderId="283" xfId="24" applyNumberFormat="1" applyFont="1" applyBorder="1" applyAlignment="1">
      <alignment horizontal="center"/>
    </xf>
    <xf numFmtId="0" fontId="13" fillId="54" borderId="194" xfId="0" applyFont="1" applyFill="1" applyBorder="1" applyAlignment="1">
      <alignment horizontal="center"/>
    </xf>
    <xf numFmtId="0" fontId="23" fillId="0" borderId="163" xfId="0" applyFont="1" applyBorder="1"/>
    <xf numFmtId="0" fontId="0" fillId="0" borderId="0" xfId="24" applyFont="1"/>
    <xf numFmtId="167" fontId="8" fillId="0" borderId="0" xfId="16" applyNumberFormat="1" applyFill="1" applyBorder="1"/>
    <xf numFmtId="0" fontId="13" fillId="0" borderId="284" xfId="24" applyFont="1" applyBorder="1" applyAlignment="1">
      <alignment horizontal="left"/>
    </xf>
    <xf numFmtId="0" fontId="8" fillId="0" borderId="196" xfId="24" applyBorder="1" applyAlignment="1">
      <alignment horizontal="left"/>
    </xf>
    <xf numFmtId="0" fontId="13" fillId="0" borderId="196" xfId="24" applyFont="1" applyBorder="1" applyAlignment="1">
      <alignment horizontal="left"/>
    </xf>
    <xf numFmtId="0" fontId="13" fillId="53" borderId="286" xfId="24" applyFont="1" applyFill="1" applyBorder="1" applyAlignment="1">
      <alignment horizontal="center"/>
    </xf>
    <xf numFmtId="0" fontId="13" fillId="53" borderId="260" xfId="24" applyFont="1" applyFill="1" applyBorder="1" applyAlignment="1">
      <alignment horizontal="center"/>
    </xf>
    <xf numFmtId="0" fontId="13" fillId="53" borderId="36" xfId="24" applyFont="1" applyFill="1" applyBorder="1" applyAlignment="1">
      <alignment horizontal="center"/>
    </xf>
    <xf numFmtId="3" fontId="8" fillId="0" borderId="0" xfId="24" applyNumberFormat="1" applyAlignment="1">
      <alignment horizontal="center"/>
    </xf>
    <xf numFmtId="10" fontId="19" fillId="3" borderId="0" xfId="16" applyNumberFormat="1" applyFont="1" applyFill="1" applyBorder="1" applyAlignment="1">
      <alignment horizontal="center"/>
    </xf>
    <xf numFmtId="10" fontId="19" fillId="3" borderId="285" xfId="16" applyNumberFormat="1" applyFont="1" applyFill="1" applyBorder="1" applyAlignment="1">
      <alignment horizontal="center"/>
    </xf>
    <xf numFmtId="10" fontId="19" fillId="17" borderId="37" xfId="16" applyNumberFormat="1" applyFont="1" applyFill="1" applyBorder="1" applyAlignment="1">
      <alignment horizontal="center"/>
    </xf>
    <xf numFmtId="10" fontId="19" fillId="0" borderId="0" xfId="16" applyNumberFormat="1" applyFont="1" applyFill="1" applyBorder="1" applyAlignment="1">
      <alignment horizontal="center"/>
    </xf>
    <xf numFmtId="10" fontId="19" fillId="0" borderId="285" xfId="16" applyNumberFormat="1" applyFont="1" applyBorder="1" applyAlignment="1">
      <alignment horizontal="center"/>
    </xf>
    <xf numFmtId="10" fontId="8" fillId="0" borderId="0" xfId="16" applyNumberFormat="1" applyBorder="1" applyAlignment="1">
      <alignment horizontal="center"/>
    </xf>
    <xf numFmtId="10" fontId="8" fillId="0" borderId="285" xfId="16" applyNumberFormat="1" applyBorder="1" applyAlignment="1">
      <alignment horizontal="center"/>
    </xf>
    <xf numFmtId="10" fontId="0" fillId="17" borderId="37" xfId="16" applyNumberFormat="1" applyFont="1" applyFill="1" applyBorder="1" applyAlignment="1">
      <alignment horizontal="center"/>
    </xf>
    <xf numFmtId="167" fontId="8" fillId="0" borderId="0" xfId="16" applyNumberFormat="1" applyFill="1" applyBorder="1" applyAlignment="1">
      <alignment horizontal="center"/>
    </xf>
    <xf numFmtId="10" fontId="8" fillId="0" borderId="0" xfId="24" applyNumberFormat="1" applyAlignment="1">
      <alignment horizontal="center"/>
    </xf>
    <xf numFmtId="10" fontId="8" fillId="0" borderId="285" xfId="24" applyNumberFormat="1" applyBorder="1" applyAlignment="1">
      <alignment horizontal="center"/>
    </xf>
    <xf numFmtId="10" fontId="0" fillId="17" borderId="37" xfId="24" applyNumberFormat="1" applyFont="1" applyFill="1" applyBorder="1" applyAlignment="1">
      <alignment horizontal="center"/>
    </xf>
    <xf numFmtId="1" fontId="8" fillId="0" borderId="0" xfId="24" applyNumberFormat="1" applyAlignment="1">
      <alignment horizontal="center"/>
    </xf>
    <xf numFmtId="1" fontId="19" fillId="3" borderId="0" xfId="10" applyNumberFormat="1" applyBorder="1" applyAlignment="1">
      <alignment horizontal="center"/>
    </xf>
    <xf numFmtId="1" fontId="19" fillId="3" borderId="285" xfId="10" applyNumberFormat="1" applyBorder="1" applyAlignment="1">
      <alignment horizontal="center"/>
    </xf>
    <xf numFmtId="1" fontId="0" fillId="0" borderId="0" xfId="24" applyNumberFormat="1" applyFont="1" applyAlignment="1">
      <alignment horizontal="center"/>
    </xf>
    <xf numFmtId="1" fontId="0" fillId="0" borderId="285" xfId="24" applyNumberFormat="1" applyFont="1" applyBorder="1" applyAlignment="1">
      <alignment horizontal="center"/>
    </xf>
    <xf numFmtId="0" fontId="13" fillId="12" borderId="196" xfId="24" applyFont="1" applyFill="1" applyBorder="1" applyAlignment="1">
      <alignment horizontal="left"/>
    </xf>
    <xf numFmtId="1" fontId="8" fillId="12" borderId="0" xfId="24" applyNumberFormat="1" applyFill="1" applyAlignment="1">
      <alignment horizontal="center"/>
    </xf>
    <xf numFmtId="1" fontId="8" fillId="12" borderId="285" xfId="24" applyNumberFormat="1" applyFill="1" applyBorder="1" applyAlignment="1">
      <alignment horizontal="center"/>
    </xf>
    <xf numFmtId="1" fontId="8" fillId="12" borderId="37" xfId="24" applyNumberFormat="1" applyFill="1" applyBorder="1" applyAlignment="1">
      <alignment horizontal="center"/>
    </xf>
    <xf numFmtId="0" fontId="13" fillId="24" borderId="196" xfId="24" applyFont="1" applyFill="1" applyBorder="1" applyAlignment="1">
      <alignment horizontal="left"/>
    </xf>
    <xf numFmtId="3" fontId="13" fillId="24" borderId="0" xfId="24" applyNumberFormat="1" applyFont="1" applyFill="1" applyAlignment="1">
      <alignment horizontal="center"/>
    </xf>
    <xf numFmtId="3" fontId="13" fillId="24" borderId="285" xfId="24" applyNumberFormat="1" applyFont="1" applyFill="1" applyBorder="1" applyAlignment="1">
      <alignment horizontal="center"/>
    </xf>
    <xf numFmtId="1" fontId="13" fillId="0" borderId="0" xfId="24" applyNumberFormat="1" applyFont="1" applyAlignment="1">
      <alignment horizontal="center"/>
    </xf>
    <xf numFmtId="1" fontId="13" fillId="0" borderId="285" xfId="24" applyNumberFormat="1" applyFont="1" applyBorder="1" applyAlignment="1">
      <alignment horizontal="center"/>
    </xf>
    <xf numFmtId="1" fontId="8" fillId="0" borderId="230" xfId="0" quotePrefix="1" applyNumberFormat="1" applyFont="1" applyBorder="1" applyAlignment="1">
      <alignment horizontal="center" vertical="center"/>
    </xf>
    <xf numFmtId="1" fontId="8" fillId="0" borderId="40" xfId="0" quotePrefix="1" applyNumberFormat="1" applyFont="1" applyBorder="1" applyAlignment="1">
      <alignment horizontal="center" vertical="center"/>
    </xf>
    <xf numFmtId="1" fontId="8" fillId="0" borderId="39" xfId="0" quotePrefix="1" applyNumberFormat="1" applyFont="1" applyBorder="1" applyAlignment="1">
      <alignment horizontal="center" vertical="center"/>
    </xf>
    <xf numFmtId="1" fontId="8" fillId="0" borderId="215" xfId="0" quotePrefix="1" applyNumberFormat="1" applyFont="1" applyBorder="1" applyAlignment="1">
      <alignment horizontal="center" vertical="center"/>
    </xf>
    <xf numFmtId="1" fontId="8" fillId="0" borderId="227" xfId="0" quotePrefix="1" applyNumberFormat="1" applyFont="1" applyBorder="1" applyAlignment="1">
      <alignment horizontal="center" vertical="center"/>
    </xf>
    <xf numFmtId="3" fontId="8" fillId="0" borderId="6" xfId="24" applyNumberFormat="1" applyBorder="1"/>
    <xf numFmtId="3" fontId="8" fillId="0" borderId="4" xfId="24" applyNumberFormat="1" applyBorder="1"/>
    <xf numFmtId="2" fontId="8" fillId="0" borderId="38" xfId="24" applyNumberFormat="1" applyBorder="1"/>
    <xf numFmtId="2" fontId="8" fillId="0" borderId="40" xfId="24" applyNumberFormat="1" applyBorder="1"/>
    <xf numFmtId="3" fontId="8" fillId="46" borderId="6" xfId="24" applyNumberFormat="1" applyFill="1" applyBorder="1"/>
    <xf numFmtId="2" fontId="8" fillId="46" borderId="0" xfId="24" applyNumberFormat="1" applyFill="1"/>
    <xf numFmtId="2" fontId="76" fillId="46" borderId="0" xfId="16" applyNumberFormat="1" applyFont="1" applyFill="1" applyAlignment="1">
      <alignment horizontal="center"/>
    </xf>
    <xf numFmtId="2" fontId="0" fillId="0" borderId="0" xfId="24" applyNumberFormat="1" applyFont="1" applyAlignment="1">
      <alignment horizontal="center" vertical="center"/>
    </xf>
    <xf numFmtId="167" fontId="8" fillId="0" borderId="0" xfId="16" applyNumberFormat="1" applyFill="1"/>
    <xf numFmtId="10" fontId="13" fillId="0" borderId="27" xfId="16" applyNumberFormat="1" applyFont="1" applyBorder="1"/>
    <xf numFmtId="2" fontId="8" fillId="0" borderId="5" xfId="24" applyNumberFormat="1" applyBorder="1"/>
    <xf numFmtId="2" fontId="8" fillId="0" borderId="3" xfId="24" applyNumberFormat="1" applyBorder="1"/>
    <xf numFmtId="10" fontId="13" fillId="0" borderId="2" xfId="16" applyNumberFormat="1" applyFont="1" applyBorder="1"/>
    <xf numFmtId="167" fontId="0" fillId="0" borderId="194" xfId="16" applyNumberFormat="1" applyFont="1" applyBorder="1" applyAlignment="1">
      <alignment horizontal="center"/>
    </xf>
    <xf numFmtId="10" fontId="13" fillId="0" borderId="2" xfId="16" applyNumberFormat="1" applyFont="1" applyBorder="1" applyAlignment="1">
      <alignment horizontal="right"/>
    </xf>
    <xf numFmtId="0" fontId="13" fillId="0" borderId="0" xfId="24" applyFont="1" applyAlignment="1">
      <alignment horizontal="right"/>
    </xf>
    <xf numFmtId="4" fontId="8" fillId="0" borderId="0" xfId="24" applyNumberFormat="1"/>
    <xf numFmtId="0" fontId="8" fillId="7" borderId="1" xfId="24" applyFill="1" applyBorder="1"/>
    <xf numFmtId="0" fontId="8" fillId="7" borderId="39" xfId="24" applyFill="1" applyBorder="1"/>
    <xf numFmtId="0" fontId="13" fillId="50" borderId="29" xfId="24" applyFont="1" applyFill="1" applyBorder="1"/>
    <xf numFmtId="0" fontId="8" fillId="50" borderId="3" xfId="24" applyFill="1" applyBorder="1" applyAlignment="1">
      <alignment horizontal="right"/>
    </xf>
    <xf numFmtId="0" fontId="8" fillId="50" borderId="5" xfId="24" applyFill="1" applyBorder="1" applyAlignment="1">
      <alignment horizontal="right"/>
    </xf>
    <xf numFmtId="0" fontId="8" fillId="50" borderId="3" xfId="24" applyFill="1" applyBorder="1"/>
    <xf numFmtId="0" fontId="8" fillId="50" borderId="5" xfId="24" applyFill="1" applyBorder="1"/>
    <xf numFmtId="0" fontId="13" fillId="50" borderId="32" xfId="24" applyFont="1" applyFill="1" applyBorder="1"/>
    <xf numFmtId="0" fontId="8" fillId="50" borderId="2" xfId="24" applyFill="1" applyBorder="1" applyAlignment="1">
      <alignment horizontal="right"/>
    </xf>
    <xf numFmtId="0" fontId="8" fillId="50" borderId="27" xfId="24" applyFill="1" applyBorder="1" applyAlignment="1">
      <alignment horizontal="right"/>
    </xf>
    <xf numFmtId="0" fontId="8" fillId="50" borderId="2" xfId="24" applyFill="1" applyBorder="1"/>
    <xf numFmtId="0" fontId="8" fillId="50" borderId="27" xfId="24" applyFill="1" applyBorder="1"/>
    <xf numFmtId="10" fontId="8" fillId="0" borderId="2" xfId="16" applyNumberFormat="1" applyFont="1" applyBorder="1" applyAlignment="1">
      <alignment horizontal="right"/>
    </xf>
    <xf numFmtId="10" fontId="8" fillId="0" borderId="27" xfId="16" applyNumberFormat="1" applyFont="1" applyBorder="1" applyAlignment="1">
      <alignment horizontal="right"/>
    </xf>
    <xf numFmtId="167" fontId="8" fillId="0" borderId="2" xfId="16" applyNumberFormat="1" applyFont="1" applyBorder="1" applyAlignment="1">
      <alignment horizontal="right"/>
    </xf>
    <xf numFmtId="167" fontId="8" fillId="0" borderId="27" xfId="16" applyNumberFormat="1" applyFont="1" applyBorder="1" applyAlignment="1">
      <alignment horizontal="right"/>
    </xf>
    <xf numFmtId="167" fontId="13" fillId="0" borderId="27" xfId="16" applyNumberFormat="1" applyFont="1" applyFill="1" applyBorder="1" applyAlignment="1">
      <alignment horizontal="right"/>
    </xf>
    <xf numFmtId="0" fontId="8" fillId="0" borderId="6" xfId="24" applyBorder="1" applyAlignment="1">
      <alignment horizontal="right"/>
    </xf>
    <xf numFmtId="0" fontId="8" fillId="0" borderId="32" xfId="24" applyBorder="1" applyAlignment="1">
      <alignment horizontal="right"/>
    </xf>
    <xf numFmtId="0" fontId="13" fillId="7" borderId="38" xfId="24" applyFont="1" applyFill="1" applyBorder="1"/>
    <xf numFmtId="167" fontId="13" fillId="0" borderId="40" xfId="16" applyNumberFormat="1" applyFont="1" applyFill="1" applyBorder="1" applyAlignment="1">
      <alignment horizontal="right"/>
    </xf>
    <xf numFmtId="10" fontId="13" fillId="52" borderId="4" xfId="16" applyNumberFormat="1" applyFont="1" applyFill="1" applyBorder="1" applyAlignment="1">
      <alignment horizontal="right"/>
    </xf>
    <xf numFmtId="167" fontId="13" fillId="57" borderId="4" xfId="16" applyNumberFormat="1" applyFont="1" applyFill="1" applyBorder="1" applyAlignment="1">
      <alignment horizontal="right"/>
    </xf>
    <xf numFmtId="0" fontId="13" fillId="54" borderId="283" xfId="0" applyFont="1" applyFill="1" applyBorder="1" applyAlignment="1">
      <alignment horizontal="center"/>
    </xf>
    <xf numFmtId="9" fontId="8" fillId="0" borderId="195" xfId="0" applyNumberFormat="1" applyFont="1" applyBorder="1"/>
    <xf numFmtId="9" fontId="8" fillId="0" borderId="163" xfId="0" applyNumberFormat="1" applyFont="1" applyBorder="1"/>
    <xf numFmtId="0" fontId="53" fillId="0" borderId="0" xfId="0" applyFont="1" applyAlignment="1">
      <alignment horizontal="center"/>
    </xf>
    <xf numFmtId="0" fontId="55" fillId="54" borderId="283" xfId="0" applyFont="1" applyFill="1" applyBorder="1" applyAlignment="1">
      <alignment horizontal="center"/>
    </xf>
    <xf numFmtId="10" fontId="53" fillId="0" borderId="195" xfId="0" applyNumberFormat="1" applyFont="1" applyBorder="1"/>
    <xf numFmtId="10" fontId="53" fillId="0" borderId="163" xfId="0" applyNumberFormat="1" applyFont="1" applyBorder="1"/>
    <xf numFmtId="0" fontId="53" fillId="47" borderId="0" xfId="0" applyFont="1" applyFill="1"/>
    <xf numFmtId="3" fontId="1" fillId="0" borderId="140" xfId="29" applyNumberFormat="1" applyFont="1" applyBorder="1" applyAlignment="1">
      <alignment horizontal="center"/>
    </xf>
    <xf numFmtId="9" fontId="0" fillId="58" borderId="86" xfId="16" applyFont="1" applyFill="1" applyBorder="1" applyAlignment="1">
      <alignment horizontal="center"/>
    </xf>
    <xf numFmtId="9" fontId="0" fillId="12" borderId="86" xfId="16" applyFont="1" applyFill="1" applyBorder="1" applyAlignment="1">
      <alignment horizontal="center"/>
    </xf>
    <xf numFmtId="9" fontId="8" fillId="58" borderId="85" xfId="16" applyFont="1" applyFill="1" applyBorder="1" applyAlignment="1">
      <alignment horizontal="center"/>
    </xf>
    <xf numFmtId="168" fontId="8" fillId="58" borderId="84" xfId="0" applyNumberFormat="1" applyFont="1" applyFill="1" applyBorder="1" applyAlignment="1">
      <alignment horizontal="center"/>
    </xf>
    <xf numFmtId="168" fontId="0" fillId="12" borderId="85" xfId="0" applyNumberFormat="1" applyFill="1" applyBorder="1" applyAlignment="1">
      <alignment horizontal="center"/>
    </xf>
    <xf numFmtId="3" fontId="53" fillId="40" borderId="32" xfId="0" applyNumberFormat="1" applyFont="1" applyFill="1" applyBorder="1" applyAlignment="1">
      <alignment horizontal="center" vertical="center"/>
    </xf>
    <xf numFmtId="1" fontId="53" fillId="59" borderId="109" xfId="0" applyNumberFormat="1" applyFont="1" applyFill="1" applyBorder="1" applyAlignment="1">
      <alignment horizontal="center" vertical="center"/>
    </xf>
    <xf numFmtId="0" fontId="55" fillId="8" borderId="27" xfId="0" applyFont="1" applyFill="1" applyBorder="1"/>
    <xf numFmtId="0" fontId="13" fillId="8" borderId="31" xfId="0" applyFont="1" applyFill="1" applyBorder="1" applyAlignment="1">
      <alignment horizontal="center"/>
    </xf>
    <xf numFmtId="0" fontId="55" fillId="8" borderId="0" xfId="0" applyFont="1" applyFill="1"/>
    <xf numFmtId="1" fontId="53" fillId="8" borderId="132" xfId="0" applyNumberFormat="1" applyFont="1" applyFill="1" applyBorder="1" applyAlignment="1">
      <alignment horizontal="center" vertical="center"/>
    </xf>
    <xf numFmtId="1" fontId="53" fillId="42" borderId="133" xfId="0" applyNumberFormat="1" applyFont="1" applyFill="1" applyBorder="1" applyAlignment="1">
      <alignment horizontal="center" vertical="center"/>
    </xf>
    <xf numFmtId="1" fontId="53" fillId="42" borderId="134" xfId="0" applyNumberFormat="1" applyFont="1" applyFill="1" applyBorder="1" applyAlignment="1">
      <alignment horizontal="center" vertical="center"/>
    </xf>
    <xf numFmtId="0" fontId="65" fillId="8" borderId="0" xfId="0" applyFont="1" applyFill="1" applyAlignment="1">
      <alignment horizontal="center"/>
    </xf>
    <xf numFmtId="0" fontId="8" fillId="8" borderId="0" xfId="0" applyFont="1" applyFill="1"/>
    <xf numFmtId="1" fontId="58" fillId="59" borderId="141" xfId="0" applyNumberFormat="1" applyFont="1" applyFill="1" applyBorder="1" applyAlignment="1">
      <alignment horizontal="center" vertical="center"/>
    </xf>
    <xf numFmtId="1" fontId="58" fillId="59" borderId="154" xfId="0" applyNumberFormat="1" applyFont="1" applyFill="1" applyBorder="1" applyAlignment="1">
      <alignment horizontal="center" vertical="center"/>
    </xf>
    <xf numFmtId="1" fontId="53" fillId="59" borderId="157" xfId="0" applyNumberFormat="1" applyFont="1" applyFill="1" applyBorder="1" applyAlignment="1">
      <alignment horizontal="center" vertical="center"/>
    </xf>
    <xf numFmtId="0" fontId="55" fillId="54" borderId="194" xfId="0" applyFont="1" applyFill="1" applyBorder="1" applyAlignment="1">
      <alignment horizontal="center"/>
    </xf>
    <xf numFmtId="10" fontId="53" fillId="0" borderId="194" xfId="0" applyNumberFormat="1" applyFont="1" applyBorder="1"/>
    <xf numFmtId="3" fontId="5" fillId="0" borderId="140" xfId="29" applyNumberFormat="1" applyBorder="1" applyAlignment="1">
      <alignment horizontal="center"/>
    </xf>
    <xf numFmtId="4" fontId="1" fillId="0" borderId="167" xfId="29" applyNumberFormat="1" applyFont="1" applyBorder="1" applyAlignment="1">
      <alignment horizontal="center"/>
    </xf>
    <xf numFmtId="0" fontId="13" fillId="0" borderId="237" xfId="0" applyFont="1" applyBorder="1" applyAlignment="1">
      <alignment horizontal="center"/>
    </xf>
    <xf numFmtId="0" fontId="27" fillId="0" borderId="0" xfId="24" applyFont="1"/>
    <xf numFmtId="167" fontId="8" fillId="0" borderId="2" xfId="16" applyNumberFormat="1" applyBorder="1"/>
    <xf numFmtId="0" fontId="13" fillId="53" borderId="143" xfId="24" applyFont="1" applyFill="1" applyBorder="1" applyAlignment="1">
      <alignment horizontal="center"/>
    </xf>
    <xf numFmtId="10" fontId="19" fillId="17" borderId="31" xfId="16" applyNumberFormat="1" applyFont="1" applyFill="1" applyBorder="1" applyAlignment="1">
      <alignment horizontal="center"/>
    </xf>
    <xf numFmtId="10" fontId="8" fillId="17" borderId="31" xfId="16" applyNumberFormat="1" applyFill="1" applyBorder="1" applyAlignment="1">
      <alignment horizontal="center"/>
    </xf>
    <xf numFmtId="10" fontId="8" fillId="17" borderId="31" xfId="24" applyNumberFormat="1" applyFill="1" applyBorder="1" applyAlignment="1">
      <alignment horizontal="center"/>
    </xf>
    <xf numFmtId="1" fontId="13" fillId="17" borderId="31" xfId="24" applyNumberFormat="1" applyFont="1" applyFill="1" applyBorder="1" applyAlignment="1">
      <alignment horizontal="center"/>
    </xf>
    <xf numFmtId="1" fontId="8" fillId="12" borderId="31" xfId="24" applyNumberFormat="1" applyFill="1" applyBorder="1" applyAlignment="1">
      <alignment horizontal="center"/>
    </xf>
    <xf numFmtId="0" fontId="8" fillId="0" borderId="131" xfId="24" applyBorder="1" applyAlignment="1">
      <alignment horizontal="left"/>
    </xf>
    <xf numFmtId="10" fontId="8" fillId="0" borderId="1" xfId="24" applyNumberFormat="1" applyBorder="1" applyAlignment="1">
      <alignment horizontal="center"/>
    </xf>
    <xf numFmtId="10" fontId="8" fillId="0" borderId="192" xfId="24" applyNumberFormat="1" applyBorder="1" applyAlignment="1">
      <alignment horizontal="center"/>
    </xf>
    <xf numFmtId="10" fontId="0" fillId="17" borderId="215" xfId="24" applyNumberFormat="1" applyFont="1" applyFill="1" applyBorder="1" applyAlignment="1">
      <alignment horizontal="center"/>
    </xf>
    <xf numFmtId="10" fontId="8" fillId="17" borderId="39" xfId="24" applyNumberFormat="1" applyFill="1" applyBorder="1" applyAlignment="1">
      <alignment horizontal="center"/>
    </xf>
    <xf numFmtId="10" fontId="0" fillId="0" borderId="39" xfId="24" applyNumberFormat="1" applyFont="1" applyBorder="1" applyAlignment="1">
      <alignment horizontal="center"/>
    </xf>
    <xf numFmtId="0" fontId="13" fillId="0" borderId="131" xfId="24" applyFont="1" applyBorder="1" applyAlignment="1">
      <alignment horizontal="left"/>
    </xf>
    <xf numFmtId="10" fontId="13" fillId="0" borderId="1" xfId="24" applyNumberFormat="1" applyFont="1" applyBorder="1" applyAlignment="1">
      <alignment horizontal="center"/>
    </xf>
    <xf numFmtId="10" fontId="13" fillId="0" borderId="192" xfId="24" applyNumberFormat="1" applyFont="1" applyBorder="1" applyAlignment="1">
      <alignment horizontal="center"/>
    </xf>
    <xf numFmtId="10" fontId="13" fillId="17" borderId="215" xfId="24" applyNumberFormat="1" applyFont="1" applyFill="1" applyBorder="1" applyAlignment="1">
      <alignment horizontal="center"/>
    </xf>
    <xf numFmtId="10" fontId="13" fillId="17" borderId="39" xfId="24" applyNumberFormat="1" applyFont="1" applyFill="1" applyBorder="1" applyAlignment="1">
      <alignment horizontal="center"/>
    </xf>
    <xf numFmtId="10" fontId="13" fillId="0" borderId="39" xfId="24" applyNumberFormat="1" applyFont="1" applyBorder="1" applyAlignment="1">
      <alignment horizontal="center"/>
    </xf>
    <xf numFmtId="0" fontId="77" fillId="7" borderId="0" xfId="0" applyFont="1" applyFill="1"/>
    <xf numFmtId="9" fontId="0" fillId="0" borderId="148" xfId="16" applyFont="1" applyBorder="1" applyAlignment="1">
      <alignment horizontal="center"/>
    </xf>
    <xf numFmtId="166" fontId="0" fillId="0" borderId="148" xfId="0" applyNumberFormat="1" applyBorder="1" applyAlignment="1">
      <alignment horizontal="center"/>
    </xf>
    <xf numFmtId="166" fontId="0" fillId="0" borderId="0" xfId="0" applyNumberFormat="1" applyAlignment="1">
      <alignment horizontal="center"/>
    </xf>
    <xf numFmtId="10" fontId="53" fillId="0" borderId="283" xfId="16" applyNumberFormat="1" applyFont="1" applyBorder="1"/>
    <xf numFmtId="3" fontId="53" fillId="40" borderId="129" xfId="0" applyNumberFormat="1" applyFont="1" applyFill="1" applyBorder="1" applyAlignment="1">
      <alignment horizontal="center" vertical="center"/>
    </xf>
    <xf numFmtId="0" fontId="13" fillId="8" borderId="173" xfId="0" applyFont="1" applyFill="1" applyBorder="1" applyAlignment="1">
      <alignment vertical="center" wrapText="1"/>
    </xf>
    <xf numFmtId="0" fontId="13" fillId="8" borderId="170" xfId="0" applyFont="1" applyFill="1" applyBorder="1" applyAlignment="1">
      <alignment horizontal="left" vertical="center" wrapText="1"/>
    </xf>
    <xf numFmtId="175" fontId="76" fillId="46" borderId="0" xfId="16" applyNumberFormat="1" applyFont="1" applyFill="1" applyAlignment="1">
      <alignment horizontal="center"/>
    </xf>
    <xf numFmtId="179" fontId="19" fillId="50" borderId="29" xfId="10" applyNumberFormat="1" applyFill="1" applyBorder="1"/>
    <xf numFmtId="167" fontId="8" fillId="51" borderId="27" xfId="16" applyNumberFormat="1" applyFill="1" applyBorder="1"/>
    <xf numFmtId="178" fontId="19" fillId="3" borderId="3" xfId="10" applyNumberFormat="1" applyBorder="1"/>
    <xf numFmtId="178" fontId="19" fillId="3" borderId="4" xfId="10" applyNumberFormat="1" applyBorder="1"/>
    <xf numFmtId="178" fontId="19" fillId="3" borderId="30" xfId="10" applyNumberFormat="1" applyBorder="1"/>
    <xf numFmtId="10" fontId="19" fillId="17" borderId="31" xfId="16" applyNumberFormat="1" applyFont="1" applyFill="1" applyBorder="1"/>
    <xf numFmtId="10" fontId="19" fillId="17" borderId="4" xfId="16" applyNumberFormat="1" applyFont="1" applyFill="1" applyBorder="1"/>
    <xf numFmtId="10" fontId="19" fillId="17" borderId="0" xfId="16" applyNumberFormat="1" applyFont="1" applyFill="1" applyBorder="1"/>
    <xf numFmtId="10" fontId="19" fillId="17" borderId="33" xfId="16" applyNumberFormat="1" applyFont="1" applyFill="1" applyBorder="1"/>
    <xf numFmtId="9" fontId="19" fillId="17" borderId="31" xfId="16" applyFont="1" applyFill="1" applyBorder="1"/>
    <xf numFmtId="167" fontId="19" fillId="17" borderId="4" xfId="16" applyNumberFormat="1" applyFont="1" applyFill="1" applyBorder="1"/>
    <xf numFmtId="167" fontId="19" fillId="17" borderId="31" xfId="16" applyNumberFormat="1" applyFont="1" applyFill="1" applyBorder="1"/>
    <xf numFmtId="167" fontId="19" fillId="17" borderId="0" xfId="16" applyNumberFormat="1" applyFont="1" applyFill="1" applyBorder="1"/>
    <xf numFmtId="10" fontId="19" fillId="0" borderId="2" xfId="16" applyNumberFormat="1" applyFont="1" applyFill="1" applyBorder="1"/>
    <xf numFmtId="10" fontId="19" fillId="17" borderId="6" xfId="16" applyNumberFormat="1" applyFont="1" applyFill="1" applyBorder="1"/>
    <xf numFmtId="10" fontId="19" fillId="0" borderId="31" xfId="16" applyNumberFormat="1" applyFont="1" applyFill="1" applyBorder="1"/>
    <xf numFmtId="1" fontId="19" fillId="12" borderId="3" xfId="10" applyNumberFormat="1" applyFill="1" applyBorder="1"/>
    <xf numFmtId="167" fontId="19" fillId="12" borderId="2" xfId="16" applyNumberFormat="1" applyFont="1" applyFill="1" applyBorder="1"/>
    <xf numFmtId="1" fontId="19" fillId="12" borderId="4" xfId="10" applyNumberFormat="1" applyFill="1" applyBorder="1"/>
    <xf numFmtId="10" fontId="19" fillId="12" borderId="4" xfId="16" applyNumberFormat="1" applyFont="1" applyFill="1" applyBorder="1"/>
    <xf numFmtId="10" fontId="19" fillId="12" borderId="3" xfId="16" applyNumberFormat="1" applyFont="1" applyFill="1" applyBorder="1"/>
    <xf numFmtId="9" fontId="19" fillId="12" borderId="2" xfId="16" applyFont="1" applyFill="1" applyBorder="1"/>
    <xf numFmtId="10" fontId="19" fillId="12" borderId="2" xfId="16" applyNumberFormat="1" applyFont="1" applyFill="1" applyBorder="1"/>
    <xf numFmtId="179" fontId="19" fillId="0" borderId="30" xfId="10" applyNumberFormat="1" applyFill="1" applyBorder="1"/>
    <xf numFmtId="2" fontId="19" fillId="0" borderId="31" xfId="10" applyNumberFormat="1" applyFill="1" applyBorder="1"/>
    <xf numFmtId="0" fontId="19" fillId="3" borderId="286" xfId="10" applyBorder="1"/>
    <xf numFmtId="0" fontId="19" fillId="3" borderId="317" xfId="10" applyBorder="1"/>
    <xf numFmtId="0" fontId="92" fillId="3" borderId="318" xfId="10" applyFont="1" applyBorder="1"/>
    <xf numFmtId="0" fontId="19" fillId="12" borderId="317" xfId="10" applyFill="1" applyBorder="1"/>
    <xf numFmtId="0" fontId="19" fillId="3" borderId="319" xfId="10" applyBorder="1"/>
    <xf numFmtId="0" fontId="19" fillId="50" borderId="191" xfId="10" applyFill="1" applyBorder="1"/>
    <xf numFmtId="0" fontId="19" fillId="3" borderId="129" xfId="10" applyBorder="1"/>
    <xf numFmtId="0" fontId="92" fillId="3" borderId="313" xfId="10" applyFont="1" applyBorder="1"/>
    <xf numFmtId="178" fontId="19" fillId="3" borderId="285" xfId="10" applyNumberFormat="1" applyBorder="1"/>
    <xf numFmtId="0" fontId="19" fillId="3" borderId="313" xfId="10" applyBorder="1"/>
    <xf numFmtId="1" fontId="19" fillId="3" borderId="6" xfId="10" applyNumberFormat="1"/>
    <xf numFmtId="10" fontId="19" fillId="17" borderId="285" xfId="16" applyNumberFormat="1" applyFont="1" applyFill="1" applyBorder="1"/>
    <xf numFmtId="167" fontId="19" fillId="17" borderId="312" xfId="16" applyNumberFormat="1" applyFont="1" applyFill="1" applyBorder="1"/>
    <xf numFmtId="0" fontId="19" fillId="3" borderId="287" xfId="10" applyBorder="1"/>
    <xf numFmtId="10" fontId="19" fillId="3" borderId="320" xfId="16" applyNumberFormat="1" applyFont="1" applyFill="1" applyBorder="1"/>
    <xf numFmtId="10" fontId="19" fillId="0" borderId="320" xfId="16" applyNumberFormat="1" applyFont="1" applyFill="1" applyBorder="1"/>
    <xf numFmtId="10" fontId="19" fillId="12" borderId="321" xfId="16" applyNumberFormat="1" applyFont="1" applyFill="1" applyBorder="1"/>
    <xf numFmtId="9" fontId="19" fillId="0" borderId="133" xfId="16" applyFont="1" applyFill="1" applyBorder="1"/>
    <xf numFmtId="167" fontId="19" fillId="0" borderId="142" xfId="16" applyNumberFormat="1" applyFont="1" applyFill="1" applyBorder="1"/>
    <xf numFmtId="167" fontId="19" fillId="0" borderId="134" xfId="16" applyNumberFormat="1" applyFont="1" applyFill="1" applyBorder="1"/>
    <xf numFmtId="0" fontId="19" fillId="50" borderId="286" xfId="10" applyFill="1" applyBorder="1"/>
    <xf numFmtId="1" fontId="19" fillId="50" borderId="317" xfId="10" applyNumberFormat="1" applyFill="1" applyBorder="1"/>
    <xf numFmtId="10" fontId="19" fillId="12" borderId="322" xfId="16" applyNumberFormat="1" applyFont="1" applyFill="1" applyBorder="1"/>
    <xf numFmtId="0" fontId="92" fillId="3" borderId="162" xfId="10" applyFont="1" applyBorder="1"/>
    <xf numFmtId="179" fontId="19" fillId="3" borderId="285" xfId="10" applyNumberFormat="1" applyBorder="1"/>
    <xf numFmtId="10" fontId="19" fillId="17" borderId="312" xfId="16" applyNumberFormat="1" applyFont="1" applyFill="1" applyBorder="1"/>
    <xf numFmtId="178" fontId="19" fillId="50" borderId="317" xfId="10" applyNumberFormat="1" applyFill="1" applyBorder="1"/>
    <xf numFmtId="0" fontId="92" fillId="3" borderId="191" xfId="10" applyFont="1" applyBorder="1"/>
    <xf numFmtId="179" fontId="19" fillId="0" borderId="311" xfId="10" applyNumberFormat="1" applyFill="1" applyBorder="1"/>
    <xf numFmtId="0" fontId="19" fillId="3" borderId="37" xfId="10" applyBorder="1"/>
    <xf numFmtId="0" fontId="92" fillId="3" borderId="37" xfId="10" applyFont="1" applyBorder="1"/>
    <xf numFmtId="2" fontId="19" fillId="0" borderId="285" xfId="10" applyNumberFormat="1" applyFill="1" applyBorder="1"/>
    <xf numFmtId="167" fontId="19" fillId="3" borderId="320" xfId="16" applyNumberFormat="1" applyFont="1" applyFill="1" applyBorder="1"/>
    <xf numFmtId="10" fontId="19" fillId="3" borderId="133" xfId="16" applyNumberFormat="1" applyFont="1" applyFill="1" applyBorder="1"/>
    <xf numFmtId="167" fontId="19" fillId="12" borderId="320" xfId="16" applyNumberFormat="1" applyFont="1" applyFill="1" applyBorder="1"/>
    <xf numFmtId="10" fontId="19" fillId="0" borderId="142" xfId="16" applyNumberFormat="1" applyFont="1" applyFill="1" applyBorder="1"/>
    <xf numFmtId="10" fontId="19" fillId="0" borderId="134" xfId="16" applyNumberFormat="1" applyFont="1" applyFill="1" applyBorder="1"/>
    <xf numFmtId="1" fontId="92" fillId="50" borderId="317" xfId="10" applyNumberFormat="1" applyFont="1" applyFill="1" applyBorder="1"/>
    <xf numFmtId="1" fontId="94" fillId="50" borderId="143" xfId="24" applyNumberFormat="1" applyFont="1" applyFill="1" applyBorder="1"/>
    <xf numFmtId="1" fontId="92" fillId="50" borderId="318" xfId="10" applyNumberFormat="1" applyFont="1" applyFill="1" applyBorder="1"/>
    <xf numFmtId="1" fontId="92" fillId="12" borderId="317" xfId="10" applyNumberFormat="1" applyFont="1" applyFill="1" applyBorder="1"/>
    <xf numFmtId="2" fontId="92" fillId="50" borderId="317" xfId="10" applyNumberFormat="1" applyFont="1" applyFill="1" applyBorder="1"/>
    <xf numFmtId="2" fontId="92" fillId="50" borderId="319" xfId="10" applyNumberFormat="1" applyFont="1" applyFill="1" applyBorder="1"/>
    <xf numFmtId="1" fontId="8" fillId="0" borderId="133" xfId="0" applyNumberFormat="1" applyFont="1" applyBorder="1"/>
    <xf numFmtId="167" fontId="19" fillId="3" borderId="133" xfId="0" applyNumberFormat="1" applyFont="1" applyFill="1" applyBorder="1"/>
    <xf numFmtId="1" fontId="19" fillId="12" borderId="321" xfId="0" applyNumberFormat="1" applyFont="1" applyFill="1" applyBorder="1"/>
    <xf numFmtId="0" fontId="19" fillId="3" borderId="0" xfId="10" applyBorder="1"/>
    <xf numFmtId="0" fontId="92" fillId="50" borderId="260" xfId="10" applyFont="1" applyFill="1" applyBorder="1"/>
    <xf numFmtId="0" fontId="19" fillId="3" borderId="133" xfId="0" applyFont="1" applyFill="1" applyBorder="1"/>
    <xf numFmtId="0" fontId="19" fillId="3" borderId="284" xfId="10" applyBorder="1"/>
    <xf numFmtId="10" fontId="92" fillId="3" borderId="196" xfId="16" applyNumberFormat="1" applyFont="1" applyFill="1" applyBorder="1" applyAlignment="1">
      <alignment horizontal="left"/>
    </xf>
    <xf numFmtId="0" fontId="92" fillId="3" borderId="196" xfId="10" applyFont="1" applyBorder="1"/>
    <xf numFmtId="0" fontId="92" fillId="3" borderId="196" xfId="10" applyFont="1" applyBorder="1" applyAlignment="1">
      <alignment horizontal="left"/>
    </xf>
    <xf numFmtId="0" fontId="92" fillId="3" borderId="153" xfId="0" applyFont="1" applyFill="1" applyBorder="1"/>
    <xf numFmtId="1" fontId="19" fillId="3" borderId="0" xfId="10" applyNumberFormat="1" applyBorder="1"/>
    <xf numFmtId="1" fontId="19" fillId="12" borderId="0" xfId="10" applyNumberFormat="1" applyFill="1" applyBorder="1"/>
    <xf numFmtId="0" fontId="19" fillId="7" borderId="317" xfId="10" applyFill="1" applyBorder="1"/>
    <xf numFmtId="10" fontId="19" fillId="7" borderId="33" xfId="16" applyNumberFormat="1" applyFont="1" applyFill="1" applyBorder="1"/>
    <xf numFmtId="179" fontId="19" fillId="7" borderId="31" xfId="10" applyNumberFormat="1" applyFill="1" applyBorder="1" applyAlignment="1">
      <alignment horizontal="right"/>
    </xf>
    <xf numFmtId="2" fontId="19" fillId="7" borderId="31" xfId="10" applyNumberFormat="1" applyFill="1" applyBorder="1"/>
    <xf numFmtId="9" fontId="19" fillId="7" borderId="31" xfId="16" applyFont="1" applyFill="1" applyBorder="1"/>
    <xf numFmtId="10" fontId="19" fillId="7" borderId="31" xfId="16" applyNumberFormat="1" applyFont="1" applyFill="1" applyBorder="1"/>
    <xf numFmtId="178" fontId="19" fillId="7" borderId="31" xfId="10" applyNumberFormat="1" applyFill="1" applyBorder="1"/>
    <xf numFmtId="9" fontId="19" fillId="7" borderId="33" xfId="16" applyFont="1" applyFill="1" applyBorder="1"/>
    <xf numFmtId="9" fontId="19" fillId="7" borderId="133" xfId="16" applyFont="1" applyFill="1" applyBorder="1"/>
    <xf numFmtId="10" fontId="19" fillId="7" borderId="133" xfId="16" applyNumberFormat="1" applyFont="1" applyFill="1" applyBorder="1"/>
    <xf numFmtId="1" fontId="19" fillId="7" borderId="0" xfId="10" applyNumberFormat="1" applyFill="1" applyBorder="1"/>
    <xf numFmtId="179" fontId="19" fillId="7" borderId="30" xfId="10" applyNumberFormat="1" applyFill="1" applyBorder="1"/>
    <xf numFmtId="167" fontId="19" fillId="7" borderId="31" xfId="16" applyNumberFormat="1" applyFont="1" applyFill="1" applyBorder="1"/>
    <xf numFmtId="179" fontId="19" fillId="7" borderId="31" xfId="10" applyNumberFormat="1" applyFill="1" applyBorder="1"/>
    <xf numFmtId="10" fontId="19" fillId="7" borderId="142" xfId="16" applyNumberFormat="1" applyFont="1" applyFill="1" applyBorder="1"/>
    <xf numFmtId="179" fontId="92" fillId="7" borderId="317" xfId="10" applyNumberFormat="1" applyFont="1" applyFill="1" applyBorder="1"/>
    <xf numFmtId="2" fontId="92" fillId="7" borderId="317" xfId="10" applyNumberFormat="1" applyFont="1" applyFill="1" applyBorder="1"/>
    <xf numFmtId="179" fontId="92" fillId="7" borderId="30" xfId="10" applyNumberFormat="1" applyFont="1" applyFill="1" applyBorder="1" applyAlignment="1">
      <alignment vertical="center"/>
    </xf>
    <xf numFmtId="9" fontId="19" fillId="7" borderId="33" xfId="16" applyFont="1" applyFill="1" applyBorder="1" applyAlignment="1">
      <alignment vertical="center"/>
    </xf>
    <xf numFmtId="10" fontId="19" fillId="7" borderId="33" xfId="16" applyNumberFormat="1" applyFont="1" applyFill="1" applyBorder="1" applyAlignment="1">
      <alignment vertical="center"/>
    </xf>
    <xf numFmtId="10" fontId="19" fillId="60" borderId="33" xfId="16" applyNumberFormat="1" applyFont="1" applyFill="1" applyBorder="1" applyAlignment="1">
      <alignment vertical="center"/>
    </xf>
    <xf numFmtId="10" fontId="19" fillId="60" borderId="130" xfId="16" applyNumberFormat="1" applyFont="1" applyFill="1" applyBorder="1" applyAlignment="1">
      <alignment vertical="center"/>
    </xf>
    <xf numFmtId="2" fontId="92" fillId="7" borderId="143" xfId="10" applyNumberFormat="1" applyFont="1" applyFill="1" applyBorder="1" applyAlignment="1">
      <alignment vertical="center"/>
    </xf>
    <xf numFmtId="9" fontId="19" fillId="60" borderId="33" xfId="16" applyFont="1" applyFill="1" applyBorder="1" applyAlignment="1">
      <alignment vertical="center"/>
    </xf>
    <xf numFmtId="167" fontId="19" fillId="60" borderId="0" xfId="16" applyNumberFormat="1" applyFont="1" applyFill="1" applyBorder="1" applyAlignment="1">
      <alignment vertical="center"/>
    </xf>
    <xf numFmtId="10" fontId="19" fillId="60" borderId="0" xfId="16" applyNumberFormat="1" applyFont="1" applyFill="1" applyBorder="1" applyAlignment="1">
      <alignment vertical="center"/>
    </xf>
    <xf numFmtId="10" fontId="19" fillId="60" borderId="285" xfId="16" applyNumberFormat="1" applyFont="1" applyFill="1" applyBorder="1" applyAlignment="1">
      <alignment vertical="center"/>
    </xf>
    <xf numFmtId="167" fontId="19" fillId="7" borderId="33" xfId="16" applyNumberFormat="1" applyFont="1" applyFill="1" applyBorder="1" applyAlignment="1">
      <alignment vertical="center"/>
    </xf>
    <xf numFmtId="167" fontId="19" fillId="60" borderId="33" xfId="16" applyNumberFormat="1" applyFont="1" applyFill="1" applyBorder="1" applyAlignment="1">
      <alignment vertical="center"/>
    </xf>
    <xf numFmtId="167" fontId="19" fillId="60" borderId="130" xfId="16" applyNumberFormat="1" applyFont="1" applyFill="1" applyBorder="1" applyAlignment="1">
      <alignment vertical="center"/>
    </xf>
    <xf numFmtId="179" fontId="92" fillId="7" borderId="143" xfId="10" applyNumberFormat="1" applyFont="1" applyFill="1" applyBorder="1" applyAlignment="1">
      <alignment vertical="center"/>
    </xf>
    <xf numFmtId="9" fontId="19" fillId="61" borderId="133" xfId="0" applyNumberFormat="1" applyFont="1" applyFill="1" applyBorder="1"/>
    <xf numFmtId="167" fontId="19" fillId="61" borderId="133" xfId="0" applyNumberFormat="1" applyFont="1" applyFill="1" applyBorder="1"/>
    <xf numFmtId="167" fontId="19" fillId="61" borderId="134" xfId="0" applyNumberFormat="1" applyFont="1" applyFill="1" applyBorder="1"/>
    <xf numFmtId="167" fontId="13" fillId="0" borderId="0" xfId="16" applyNumberFormat="1" applyFont="1" applyFill="1" applyBorder="1"/>
    <xf numFmtId="2" fontId="0" fillId="17" borderId="37" xfId="24" applyNumberFormat="1" applyFont="1" applyFill="1" applyBorder="1" applyAlignment="1">
      <alignment horizontal="center"/>
    </xf>
    <xf numFmtId="2" fontId="19" fillId="17" borderId="37" xfId="10" applyNumberFormat="1" applyFill="1" applyBorder="1" applyAlignment="1">
      <alignment horizontal="center"/>
    </xf>
    <xf numFmtId="4" fontId="13" fillId="24" borderId="31" xfId="24" applyNumberFormat="1" applyFont="1" applyFill="1" applyBorder="1" applyAlignment="1">
      <alignment horizontal="center"/>
    </xf>
    <xf numFmtId="4" fontId="13" fillId="24" borderId="0" xfId="24" applyNumberFormat="1" applyFont="1" applyFill="1" applyAlignment="1">
      <alignment horizontal="center"/>
    </xf>
    <xf numFmtId="3" fontId="1" fillId="43" borderId="1" xfId="30" applyNumberFormat="1" applyFont="1" applyFill="1" applyBorder="1" applyAlignment="1">
      <alignment horizontal="center" vertical="center"/>
    </xf>
    <xf numFmtId="3" fontId="1" fillId="43" borderId="38" xfId="30" applyNumberFormat="1" applyFont="1" applyFill="1" applyBorder="1" applyAlignment="1">
      <alignment horizontal="center" vertical="center"/>
    </xf>
    <xf numFmtId="0" fontId="1" fillId="0" borderId="40" xfId="0" applyFont="1" applyBorder="1"/>
    <xf numFmtId="165" fontId="1" fillId="0" borderId="40" xfId="0" applyNumberFormat="1" applyFont="1" applyBorder="1" applyAlignment="1">
      <alignment horizontal="center"/>
    </xf>
    <xf numFmtId="165" fontId="1" fillId="0" borderId="0" xfId="0" applyNumberFormat="1" applyFont="1" applyAlignment="1">
      <alignment horizontal="center"/>
    </xf>
    <xf numFmtId="4" fontId="13" fillId="24" borderId="37" xfId="24" applyNumberFormat="1" applyFont="1" applyFill="1" applyBorder="1" applyAlignment="1">
      <alignment horizontal="center"/>
    </xf>
    <xf numFmtId="4" fontId="13" fillId="24" borderId="285" xfId="24" applyNumberFormat="1" applyFont="1" applyFill="1" applyBorder="1" applyAlignment="1">
      <alignment horizontal="center"/>
    </xf>
    <xf numFmtId="1" fontId="13" fillId="17" borderId="37" xfId="24" applyNumberFormat="1" applyFont="1" applyFill="1" applyBorder="1" applyAlignment="1">
      <alignment horizontal="center"/>
    </xf>
    <xf numFmtId="168" fontId="13" fillId="17" borderId="37" xfId="24" applyNumberFormat="1" applyFont="1" applyFill="1" applyBorder="1" applyAlignment="1">
      <alignment horizontal="center"/>
    </xf>
    <xf numFmtId="0" fontId="21" fillId="0" borderId="248" xfId="0" applyFont="1" applyBorder="1" applyAlignment="1">
      <alignment vertical="center" wrapText="1"/>
    </xf>
    <xf numFmtId="0" fontId="21" fillId="0" borderId="21" xfId="0" applyFont="1" applyBorder="1" applyAlignment="1">
      <alignment vertical="center" wrapText="1"/>
    </xf>
    <xf numFmtId="10" fontId="84" fillId="0" borderId="249" xfId="0" applyNumberFormat="1" applyFont="1" applyBorder="1" applyAlignment="1">
      <alignment horizontal="center" vertical="center" wrapText="1"/>
    </xf>
    <xf numFmtId="10" fontId="63" fillId="8" borderId="328" xfId="0" applyNumberFormat="1" applyFont="1" applyFill="1" applyBorder="1" applyAlignment="1">
      <alignment horizontal="center"/>
    </xf>
    <xf numFmtId="179" fontId="19" fillId="3" borderId="6" xfId="10" applyNumberFormat="1"/>
    <xf numFmtId="171" fontId="0" fillId="17" borderId="86" xfId="0" applyNumberFormat="1" applyFill="1" applyBorder="1" applyAlignment="1">
      <alignment horizontal="center"/>
    </xf>
    <xf numFmtId="3" fontId="86" fillId="30" borderId="0" xfId="0" applyNumberFormat="1" applyFont="1" applyFill="1" applyAlignment="1">
      <alignment horizontal="center" vertical="center" wrapText="1"/>
    </xf>
    <xf numFmtId="3" fontId="66" fillId="19" borderId="0" xfId="0" applyNumberFormat="1" applyFont="1" applyFill="1" applyAlignment="1">
      <alignment horizontal="center" vertical="center"/>
    </xf>
    <xf numFmtId="3" fontId="85" fillId="19" borderId="0" xfId="21" applyNumberFormat="1" applyFont="1" applyFill="1" applyAlignment="1">
      <alignment horizontal="center" vertical="center"/>
    </xf>
    <xf numFmtId="3" fontId="85" fillId="19" borderId="0" xfId="0" applyNumberFormat="1" applyFont="1" applyFill="1" applyAlignment="1">
      <alignment horizontal="center" vertical="center"/>
    </xf>
    <xf numFmtId="3" fontId="0" fillId="0" borderId="0" xfId="16" applyNumberFormat="1" applyFont="1" applyAlignment="1">
      <alignment horizontal="center" vertical="center"/>
    </xf>
    <xf numFmtId="3" fontId="0" fillId="0" borderId="0" xfId="0" applyNumberFormat="1" applyAlignment="1">
      <alignment horizontal="center" vertical="center"/>
    </xf>
    <xf numFmtId="3" fontId="26" fillId="0" borderId="0" xfId="0" applyNumberFormat="1" applyFont="1" applyAlignment="1">
      <alignment horizontal="center" vertical="center"/>
    </xf>
    <xf numFmtId="3" fontId="23" fillId="0" borderId="0" xfId="16" applyNumberFormat="1" applyFont="1" applyAlignment="1">
      <alignment horizontal="center" vertical="center"/>
    </xf>
    <xf numFmtId="3" fontId="86" fillId="48" borderId="0" xfId="0" applyNumberFormat="1" applyFont="1" applyFill="1" applyAlignment="1">
      <alignment horizontal="center" vertical="center"/>
    </xf>
    <xf numFmtId="3" fontId="72" fillId="47" borderId="0" xfId="0" applyNumberFormat="1" applyFont="1" applyFill="1" applyAlignment="1">
      <alignment horizontal="center" vertical="center"/>
    </xf>
    <xf numFmtId="0" fontId="13" fillId="0" borderId="0" xfId="0" applyFont="1" applyAlignment="1">
      <alignment vertical="center" wrapText="1"/>
    </xf>
    <xf numFmtId="0" fontId="13" fillId="8" borderId="173" xfId="0" applyFont="1" applyFill="1" applyBorder="1" applyAlignment="1">
      <alignment horizontal="left" vertical="center" wrapText="1"/>
    </xf>
    <xf numFmtId="167" fontId="35" fillId="12" borderId="0" xfId="16" applyNumberFormat="1" applyFont="1" applyFill="1" applyBorder="1" applyAlignment="1">
      <alignment horizontal="center"/>
    </xf>
    <xf numFmtId="0" fontId="13" fillId="0" borderId="194" xfId="0" applyFont="1" applyBorder="1" applyAlignment="1">
      <alignment horizontal="center"/>
    </xf>
    <xf numFmtId="0" fontId="13" fillId="0" borderId="195" xfId="0" applyFont="1" applyBorder="1" applyAlignment="1">
      <alignment horizontal="center"/>
    </xf>
    <xf numFmtId="0" fontId="13" fillId="0" borderId="163" xfId="0" applyFont="1" applyBorder="1" applyAlignment="1">
      <alignment horizontal="center"/>
    </xf>
    <xf numFmtId="0" fontId="0" fillId="0" borderId="260" xfId="0" applyBorder="1" applyAlignment="1">
      <alignment horizontal="center"/>
    </xf>
    <xf numFmtId="0" fontId="0" fillId="0" borderId="36" xfId="0" applyBorder="1" applyAlignment="1">
      <alignment horizontal="center"/>
    </xf>
    <xf numFmtId="0" fontId="0" fillId="0" borderId="142" xfId="0" applyBorder="1" applyAlignment="1">
      <alignment horizontal="center"/>
    </xf>
    <xf numFmtId="0" fontId="0" fillId="0" borderId="134" xfId="0" applyBorder="1" applyAlignment="1">
      <alignment horizontal="center"/>
    </xf>
    <xf numFmtId="0" fontId="13" fillId="0" borderId="284" xfId="0" applyFont="1" applyBorder="1"/>
    <xf numFmtId="0" fontId="13" fillId="0" borderId="153" xfId="0" applyFont="1" applyBorder="1"/>
    <xf numFmtId="0" fontId="13" fillId="14" borderId="196" xfId="0" applyFont="1" applyFill="1" applyBorder="1"/>
    <xf numFmtId="0" fontId="0" fillId="14" borderId="0" xfId="0" applyFill="1" applyAlignment="1">
      <alignment horizontal="center"/>
    </xf>
    <xf numFmtId="0" fontId="0" fillId="14" borderId="285" xfId="0" applyFill="1" applyBorder="1" applyAlignment="1">
      <alignment horizontal="center"/>
    </xf>
    <xf numFmtId="2" fontId="8" fillId="12" borderId="40" xfId="24" applyNumberFormat="1" applyFill="1" applyBorder="1"/>
    <xf numFmtId="10" fontId="8" fillId="52" borderId="27" xfId="16" applyNumberFormat="1" applyFill="1" applyBorder="1"/>
    <xf numFmtId="10" fontId="13" fillId="52" borderId="31" xfId="16" applyNumberFormat="1" applyFont="1" applyFill="1" applyBorder="1"/>
    <xf numFmtId="2" fontId="8" fillId="0" borderId="31" xfId="16" applyNumberFormat="1" applyBorder="1"/>
    <xf numFmtId="2" fontId="8" fillId="0" borderId="4" xfId="16" applyNumberFormat="1" applyBorder="1"/>
    <xf numFmtId="0" fontId="13" fillId="7" borderId="3" xfId="24" applyFont="1" applyFill="1" applyBorder="1"/>
    <xf numFmtId="4" fontId="8" fillId="7" borderId="3" xfId="24" applyNumberFormat="1" applyFill="1" applyBorder="1"/>
    <xf numFmtId="4" fontId="8" fillId="7" borderId="30" xfId="24" applyNumberFormat="1" applyFill="1" applyBorder="1"/>
    <xf numFmtId="0" fontId="13" fillId="7" borderId="2" xfId="24" applyFont="1" applyFill="1" applyBorder="1"/>
    <xf numFmtId="10" fontId="8" fillId="7" borderId="2" xfId="16" applyNumberFormat="1" applyFill="1" applyBorder="1"/>
    <xf numFmtId="10" fontId="8" fillId="7" borderId="33" xfId="16" applyNumberFormat="1" applyFill="1" applyBorder="1"/>
    <xf numFmtId="0" fontId="8" fillId="7" borderId="3" xfId="24" applyFill="1" applyBorder="1"/>
    <xf numFmtId="0" fontId="8" fillId="7" borderId="30" xfId="24" applyFill="1" applyBorder="1"/>
    <xf numFmtId="9" fontId="8" fillId="7" borderId="2" xfId="16" applyFill="1" applyBorder="1"/>
    <xf numFmtId="9" fontId="8" fillId="7" borderId="33" xfId="16" applyFill="1" applyBorder="1"/>
    <xf numFmtId="0" fontId="47" fillId="15" borderId="61" xfId="0" applyFont="1" applyFill="1" applyBorder="1" applyAlignment="1">
      <alignment horizontal="center" vertical="center" wrapText="1"/>
    </xf>
    <xf numFmtId="0" fontId="47" fillId="15" borderId="63" xfId="0" applyFont="1" applyFill="1" applyBorder="1" applyAlignment="1">
      <alignment horizontal="center" vertical="center" wrapText="1"/>
    </xf>
    <xf numFmtId="0" fontId="27" fillId="9" borderId="54" xfId="0" applyFont="1" applyFill="1" applyBorder="1" applyAlignment="1">
      <alignment horizontal="center" vertical="center"/>
    </xf>
    <xf numFmtId="0" fontId="46" fillId="5" borderId="46" xfId="0" applyFont="1" applyFill="1" applyBorder="1" applyAlignment="1">
      <alignment horizontal="center"/>
    </xf>
    <xf numFmtId="0" fontId="46" fillId="5" borderId="50" xfId="0" applyFont="1" applyFill="1" applyBorder="1" applyAlignment="1">
      <alignment horizontal="center"/>
    </xf>
    <xf numFmtId="0" fontId="8" fillId="0" borderId="150" xfId="0" applyFont="1" applyBorder="1" applyAlignment="1">
      <alignment horizontal="left" vertical="center" wrapText="1"/>
    </xf>
    <xf numFmtId="0" fontId="69" fillId="0" borderId="145" xfId="0" applyFont="1" applyBorder="1" applyAlignment="1">
      <alignment horizontal="left" vertical="center"/>
    </xf>
    <xf numFmtId="0" fontId="69" fillId="0" borderId="146" xfId="0" applyFont="1" applyBorder="1" applyAlignment="1">
      <alignment horizontal="left" vertical="center"/>
    </xf>
    <xf numFmtId="0" fontId="69" fillId="0" borderId="151" xfId="0" applyFont="1" applyBorder="1" applyAlignment="1">
      <alignment horizontal="left" vertical="center"/>
    </xf>
    <xf numFmtId="0" fontId="69" fillId="0" borderId="0" xfId="0" applyFont="1" applyAlignment="1">
      <alignment horizontal="left" vertical="center"/>
    </xf>
    <xf numFmtId="0" fontId="69" fillId="0" borderId="147" xfId="0" applyFont="1" applyBorder="1" applyAlignment="1">
      <alignment horizontal="left" vertical="center"/>
    </xf>
    <xf numFmtId="0" fontId="69" fillId="0" borderId="152" xfId="0" applyFont="1" applyBorder="1" applyAlignment="1">
      <alignment horizontal="left" vertical="center"/>
    </xf>
    <xf numFmtId="0" fontId="69" fillId="0" borderId="148" xfId="0" applyFont="1" applyBorder="1" applyAlignment="1">
      <alignment horizontal="left" vertical="center"/>
    </xf>
    <xf numFmtId="0" fontId="69" fillId="0" borderId="149" xfId="0" applyFont="1" applyBorder="1" applyAlignment="1">
      <alignment horizontal="left" vertical="center"/>
    </xf>
    <xf numFmtId="0" fontId="8" fillId="0" borderId="145" xfId="0" applyFont="1" applyBorder="1" applyAlignment="1">
      <alignment horizontal="left" vertical="center"/>
    </xf>
    <xf numFmtId="0" fontId="8" fillId="0" borderId="146" xfId="0" applyFont="1" applyBorder="1" applyAlignment="1">
      <alignment horizontal="left" vertical="center"/>
    </xf>
    <xf numFmtId="0" fontId="8" fillId="0" borderId="151" xfId="0" applyFont="1" applyBorder="1" applyAlignment="1">
      <alignment horizontal="left" vertical="center"/>
    </xf>
    <xf numFmtId="0" fontId="0" fillId="0" borderId="0" xfId="0" applyAlignment="1">
      <alignment horizontal="left" vertical="center"/>
    </xf>
    <xf numFmtId="0" fontId="8" fillId="0" borderId="147" xfId="0" applyFont="1" applyBorder="1" applyAlignment="1">
      <alignment horizontal="left" vertical="center"/>
    </xf>
    <xf numFmtId="0" fontId="8" fillId="0" borderId="152" xfId="0" applyFont="1" applyBorder="1" applyAlignment="1">
      <alignment horizontal="left" vertical="center"/>
    </xf>
    <xf numFmtId="0" fontId="8" fillId="0" borderId="148" xfId="0" applyFont="1" applyBorder="1" applyAlignment="1">
      <alignment horizontal="left" vertical="center"/>
    </xf>
    <xf numFmtId="0" fontId="8" fillId="0" borderId="149" xfId="0" applyFont="1" applyBorder="1" applyAlignment="1">
      <alignment horizontal="left" vertical="center"/>
    </xf>
    <xf numFmtId="0" fontId="27" fillId="32" borderId="46" xfId="0" applyFont="1" applyFill="1" applyBorder="1" applyAlignment="1">
      <alignment horizontal="center"/>
    </xf>
    <xf numFmtId="0" fontId="0" fillId="0" borderId="0" xfId="0" applyAlignment="1">
      <alignment vertical="center" wrapText="1"/>
    </xf>
    <xf numFmtId="0" fontId="69" fillId="0" borderId="10" xfId="0" applyFont="1" applyBorder="1" applyAlignment="1">
      <alignment horizontal="left" vertical="center"/>
    </xf>
    <xf numFmtId="0" fontId="69" fillId="0" borderId="209" xfId="0" applyFont="1" applyBorder="1" applyAlignment="1">
      <alignment horizontal="left" vertical="center"/>
    </xf>
    <xf numFmtId="0" fontId="62" fillId="8" borderId="46" xfId="0" applyFont="1" applyFill="1" applyBorder="1" applyAlignment="1">
      <alignment horizontal="center"/>
    </xf>
    <xf numFmtId="0" fontId="27" fillId="8" borderId="46" xfId="0" applyFont="1" applyFill="1" applyBorder="1" applyAlignment="1">
      <alignment horizontal="center"/>
    </xf>
    <xf numFmtId="0" fontId="27" fillId="8" borderId="51" xfId="0" applyFont="1" applyFill="1" applyBorder="1" applyAlignment="1">
      <alignment horizontal="center"/>
    </xf>
    <xf numFmtId="0" fontId="62" fillId="8" borderId="48" xfId="0" applyFont="1" applyFill="1" applyBorder="1" applyAlignment="1">
      <alignment horizontal="center"/>
    </xf>
    <xf numFmtId="0" fontId="27" fillId="8" borderId="48" xfId="0" applyFont="1" applyFill="1" applyBorder="1" applyAlignment="1">
      <alignment horizontal="center"/>
    </xf>
    <xf numFmtId="0" fontId="27" fillId="8" borderId="150" xfId="0" applyFont="1" applyFill="1" applyBorder="1" applyAlignment="1">
      <alignment horizontal="center"/>
    </xf>
    <xf numFmtId="0" fontId="8" fillId="0" borderId="2" xfId="0" applyFont="1" applyBorder="1" applyAlignment="1">
      <alignment horizontal="left" vertical="top" wrapText="1"/>
    </xf>
    <xf numFmtId="0" fontId="8" fillId="0" borderId="49" xfId="0" applyFont="1" applyBorder="1" applyAlignment="1">
      <alignment horizontal="left" vertical="top" wrapText="1"/>
    </xf>
    <xf numFmtId="0" fontId="0" fillId="0" borderId="210" xfId="0" applyBorder="1" applyAlignment="1">
      <alignment horizontal="left" vertical="top" wrapText="1"/>
    </xf>
    <xf numFmtId="0" fontId="8" fillId="0" borderId="40" xfId="0" applyFont="1" applyBorder="1" applyAlignment="1">
      <alignment horizontal="left" vertical="top" wrapText="1"/>
    </xf>
    <xf numFmtId="0" fontId="8" fillId="0" borderId="47" xfId="0" applyFont="1" applyBorder="1" applyAlignment="1">
      <alignment horizontal="left" vertical="top" wrapText="1"/>
    </xf>
    <xf numFmtId="0" fontId="0" fillId="0" borderId="211" xfId="0" applyBorder="1" applyAlignment="1">
      <alignment horizontal="left" vertical="top" wrapText="1"/>
    </xf>
    <xf numFmtId="0" fontId="0" fillId="0" borderId="212" xfId="0" applyBorder="1" applyAlignment="1">
      <alignment horizontal="left" vertical="top" wrapText="1"/>
    </xf>
    <xf numFmtId="0" fontId="0" fillId="0" borderId="213" xfId="0" applyBorder="1" applyAlignment="1">
      <alignment horizontal="left" vertical="top" wrapText="1"/>
    </xf>
    <xf numFmtId="0" fontId="46" fillId="5" borderId="208" xfId="0" applyFont="1" applyFill="1" applyBorder="1" applyAlignment="1">
      <alignment horizontal="center"/>
    </xf>
    <xf numFmtId="0" fontId="46" fillId="5" borderId="170" xfId="0" applyFont="1" applyFill="1" applyBorder="1" applyAlignment="1">
      <alignment horizontal="center"/>
    </xf>
    <xf numFmtId="0" fontId="46" fillId="5" borderId="112" xfId="0" applyFont="1" applyFill="1" applyBorder="1" applyAlignment="1">
      <alignment horizontal="center"/>
    </xf>
    <xf numFmtId="0" fontId="46" fillId="5" borderId="28" xfId="0" applyFont="1" applyFill="1" applyBorder="1" applyAlignment="1">
      <alignment horizontal="center"/>
    </xf>
    <xf numFmtId="0" fontId="46" fillId="5" borderId="22" xfId="0" applyFont="1" applyFill="1" applyBorder="1" applyAlignment="1">
      <alignment horizontal="center"/>
    </xf>
    <xf numFmtId="0" fontId="46" fillId="5" borderId="23" xfId="0" applyFont="1" applyFill="1" applyBorder="1" applyAlignment="1">
      <alignment horizontal="center"/>
    </xf>
    <xf numFmtId="0" fontId="13" fillId="8" borderId="185" xfId="0" applyFont="1" applyFill="1" applyBorder="1" applyAlignment="1">
      <alignment horizontal="left" vertical="center" wrapText="1"/>
    </xf>
    <xf numFmtId="0" fontId="13" fillId="8" borderId="186" xfId="0" applyFont="1" applyFill="1" applyBorder="1" applyAlignment="1">
      <alignment horizontal="left" vertical="center" wrapText="1"/>
    </xf>
    <xf numFmtId="0" fontId="13" fillId="8" borderId="187" xfId="0" applyFont="1" applyFill="1" applyBorder="1" applyAlignment="1">
      <alignment horizontal="left" vertical="center" wrapText="1"/>
    </xf>
    <xf numFmtId="0" fontId="13" fillId="8" borderId="182" xfId="0" applyFont="1" applyFill="1" applyBorder="1" applyAlignment="1">
      <alignment horizontal="left" vertical="center" wrapText="1"/>
    </xf>
    <xf numFmtId="0" fontId="13" fillId="8" borderId="183" xfId="0" applyFont="1" applyFill="1" applyBorder="1" applyAlignment="1">
      <alignment horizontal="left" vertical="center" wrapText="1"/>
    </xf>
    <xf numFmtId="0" fontId="13" fillId="8" borderId="184" xfId="0" applyFont="1" applyFill="1" applyBorder="1" applyAlignment="1">
      <alignment horizontal="left" vertical="center" wrapText="1"/>
    </xf>
    <xf numFmtId="0" fontId="8" fillId="0" borderId="17" xfId="0" applyFont="1" applyBorder="1" applyAlignment="1">
      <alignment horizontal="left" vertical="center"/>
    </xf>
    <xf numFmtId="0" fontId="8" fillId="0" borderId="17" xfId="0" applyFont="1" applyBorder="1" applyAlignment="1">
      <alignment horizontal="left"/>
    </xf>
    <xf numFmtId="0" fontId="46" fillId="5" borderId="118" xfId="0" applyFont="1" applyFill="1" applyBorder="1" applyAlignment="1">
      <alignment horizontal="center"/>
    </xf>
    <xf numFmtId="0" fontId="46" fillId="5" borderId="171" xfId="0" applyFont="1" applyFill="1" applyBorder="1" applyAlignment="1">
      <alignment horizontal="center"/>
    </xf>
    <xf numFmtId="0" fontId="46" fillId="5" borderId="172" xfId="0" applyFont="1" applyFill="1" applyBorder="1" applyAlignment="1">
      <alignment horizontal="center"/>
    </xf>
    <xf numFmtId="0" fontId="46" fillId="5" borderId="10" xfId="0" applyFont="1" applyFill="1" applyBorder="1" applyAlignment="1">
      <alignment horizontal="center"/>
    </xf>
    <xf numFmtId="0" fontId="46" fillId="5" borderId="0" xfId="0" applyFont="1" applyFill="1" applyAlignment="1">
      <alignment horizontal="center"/>
    </xf>
    <xf numFmtId="0" fontId="46" fillId="5" borderId="113" xfId="0" applyFont="1" applyFill="1" applyBorder="1" applyAlignment="1">
      <alignment horizontal="center"/>
    </xf>
    <xf numFmtId="0" fontId="27" fillId="32" borderId="127" xfId="0" applyFont="1" applyFill="1" applyBorder="1" applyAlignment="1">
      <alignment horizontal="center"/>
    </xf>
    <xf numFmtId="0" fontId="27" fillId="32" borderId="112" xfId="0" applyFont="1" applyFill="1" applyBorder="1" applyAlignment="1">
      <alignment horizontal="center"/>
    </xf>
    <xf numFmtId="0" fontId="27" fillId="32" borderId="178" xfId="0" applyFont="1" applyFill="1" applyBorder="1" applyAlignment="1">
      <alignment horizontal="center"/>
    </xf>
    <xf numFmtId="0" fontId="27" fillId="32" borderId="115" xfId="0" applyFont="1" applyFill="1" applyBorder="1" applyAlignment="1">
      <alignment horizontal="center"/>
    </xf>
    <xf numFmtId="0" fontId="27" fillId="32" borderId="128" xfId="0" applyFont="1" applyFill="1" applyBorder="1" applyAlignment="1">
      <alignment horizontal="center"/>
    </xf>
    <xf numFmtId="0" fontId="27" fillId="32" borderId="136" xfId="0" applyFont="1" applyFill="1" applyBorder="1" applyAlignment="1">
      <alignment horizontal="center"/>
    </xf>
    <xf numFmtId="0" fontId="45" fillId="18" borderId="10" xfId="0" applyFont="1" applyFill="1" applyBorder="1" applyAlignment="1">
      <alignment horizontal="center"/>
    </xf>
    <xf numFmtId="0" fontId="45" fillId="18" borderId="0" xfId="0" applyFont="1" applyFill="1" applyAlignment="1">
      <alignment horizontal="center"/>
    </xf>
    <xf numFmtId="0" fontId="45" fillId="18" borderId="12" xfId="0" applyFont="1" applyFill="1" applyBorder="1" applyAlignment="1">
      <alignment horizontal="center"/>
    </xf>
    <xf numFmtId="0" fontId="63" fillId="8" borderId="174" xfId="0" applyFont="1" applyFill="1" applyBorder="1" applyAlignment="1">
      <alignment horizontal="left" vertical="center" wrapText="1"/>
    </xf>
    <xf numFmtId="0" fontId="13" fillId="8" borderId="175" xfId="0" applyFont="1" applyFill="1" applyBorder="1" applyAlignment="1">
      <alignment horizontal="left" vertical="center" wrapText="1"/>
    </xf>
    <xf numFmtId="0" fontId="13" fillId="8" borderId="176" xfId="0" applyFont="1" applyFill="1" applyBorder="1" applyAlignment="1">
      <alignment horizontal="left" vertical="center" wrapText="1"/>
    </xf>
    <xf numFmtId="0" fontId="27" fillId="32" borderId="50" xfId="0" applyFont="1" applyFill="1" applyBorder="1" applyAlignment="1">
      <alignment horizontal="center"/>
    </xf>
    <xf numFmtId="167" fontId="44" fillId="12" borderId="118" xfId="16" applyNumberFormat="1" applyFont="1" applyFill="1" applyBorder="1" applyAlignment="1">
      <alignment horizontal="center" vertical="center"/>
    </xf>
    <xf numFmtId="167" fontId="44" fillId="12" borderId="135" xfId="16" applyNumberFormat="1" applyFont="1" applyFill="1" applyBorder="1" applyAlignment="1">
      <alignment horizontal="center" vertical="center"/>
    </xf>
    <xf numFmtId="167" fontId="44" fillId="12" borderId="115" xfId="16" applyNumberFormat="1" applyFont="1" applyFill="1" applyBorder="1" applyAlignment="1">
      <alignment horizontal="center" vertical="center"/>
    </xf>
    <xf numFmtId="167" fontId="44" fillId="12" borderId="136" xfId="16" applyNumberFormat="1" applyFont="1" applyFill="1" applyBorder="1" applyAlignment="1">
      <alignment horizontal="center" vertical="center"/>
    </xf>
    <xf numFmtId="167" fontId="44" fillId="12" borderId="116" xfId="16" applyNumberFormat="1" applyFont="1" applyFill="1" applyBorder="1" applyAlignment="1">
      <alignment horizontal="center" vertical="center"/>
    </xf>
    <xf numFmtId="167" fontId="44" fillId="12" borderId="113" xfId="16" applyNumberFormat="1" applyFont="1" applyFill="1" applyBorder="1" applyAlignment="1">
      <alignment horizontal="center" vertical="center"/>
    </xf>
    <xf numFmtId="0" fontId="63" fillId="8" borderId="115" xfId="0" applyFont="1" applyFill="1" applyBorder="1" applyAlignment="1">
      <alignment horizontal="left" vertical="center" wrapText="1"/>
    </xf>
    <xf numFmtId="0" fontId="63" fillId="8" borderId="128" xfId="0" applyFont="1" applyFill="1" applyBorder="1" applyAlignment="1">
      <alignment horizontal="left" vertical="center" wrapText="1"/>
    </xf>
    <xf numFmtId="0" fontId="63" fillId="8" borderId="136" xfId="0" applyFont="1" applyFill="1" applyBorder="1" applyAlignment="1">
      <alignment horizontal="left" vertical="center" wrapText="1"/>
    </xf>
    <xf numFmtId="0" fontId="13" fillId="8" borderId="179" xfId="0" applyFont="1" applyFill="1" applyBorder="1" applyAlignment="1">
      <alignment horizontal="left" vertical="center" wrapText="1"/>
    </xf>
    <xf numFmtId="0" fontId="13" fillId="8" borderId="180" xfId="0" applyFont="1" applyFill="1" applyBorder="1" applyAlignment="1">
      <alignment horizontal="left" vertical="center" wrapText="1"/>
    </xf>
    <xf numFmtId="0" fontId="13" fillId="8" borderId="181" xfId="0" applyFont="1" applyFill="1" applyBorder="1" applyAlignment="1">
      <alignment horizontal="left" vertical="center" wrapText="1"/>
    </xf>
    <xf numFmtId="0" fontId="46" fillId="31" borderId="208" xfId="0" applyFont="1" applyFill="1" applyBorder="1" applyAlignment="1">
      <alignment horizontal="center"/>
    </xf>
    <xf numFmtId="0" fontId="46" fillId="31" borderId="46" xfId="0" applyFont="1" applyFill="1" applyBorder="1" applyAlignment="1">
      <alignment horizontal="center"/>
    </xf>
    <xf numFmtId="0" fontId="13" fillId="0" borderId="118" xfId="0" applyFont="1" applyBorder="1" applyAlignment="1">
      <alignment horizontal="center" vertical="center" wrapText="1"/>
    </xf>
    <xf numFmtId="0" fontId="13" fillId="0" borderId="171" xfId="0" applyFont="1" applyBorder="1" applyAlignment="1">
      <alignment horizontal="center" vertical="center" wrapText="1"/>
    </xf>
    <xf numFmtId="0" fontId="13" fillId="0" borderId="172" xfId="0" applyFont="1" applyBorder="1" applyAlignment="1">
      <alignment horizontal="center" vertical="center" wrapText="1"/>
    </xf>
    <xf numFmtId="0" fontId="13" fillId="0" borderId="116" xfId="0" applyFont="1" applyBorder="1" applyAlignment="1">
      <alignment horizontal="center" vertical="center" wrapText="1"/>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13" fillId="0" borderId="115" xfId="0" applyFont="1" applyBorder="1" applyAlignment="1">
      <alignment horizontal="center" vertical="center" wrapText="1"/>
    </xf>
    <xf numFmtId="0" fontId="13" fillId="0" borderId="128" xfId="0" applyFont="1" applyBorder="1" applyAlignment="1">
      <alignment horizontal="center" vertical="center" wrapText="1"/>
    </xf>
    <xf numFmtId="0" fontId="13" fillId="0" borderId="177" xfId="0" applyFont="1" applyBorder="1" applyAlignment="1">
      <alignment horizontal="center" vertical="center" wrapText="1"/>
    </xf>
    <xf numFmtId="166" fontId="9" fillId="12" borderId="135" xfId="0" applyNumberFormat="1" applyFont="1" applyFill="1" applyBorder="1" applyAlignment="1">
      <alignment horizontal="center" vertical="center"/>
    </xf>
    <xf numFmtId="166" fontId="9" fillId="12" borderId="113" xfId="0" applyNumberFormat="1" applyFont="1" applyFill="1" applyBorder="1" applyAlignment="1">
      <alignment horizontal="center" vertical="center"/>
    </xf>
    <xf numFmtId="166" fontId="9" fillId="12" borderId="136" xfId="0" applyNumberFormat="1" applyFont="1" applyFill="1" applyBorder="1" applyAlignment="1">
      <alignment horizontal="center" vertical="center"/>
    </xf>
    <xf numFmtId="0" fontId="27" fillId="32" borderId="253" xfId="0" applyFont="1" applyFill="1" applyBorder="1" applyAlignment="1">
      <alignment horizontal="center" vertical="center" wrapText="1"/>
    </xf>
    <xf numFmtId="0" fontId="27" fillId="32" borderId="254" xfId="0" applyFont="1" applyFill="1" applyBorder="1" applyAlignment="1">
      <alignment horizontal="center" vertical="center" wrapText="1"/>
    </xf>
    <xf numFmtId="0" fontId="0" fillId="8" borderId="249" xfId="0" applyFill="1" applyBorder="1" applyAlignment="1">
      <alignment horizontal="center" vertical="center" wrapText="1"/>
    </xf>
    <xf numFmtId="0" fontId="46" fillId="5" borderId="250" xfId="0" applyFont="1" applyFill="1" applyBorder="1" applyAlignment="1">
      <alignment horizontal="center"/>
    </xf>
    <xf numFmtId="0" fontId="9" fillId="12" borderId="0" xfId="0" applyFont="1" applyFill="1" applyAlignment="1">
      <alignment horizontal="center" vertical="center" wrapText="1"/>
    </xf>
    <xf numFmtId="0" fontId="9" fillId="12" borderId="128" xfId="0" applyFont="1" applyFill="1" applyBorder="1" applyAlignment="1">
      <alignment horizontal="center" vertical="center" wrapText="1"/>
    </xf>
    <xf numFmtId="9" fontId="13" fillId="8" borderId="240" xfId="16" applyFont="1" applyFill="1" applyBorder="1" applyAlignment="1">
      <alignment horizontal="center" vertical="center"/>
    </xf>
    <xf numFmtId="9" fontId="13" fillId="8" borderId="325" xfId="16" applyFont="1" applyFill="1" applyBorder="1" applyAlignment="1">
      <alignment horizontal="center" vertical="center"/>
    </xf>
    <xf numFmtId="9" fontId="13" fillId="8" borderId="24" xfId="16" applyFont="1" applyFill="1" applyBorder="1" applyAlignment="1">
      <alignment horizontal="center" vertical="center"/>
    </xf>
    <xf numFmtId="0" fontId="9" fillId="8" borderId="118" xfId="0" applyFont="1" applyFill="1" applyBorder="1" applyAlignment="1">
      <alignment horizontal="center" vertical="center" wrapText="1"/>
    </xf>
    <xf numFmtId="0" fontId="9" fillId="8" borderId="171" xfId="0" applyFont="1" applyFill="1" applyBorder="1" applyAlignment="1">
      <alignment horizontal="center" vertical="center" wrapText="1"/>
    </xf>
    <xf numFmtId="0" fontId="9" fillId="8" borderId="135" xfId="0" applyFont="1" applyFill="1" applyBorder="1" applyAlignment="1">
      <alignment horizontal="center" vertical="center" wrapText="1"/>
    </xf>
    <xf numFmtId="0" fontId="9" fillId="8" borderId="115" xfId="0" applyFont="1" applyFill="1" applyBorder="1" applyAlignment="1">
      <alignment horizontal="center" vertical="center" wrapText="1"/>
    </xf>
    <xf numFmtId="0" fontId="9" fillId="8" borderId="128" xfId="0" applyFont="1" applyFill="1" applyBorder="1" applyAlignment="1">
      <alignment horizontal="center" vertical="center" wrapText="1"/>
    </xf>
    <xf numFmtId="0" fontId="9" fillId="8" borderId="136" xfId="0" applyFont="1" applyFill="1" applyBorder="1" applyAlignment="1">
      <alignment horizontal="center" vertical="center" wrapText="1"/>
    </xf>
    <xf numFmtId="0" fontId="45" fillId="18" borderId="44" xfId="0" applyFont="1" applyFill="1" applyBorder="1" applyAlignment="1">
      <alignment horizontal="center"/>
    </xf>
    <xf numFmtId="0" fontId="45" fillId="18" borderId="45" xfId="0" applyFont="1" applyFill="1" applyBorder="1" applyAlignment="1">
      <alignment horizontal="center"/>
    </xf>
    <xf numFmtId="0" fontId="0" fillId="0" borderId="17" xfId="0" applyBorder="1" applyAlignment="1">
      <alignment horizontal="center" vertical="center"/>
    </xf>
    <xf numFmtId="0" fontId="0" fillId="8" borderId="21" xfId="0" applyFill="1" applyBorder="1" applyAlignment="1">
      <alignment horizontal="center" vertical="center" wrapText="1"/>
    </xf>
    <xf numFmtId="0" fontId="8" fillId="8" borderId="17" xfId="0" applyFont="1" applyFill="1" applyBorder="1" applyAlignment="1">
      <alignment horizontal="center" vertical="center" wrapText="1"/>
    </xf>
    <xf numFmtId="0" fontId="13" fillId="8" borderId="251" xfId="16" applyNumberFormat="1" applyFont="1" applyFill="1" applyBorder="1" applyAlignment="1">
      <alignment horizontal="center" vertical="center"/>
    </xf>
    <xf numFmtId="0" fontId="13" fillId="8" borderId="252" xfId="16" applyNumberFormat="1" applyFont="1" applyFill="1" applyBorder="1" applyAlignment="1">
      <alignment horizontal="center" vertical="center"/>
    </xf>
    <xf numFmtId="0" fontId="13" fillId="8" borderId="28" xfId="16" applyNumberFormat="1" applyFont="1" applyFill="1" applyBorder="1" applyAlignment="1">
      <alignment horizontal="center" vertical="center"/>
    </xf>
    <xf numFmtId="0" fontId="13" fillId="8" borderId="23" xfId="16" applyNumberFormat="1" applyFont="1" applyFill="1" applyBorder="1" applyAlignment="1">
      <alignment horizontal="center" vertical="center"/>
    </xf>
    <xf numFmtId="0" fontId="13" fillId="0" borderId="19" xfId="0" applyFont="1" applyBorder="1" applyAlignment="1">
      <alignment horizontal="center"/>
    </xf>
    <xf numFmtId="0" fontId="13" fillId="0" borderId="20" xfId="0" applyFont="1" applyBorder="1" applyAlignment="1">
      <alignment horizontal="center"/>
    </xf>
    <xf numFmtId="0" fontId="35" fillId="8" borderId="17" xfId="0" applyFont="1" applyFill="1" applyBorder="1" applyAlignment="1">
      <alignment horizontal="center" vertical="center" wrapText="1"/>
    </xf>
    <xf numFmtId="0" fontId="35" fillId="8" borderId="21" xfId="0" applyFont="1" applyFill="1" applyBorder="1" applyAlignment="1">
      <alignment horizontal="center" vertical="center" wrapText="1"/>
    </xf>
    <xf numFmtId="0" fontId="21" fillId="0" borderId="326" xfId="0" applyFont="1" applyBorder="1" applyAlignment="1">
      <alignment horizontal="center" vertical="center" wrapText="1"/>
    </xf>
    <xf numFmtId="0" fontId="21" fillId="0" borderId="252" xfId="0" applyFont="1" applyBorder="1" applyAlignment="1">
      <alignment horizontal="center" vertical="center" wrapText="1"/>
    </xf>
    <xf numFmtId="0" fontId="21" fillId="0" borderId="44" xfId="0" applyFont="1" applyBorder="1" applyAlignment="1">
      <alignment horizontal="center" vertical="center" wrapText="1"/>
    </xf>
    <xf numFmtId="0" fontId="21" fillId="0" borderId="324" xfId="0" applyFont="1" applyBorder="1" applyAlignment="1">
      <alignment horizontal="center" vertical="center" wrapText="1"/>
    </xf>
    <xf numFmtId="0" fontId="21" fillId="0" borderId="327" xfId="0" applyFont="1" applyBorder="1" applyAlignment="1">
      <alignment horizontal="center" vertical="center" wrapText="1"/>
    </xf>
    <xf numFmtId="0" fontId="21" fillId="0" borderId="23" xfId="0" applyFont="1" applyBorder="1" applyAlignment="1">
      <alignment horizontal="center" vertical="center" wrapText="1"/>
    </xf>
    <xf numFmtId="0" fontId="21" fillId="0" borderId="248" xfId="0" applyFont="1" applyBorder="1" applyAlignment="1">
      <alignment horizontal="center" wrapText="1"/>
    </xf>
    <xf numFmtId="0" fontId="21" fillId="0" borderId="21" xfId="0" applyFont="1" applyBorder="1" applyAlignment="1">
      <alignment horizontal="center" wrapText="1"/>
    </xf>
    <xf numFmtId="0" fontId="45" fillId="18" borderId="59" xfId="0" applyFont="1" applyFill="1" applyBorder="1" applyAlignment="1">
      <alignment horizontal="center"/>
    </xf>
    <xf numFmtId="0" fontId="45" fillId="18" borderId="64" xfId="0" applyFont="1" applyFill="1" applyBorder="1" applyAlignment="1">
      <alignment horizontal="center"/>
    </xf>
    <xf numFmtId="0" fontId="45" fillId="18" borderId="65" xfId="0" applyFont="1" applyFill="1" applyBorder="1" applyAlignment="1">
      <alignment horizontal="center"/>
    </xf>
    <xf numFmtId="0" fontId="13" fillId="8" borderId="323" xfId="16" applyNumberFormat="1" applyFont="1" applyFill="1" applyBorder="1" applyAlignment="1">
      <alignment horizontal="center" vertical="center"/>
    </xf>
    <xf numFmtId="0" fontId="13" fillId="8" borderId="324" xfId="16" applyNumberFormat="1" applyFont="1" applyFill="1" applyBorder="1" applyAlignment="1">
      <alignment horizontal="center" vertical="center"/>
    </xf>
    <xf numFmtId="0" fontId="46" fillId="5" borderId="248" xfId="0" applyFont="1" applyFill="1" applyBorder="1" applyAlignment="1">
      <alignment horizontal="center"/>
    </xf>
    <xf numFmtId="0" fontId="46" fillId="5" borderId="17" xfId="0" applyFont="1" applyFill="1" applyBorder="1" applyAlignment="1">
      <alignment horizontal="center"/>
    </xf>
    <xf numFmtId="0" fontId="13" fillId="8" borderId="253" xfId="16" applyNumberFormat="1" applyFont="1" applyFill="1" applyBorder="1" applyAlignment="1">
      <alignment horizontal="center" vertical="center"/>
    </xf>
    <xf numFmtId="0" fontId="13" fillId="8" borderId="22" xfId="16" applyNumberFormat="1" applyFont="1" applyFill="1" applyBorder="1" applyAlignment="1">
      <alignment horizontal="center" vertical="center"/>
    </xf>
    <xf numFmtId="9" fontId="0" fillId="8" borderId="240" xfId="16" applyFont="1" applyFill="1" applyBorder="1" applyAlignment="1">
      <alignment horizontal="center" vertical="center"/>
    </xf>
    <xf numFmtId="9" fontId="0" fillId="8" borderId="24" xfId="16" applyFont="1" applyFill="1" applyBorder="1" applyAlignment="1">
      <alignment horizontal="center" vertical="center"/>
    </xf>
    <xf numFmtId="9" fontId="0" fillId="8" borderId="252" xfId="16" applyFont="1" applyFill="1" applyBorder="1" applyAlignment="1">
      <alignment horizontal="center" vertical="center"/>
    </xf>
    <xf numFmtId="9" fontId="0" fillId="8" borderId="23" xfId="16" applyFont="1" applyFill="1" applyBorder="1" applyAlignment="1">
      <alignment horizontal="center" vertical="center"/>
    </xf>
    <xf numFmtId="0" fontId="0" fillId="8" borderId="17" xfId="0" applyFill="1" applyBorder="1" applyAlignment="1">
      <alignment horizontal="center" vertical="center" wrapText="1"/>
    </xf>
    <xf numFmtId="0" fontId="9" fillId="0" borderId="244" xfId="0" applyFont="1" applyBorder="1" applyAlignment="1">
      <alignment horizontal="center" vertical="center"/>
    </xf>
    <xf numFmtId="0" fontId="9" fillId="0" borderId="57" xfId="0" applyFont="1" applyBorder="1" applyAlignment="1">
      <alignment horizontal="center" vertical="center"/>
    </xf>
    <xf numFmtId="0" fontId="9" fillId="0" borderId="245" xfId="0" applyFont="1" applyBorder="1" applyAlignment="1">
      <alignment horizontal="center" vertical="center"/>
    </xf>
    <xf numFmtId="0" fontId="27" fillId="32" borderId="28" xfId="0" applyFont="1" applyFill="1" applyBorder="1" applyAlignment="1">
      <alignment horizontal="center"/>
    </xf>
    <xf numFmtId="0" fontId="27" fillId="32" borderId="22" xfId="0" applyFont="1" applyFill="1" applyBorder="1" applyAlignment="1">
      <alignment horizontal="center"/>
    </xf>
    <xf numFmtId="0" fontId="27" fillId="32" borderId="21" xfId="0" applyFont="1" applyFill="1" applyBorder="1" applyAlignment="1">
      <alignment horizontal="center"/>
    </xf>
    <xf numFmtId="0" fontId="27" fillId="32" borderId="19" xfId="0" applyFont="1" applyFill="1" applyBorder="1" applyAlignment="1">
      <alignment horizontal="center"/>
    </xf>
    <xf numFmtId="14" fontId="13" fillId="0" borderId="21" xfId="0" applyNumberFormat="1" applyFont="1" applyBorder="1" applyAlignment="1">
      <alignment horizontal="center"/>
    </xf>
    <xf numFmtId="14" fontId="13" fillId="0" borderId="20" xfId="0" applyNumberFormat="1" applyFont="1" applyBorder="1" applyAlignment="1">
      <alignment horizontal="center"/>
    </xf>
    <xf numFmtId="0" fontId="8" fillId="0" borderId="17" xfId="0" quotePrefix="1" applyFont="1" applyBorder="1" applyAlignment="1">
      <alignment horizontal="left"/>
    </xf>
    <xf numFmtId="0" fontId="46" fillId="31" borderId="24" xfId="0" applyFont="1" applyFill="1" applyBorder="1" applyAlignment="1">
      <alignment horizontal="center" vertical="center" wrapText="1"/>
    </xf>
    <xf numFmtId="0" fontId="46" fillId="31" borderId="17" xfId="0" applyFont="1" applyFill="1" applyBorder="1" applyAlignment="1">
      <alignment horizontal="center" vertical="center" wrapText="1"/>
    </xf>
    <xf numFmtId="0" fontId="46" fillId="31" borderId="240" xfId="0" applyFont="1" applyFill="1" applyBorder="1" applyAlignment="1">
      <alignment horizontal="center" vertical="center" wrapText="1"/>
    </xf>
    <xf numFmtId="0" fontId="46" fillId="31" borderId="249" xfId="0" applyFont="1" applyFill="1" applyBorder="1" applyAlignment="1">
      <alignment horizontal="center" vertical="center" wrapText="1"/>
    </xf>
    <xf numFmtId="0" fontId="46" fillId="5" borderId="41" xfId="0" applyFont="1" applyFill="1" applyBorder="1" applyAlignment="1">
      <alignment horizontal="center"/>
    </xf>
    <xf numFmtId="0" fontId="46" fillId="5" borderId="42" xfId="0" applyFont="1" applyFill="1" applyBorder="1" applyAlignment="1">
      <alignment horizontal="center"/>
    </xf>
    <xf numFmtId="0" fontId="46" fillId="5" borderId="43" xfId="0" applyFont="1" applyFill="1" applyBorder="1" applyAlignment="1">
      <alignment horizontal="center"/>
    </xf>
    <xf numFmtId="0" fontId="27" fillId="32" borderId="251" xfId="0" applyFont="1" applyFill="1" applyBorder="1" applyAlignment="1">
      <alignment horizontal="center"/>
    </xf>
    <xf numFmtId="0" fontId="27" fillId="32" borderId="252" xfId="0" applyFont="1" applyFill="1" applyBorder="1" applyAlignment="1">
      <alignment horizontal="center"/>
    </xf>
    <xf numFmtId="0" fontId="46" fillId="5" borderId="128" xfId="0" applyFont="1" applyFill="1" applyBorder="1" applyAlignment="1">
      <alignment horizontal="center"/>
    </xf>
    <xf numFmtId="0" fontId="46" fillId="5" borderId="177" xfId="0" applyFont="1" applyFill="1" applyBorder="1" applyAlignment="1">
      <alignment horizontal="center"/>
    </xf>
    <xf numFmtId="0" fontId="8" fillId="0" borderId="51" xfId="0" applyFont="1" applyBorder="1" applyAlignment="1">
      <alignment horizontal="left"/>
    </xf>
    <xf numFmtId="0" fontId="8" fillId="0" borderId="52" xfId="0" applyFont="1" applyBorder="1" applyAlignment="1">
      <alignment horizontal="left"/>
    </xf>
    <xf numFmtId="0" fontId="8" fillId="0" borderId="51" xfId="0" applyFont="1" applyBorder="1" applyAlignment="1">
      <alignment horizontal="left" indent="1"/>
    </xf>
    <xf numFmtId="0" fontId="8" fillId="0" borderId="52" xfId="0" applyFont="1" applyBorder="1" applyAlignment="1">
      <alignment horizontal="left" indent="1"/>
    </xf>
    <xf numFmtId="0" fontId="27" fillId="32" borderId="208" xfId="0" applyFont="1" applyFill="1" applyBorder="1" applyAlignment="1">
      <alignment horizontal="center"/>
    </xf>
    <xf numFmtId="0" fontId="0" fillId="0" borderId="10" xfId="0" applyBorder="1" applyAlignment="1">
      <alignment horizontal="left" vertical="center"/>
    </xf>
    <xf numFmtId="0" fontId="0" fillId="0" borderId="209" xfId="0" applyBorder="1" applyAlignment="1">
      <alignment horizontal="left" vertical="center"/>
    </xf>
    <xf numFmtId="0" fontId="13" fillId="0" borderId="51" xfId="0" applyFont="1" applyBorder="1" applyAlignment="1">
      <alignment horizontal="left"/>
    </xf>
    <xf numFmtId="0" fontId="13" fillId="0" borderId="52" xfId="0" applyFont="1" applyBorder="1" applyAlignment="1">
      <alignment horizontal="left"/>
    </xf>
    <xf numFmtId="0" fontId="0" fillId="0" borderId="51" xfId="0" applyBorder="1" applyAlignment="1">
      <alignment horizontal="left"/>
    </xf>
    <xf numFmtId="0" fontId="0" fillId="0" borderId="52" xfId="0" applyBorder="1" applyAlignment="1">
      <alignment horizontal="left"/>
    </xf>
    <xf numFmtId="0" fontId="8" fillId="16" borderId="51" xfId="0" applyFont="1" applyFill="1" applyBorder="1" applyAlignment="1">
      <alignment horizontal="left"/>
    </xf>
    <xf numFmtId="0" fontId="8" fillId="16" borderId="52" xfId="0" applyFont="1" applyFill="1" applyBorder="1" applyAlignment="1">
      <alignment horizontal="left"/>
    </xf>
    <xf numFmtId="0" fontId="31" fillId="5" borderId="257" xfId="0" applyFont="1" applyFill="1" applyBorder="1" applyAlignment="1">
      <alignment horizontal="center"/>
    </xf>
    <xf numFmtId="0" fontId="31" fillId="5" borderId="258" xfId="0" applyFont="1" applyFill="1" applyBorder="1" applyAlignment="1">
      <alignment horizontal="center"/>
    </xf>
    <xf numFmtId="0" fontId="31" fillId="5" borderId="256" xfId="0" applyFont="1" applyFill="1" applyBorder="1" applyAlignment="1">
      <alignment horizontal="center"/>
    </xf>
    <xf numFmtId="0" fontId="45" fillId="5" borderId="295" xfId="0" applyFont="1" applyFill="1" applyBorder="1" applyAlignment="1">
      <alignment horizontal="center"/>
    </xf>
    <xf numFmtId="0" fontId="45" fillId="5" borderId="296" xfId="0" applyFont="1" applyFill="1" applyBorder="1" applyAlignment="1">
      <alignment horizontal="center"/>
    </xf>
    <xf numFmtId="0" fontId="45" fillId="5" borderId="297" xfId="0" applyFont="1" applyFill="1" applyBorder="1" applyAlignment="1">
      <alignment horizontal="center"/>
    </xf>
    <xf numFmtId="0" fontId="9" fillId="0" borderId="61" xfId="0" applyFont="1" applyBorder="1" applyAlignment="1">
      <alignment horizontal="center" vertical="center"/>
    </xf>
    <xf numFmtId="0" fontId="9" fillId="0" borderId="63" xfId="0" applyFont="1" applyBorder="1" applyAlignment="1">
      <alignment horizontal="center" vertical="center"/>
    </xf>
    <xf numFmtId="0" fontId="0" fillId="0" borderId="83" xfId="0" applyBorder="1" applyAlignment="1">
      <alignment horizontal="center" vertical="center" wrapText="1"/>
    </xf>
    <xf numFmtId="0" fontId="0" fillId="0" borderId="60" xfId="0" applyBorder="1" applyAlignment="1">
      <alignment horizontal="center" vertical="center" wrapText="1"/>
    </xf>
    <xf numFmtId="0" fontId="0" fillId="0" borderId="298" xfId="0" applyBorder="1" applyAlignment="1">
      <alignment horizontal="center" vertical="center" wrapText="1"/>
    </xf>
    <xf numFmtId="0" fontId="31" fillId="5" borderId="61" xfId="0" applyFont="1" applyFill="1" applyBorder="1" applyAlignment="1">
      <alignment horizontal="center" vertical="center"/>
    </xf>
    <xf numFmtId="0" fontId="31" fillId="5" borderId="62" xfId="0" applyFont="1" applyFill="1" applyBorder="1" applyAlignment="1">
      <alignment horizontal="center" vertical="center"/>
    </xf>
    <xf numFmtId="0" fontId="31" fillId="5" borderId="65" xfId="0" applyFont="1" applyFill="1" applyBorder="1" applyAlignment="1">
      <alignment horizontal="center" vertical="center"/>
    </xf>
    <xf numFmtId="0" fontId="13" fillId="0" borderId="68" xfId="0" applyFont="1" applyBorder="1" applyAlignment="1">
      <alignment horizontal="center"/>
    </xf>
    <xf numFmtId="0" fontId="13" fillId="0" borderId="70" xfId="0" applyFont="1" applyBorder="1" applyAlignment="1">
      <alignment horizontal="center"/>
    </xf>
    <xf numFmtId="0" fontId="13" fillId="0" borderId="69" xfId="0" applyFont="1" applyBorder="1" applyAlignment="1">
      <alignment horizontal="center"/>
    </xf>
    <xf numFmtId="0" fontId="13" fillId="0" borderId="299" xfId="0" applyFont="1" applyBorder="1" applyAlignment="1">
      <alignment horizontal="center"/>
    </xf>
    <xf numFmtId="0" fontId="13" fillId="0" borderId="300" xfId="0" applyFont="1" applyBorder="1" applyAlignment="1">
      <alignment horizontal="center"/>
    </xf>
    <xf numFmtId="0" fontId="13" fillId="0" borderId="301" xfId="0" applyFont="1" applyBorder="1" applyAlignment="1">
      <alignment horizontal="center"/>
    </xf>
    <xf numFmtId="10" fontId="13" fillId="0" borderId="68" xfId="16" applyNumberFormat="1" applyFont="1" applyBorder="1" applyAlignment="1">
      <alignment horizontal="center"/>
    </xf>
    <xf numFmtId="10" fontId="13" fillId="0" borderId="70" xfId="16" applyNumberFormat="1" applyFont="1" applyBorder="1" applyAlignment="1">
      <alignment horizontal="center"/>
    </xf>
    <xf numFmtId="10" fontId="13" fillId="0" borderId="69" xfId="16" applyNumberFormat="1" applyFont="1" applyBorder="1" applyAlignment="1">
      <alignment horizontal="center"/>
    </xf>
    <xf numFmtId="10" fontId="13" fillId="0" borderId="299" xfId="16" applyNumberFormat="1" applyFont="1" applyBorder="1" applyAlignment="1">
      <alignment horizontal="center"/>
    </xf>
    <xf numFmtId="10" fontId="13" fillId="0" borderId="300" xfId="16" applyNumberFormat="1" applyFont="1" applyBorder="1" applyAlignment="1">
      <alignment horizontal="center"/>
    </xf>
    <xf numFmtId="10" fontId="13" fillId="0" borderId="301" xfId="16" applyNumberFormat="1" applyFont="1" applyBorder="1" applyAlignment="1">
      <alignment horizontal="center"/>
    </xf>
    <xf numFmtId="0" fontId="13" fillId="14" borderId="61" xfId="0" applyFont="1" applyFill="1" applyBorder="1" applyAlignment="1">
      <alignment horizontal="center"/>
    </xf>
    <xf numFmtId="0" fontId="13" fillId="14" borderId="62" xfId="0" applyFont="1" applyFill="1" applyBorder="1" applyAlignment="1">
      <alignment horizontal="center"/>
    </xf>
    <xf numFmtId="0" fontId="13" fillId="14" borderId="63" xfId="0" applyFont="1" applyFill="1" applyBorder="1" applyAlignment="1">
      <alignment horizontal="center"/>
    </xf>
    <xf numFmtId="0" fontId="13" fillId="24" borderId="66" xfId="0" applyFont="1" applyFill="1" applyBorder="1" applyAlignment="1">
      <alignment horizontal="center"/>
    </xf>
    <xf numFmtId="0" fontId="13" fillId="24" borderId="67" xfId="0" applyFont="1" applyFill="1" applyBorder="1" applyAlignment="1">
      <alignment horizontal="center"/>
    </xf>
    <xf numFmtId="0" fontId="43" fillId="0" borderId="68" xfId="0" applyFont="1" applyBorder="1" applyAlignment="1">
      <alignment horizontal="center"/>
    </xf>
    <xf numFmtId="0" fontId="43" fillId="0" borderId="69" xfId="0" applyFont="1" applyBorder="1" applyAlignment="1">
      <alignment horizontal="center"/>
    </xf>
    <xf numFmtId="0" fontId="31" fillId="5" borderId="61" xfId="0" applyFont="1" applyFill="1" applyBorder="1" applyAlignment="1">
      <alignment horizontal="center"/>
    </xf>
    <xf numFmtId="0" fontId="31" fillId="5" borderId="62" xfId="0" applyFont="1" applyFill="1" applyBorder="1" applyAlignment="1">
      <alignment horizontal="center"/>
    </xf>
    <xf numFmtId="0" fontId="31" fillId="5" borderId="63" xfId="0" applyFont="1" applyFill="1" applyBorder="1" applyAlignment="1">
      <alignment horizontal="center"/>
    </xf>
    <xf numFmtId="0" fontId="31" fillId="5" borderId="83" xfId="0" applyFont="1" applyFill="1" applyBorder="1" applyAlignment="1">
      <alignment horizontal="center"/>
    </xf>
    <xf numFmtId="0" fontId="31" fillId="5" borderId="60" xfId="0" applyFont="1" applyFill="1" applyBorder="1" applyAlignment="1">
      <alignment horizontal="center"/>
    </xf>
    <xf numFmtId="0" fontId="31" fillId="5" borderId="298" xfId="0" applyFont="1" applyFill="1" applyBorder="1" applyAlignment="1">
      <alignment horizontal="center"/>
    </xf>
    <xf numFmtId="0" fontId="43" fillId="0" borderId="299" xfId="0" applyFont="1" applyBorder="1" applyAlignment="1">
      <alignment horizontal="center"/>
    </xf>
    <xf numFmtId="0" fontId="43" fillId="0" borderId="301" xfId="0" applyFont="1" applyBorder="1" applyAlignment="1">
      <alignment horizontal="center"/>
    </xf>
    <xf numFmtId="0" fontId="43" fillId="0" borderId="216" xfId="0" applyFont="1" applyBorder="1" applyAlignment="1">
      <alignment horizontal="center"/>
    </xf>
    <xf numFmtId="0" fontId="43" fillId="0" borderId="217" xfId="0" applyFont="1" applyBorder="1" applyAlignment="1">
      <alignment horizontal="center"/>
    </xf>
    <xf numFmtId="0" fontId="8" fillId="0" borderId="66" xfId="0" applyFont="1" applyBorder="1" applyAlignment="1">
      <alignment horizontal="center"/>
    </xf>
    <xf numFmtId="0" fontId="8" fillId="0" borderId="302" xfId="0" applyFont="1" applyBorder="1" applyAlignment="1">
      <alignment horizontal="center"/>
    </xf>
    <xf numFmtId="0" fontId="8" fillId="0" borderId="67" xfId="0" applyFont="1" applyBorder="1" applyAlignment="1">
      <alignment horizontal="center"/>
    </xf>
    <xf numFmtId="0" fontId="8" fillId="0" borderId="71" xfId="0" applyFont="1" applyBorder="1" applyAlignment="1">
      <alignment horizontal="center"/>
    </xf>
    <xf numFmtId="0" fontId="8" fillId="0" borderId="73" xfId="0" applyFont="1" applyBorder="1" applyAlignment="1">
      <alignment horizontal="center"/>
    </xf>
    <xf numFmtId="0" fontId="8" fillId="0" borderId="72" xfId="0" applyFont="1" applyBorder="1" applyAlignment="1">
      <alignment horizontal="center"/>
    </xf>
    <xf numFmtId="10" fontId="13" fillId="0" borderId="216" xfId="16" applyNumberFormat="1" applyFont="1" applyBorder="1" applyAlignment="1">
      <alignment horizontal="center"/>
    </xf>
    <xf numFmtId="10" fontId="13" fillId="0" borderId="35" xfId="16" applyNumberFormat="1" applyFont="1" applyBorder="1" applyAlignment="1">
      <alignment horizontal="center"/>
    </xf>
    <xf numFmtId="10" fontId="13" fillId="0" borderId="217" xfId="16" applyNumberFormat="1" applyFont="1" applyBorder="1" applyAlignment="1">
      <alignment horizontal="center"/>
    </xf>
    <xf numFmtId="0" fontId="13" fillId="24" borderId="302" xfId="0" applyFont="1" applyFill="1" applyBorder="1" applyAlignment="1">
      <alignment horizontal="center"/>
    </xf>
    <xf numFmtId="0" fontId="0" fillId="0" borderId="71" xfId="0" applyBorder="1" applyAlignment="1">
      <alignment horizontal="center"/>
    </xf>
    <xf numFmtId="0" fontId="0" fillId="0" borderId="72" xfId="0" applyBorder="1" applyAlignment="1">
      <alignment horizontal="center"/>
    </xf>
    <xf numFmtId="0" fontId="31" fillId="5" borderId="286" xfId="0" applyFont="1" applyFill="1" applyBorder="1" applyAlignment="1">
      <alignment horizontal="center"/>
    </xf>
    <xf numFmtId="0" fontId="31" fillId="5" borderId="260" xfId="0" applyFont="1" applyFill="1" applyBorder="1" applyAlignment="1">
      <alignment horizontal="center"/>
    </xf>
    <xf numFmtId="0" fontId="31" fillId="5" borderId="36" xfId="0" applyFont="1" applyFill="1" applyBorder="1" applyAlignment="1">
      <alignment horizontal="center"/>
    </xf>
    <xf numFmtId="0" fontId="45" fillId="5" borderId="59" xfId="0" applyFont="1" applyFill="1" applyBorder="1" applyAlignment="1">
      <alignment horizontal="center"/>
    </xf>
    <xf numFmtId="0" fontId="45" fillId="5" borderId="64" xfId="0" applyFont="1" applyFill="1" applyBorder="1" applyAlignment="1">
      <alignment horizontal="center"/>
    </xf>
    <xf numFmtId="0" fontId="31" fillId="18" borderId="44" xfId="0" applyFont="1" applyFill="1" applyBorder="1" applyAlignment="1">
      <alignment horizontal="center"/>
    </xf>
    <xf numFmtId="0" fontId="31" fillId="18" borderId="0" xfId="0" applyFont="1" applyFill="1" applyAlignment="1">
      <alignment horizontal="center"/>
    </xf>
    <xf numFmtId="0" fontId="45" fillId="5" borderId="303" xfId="0" applyFont="1" applyFill="1" applyBorder="1" applyAlignment="1">
      <alignment horizontal="center"/>
    </xf>
    <xf numFmtId="0" fontId="45" fillId="5" borderId="304" xfId="0" applyFont="1" applyFill="1" applyBorder="1" applyAlignment="1">
      <alignment horizontal="center"/>
    </xf>
    <xf numFmtId="0" fontId="45" fillId="5" borderId="61" xfId="0" applyFont="1" applyFill="1" applyBorder="1" applyAlignment="1">
      <alignment horizontal="center"/>
    </xf>
    <xf numFmtId="0" fontId="45" fillId="5" borderId="62" xfId="0" applyFont="1" applyFill="1" applyBorder="1" applyAlignment="1">
      <alignment horizontal="center"/>
    </xf>
    <xf numFmtId="0" fontId="45" fillId="5" borderId="63" xfId="0" applyFont="1" applyFill="1" applyBorder="1" applyAlignment="1">
      <alignment horizontal="center"/>
    </xf>
    <xf numFmtId="0" fontId="31" fillId="18" borderId="59" xfId="0" applyFont="1" applyFill="1" applyBorder="1" applyAlignment="1">
      <alignment horizontal="center"/>
    </xf>
    <xf numFmtId="0" fontId="31" fillId="18" borderId="64" xfId="0" applyFont="1" applyFill="1" applyBorder="1" applyAlignment="1">
      <alignment horizontal="center"/>
    </xf>
    <xf numFmtId="9" fontId="13" fillId="0" borderId="56" xfId="16" applyFont="1" applyBorder="1" applyAlignment="1">
      <alignment horizontal="center" vertical="center"/>
    </xf>
    <xf numFmtId="9" fontId="13" fillId="0" borderId="44" xfId="16" applyFont="1" applyBorder="1" applyAlignment="1">
      <alignment horizontal="center" vertical="center"/>
    </xf>
    <xf numFmtId="9" fontId="13" fillId="0" borderId="59" xfId="16" applyFont="1" applyBorder="1" applyAlignment="1">
      <alignment horizontal="center" vertical="center"/>
    </xf>
    <xf numFmtId="0" fontId="0" fillId="0" borderId="57" xfId="0" applyBorder="1" applyAlignment="1">
      <alignment horizontal="left" vertical="center" wrapText="1"/>
    </xf>
    <xf numFmtId="0" fontId="0" fillId="0" borderId="58" xfId="0" applyBorder="1" applyAlignment="1">
      <alignment horizontal="left" vertical="center" wrapText="1"/>
    </xf>
    <xf numFmtId="0" fontId="0" fillId="0" borderId="0" xfId="0" applyAlignment="1">
      <alignment horizontal="left" vertical="center" wrapText="1"/>
    </xf>
    <xf numFmtId="0" fontId="0" fillId="0" borderId="45" xfId="0" applyBorder="1" applyAlignment="1">
      <alignment horizontal="left" vertical="center" wrapText="1"/>
    </xf>
    <xf numFmtId="0" fontId="0" fillId="0" borderId="64" xfId="0" applyBorder="1" applyAlignment="1">
      <alignment horizontal="left" vertical="center" wrapText="1"/>
    </xf>
    <xf numFmtId="0" fontId="0" fillId="0" borderId="65" xfId="0" applyBorder="1" applyAlignment="1">
      <alignment horizontal="left" vertical="center" wrapText="1"/>
    </xf>
    <xf numFmtId="0" fontId="0" fillId="0" borderId="314" xfId="0" applyBorder="1" applyAlignment="1">
      <alignment horizontal="left"/>
    </xf>
    <xf numFmtId="0" fontId="0" fillId="0" borderId="315" xfId="0" applyBorder="1" applyAlignment="1">
      <alignment horizontal="left"/>
    </xf>
    <xf numFmtId="0" fontId="0" fillId="0" borderId="316" xfId="0" applyBorder="1" applyAlignment="1">
      <alignment horizontal="left"/>
    </xf>
    <xf numFmtId="0" fontId="0" fillId="0" borderId="56" xfId="0" applyBorder="1" applyAlignment="1">
      <alignment horizontal="center"/>
    </xf>
    <xf numFmtId="0" fontId="0" fillId="0" borderId="57" xfId="0" applyBorder="1" applyAlignment="1">
      <alignment horizontal="center"/>
    </xf>
    <xf numFmtId="0" fontId="0" fillId="0" borderId="58" xfId="0" applyBorder="1" applyAlignment="1">
      <alignment horizontal="center"/>
    </xf>
    <xf numFmtId="0" fontId="0" fillId="0" borderId="44" xfId="0" applyBorder="1" applyAlignment="1">
      <alignment horizontal="center"/>
    </xf>
    <xf numFmtId="0" fontId="0" fillId="0" borderId="0" xfId="0" applyAlignment="1">
      <alignment horizontal="center"/>
    </xf>
    <xf numFmtId="0" fontId="0" fillId="0" borderId="45" xfId="0" applyBorder="1" applyAlignment="1">
      <alignment horizontal="center"/>
    </xf>
    <xf numFmtId="0" fontId="0" fillId="0" borderId="59" xfId="0" applyBorder="1" applyAlignment="1">
      <alignment horizontal="center"/>
    </xf>
    <xf numFmtId="0" fontId="0" fillId="0" borderId="64" xfId="0" applyBorder="1" applyAlignment="1">
      <alignment horizontal="center"/>
    </xf>
    <xf numFmtId="0" fontId="0" fillId="0" borderId="65" xfId="0" applyBorder="1" applyAlignment="1">
      <alignment horizontal="center"/>
    </xf>
    <xf numFmtId="0" fontId="31" fillId="18" borderId="255" xfId="0" applyFont="1" applyFill="1" applyBorder="1" applyAlignment="1">
      <alignment horizontal="center"/>
    </xf>
    <xf numFmtId="0" fontId="31" fillId="18" borderId="258" xfId="0" applyFont="1" applyFill="1" applyBorder="1" applyAlignment="1">
      <alignment horizontal="center"/>
    </xf>
    <xf numFmtId="0" fontId="31" fillId="18" borderId="288" xfId="0" applyFont="1" applyFill="1" applyBorder="1" applyAlignment="1">
      <alignment horizontal="center"/>
    </xf>
    <xf numFmtId="0" fontId="31" fillId="5" borderId="56" xfId="0" applyFont="1" applyFill="1" applyBorder="1" applyAlignment="1">
      <alignment horizontal="center"/>
    </xf>
    <xf numFmtId="0" fontId="31" fillId="5" borderId="57" xfId="0" applyFont="1" applyFill="1" applyBorder="1" applyAlignment="1">
      <alignment horizontal="center"/>
    </xf>
    <xf numFmtId="0" fontId="0" fillId="0" borderId="273" xfId="0" applyBorder="1" applyAlignment="1">
      <alignment horizontal="center" vertical="center" wrapText="1"/>
    </xf>
    <xf numFmtId="0" fontId="0" fillId="0" borderId="274" xfId="0" applyBorder="1" applyAlignment="1">
      <alignment horizontal="center" vertical="center" wrapText="1"/>
    </xf>
    <xf numFmtId="0" fontId="0" fillId="0" borderId="0" xfId="0" applyAlignment="1">
      <alignment horizontal="center" vertical="center" wrapText="1"/>
    </xf>
    <xf numFmtId="0" fontId="0" fillId="0" borderId="310" xfId="0" applyBorder="1" applyAlignment="1">
      <alignment horizontal="center" vertical="center" wrapText="1"/>
    </xf>
    <xf numFmtId="0" fontId="34" fillId="0" borderId="82" xfId="0" applyFont="1" applyBorder="1" applyAlignment="1">
      <alignment horizontal="center" vertical="center" wrapText="1"/>
    </xf>
    <xf numFmtId="0" fontId="34" fillId="0" borderId="35" xfId="0" applyFont="1" applyBorder="1" applyAlignment="1">
      <alignment horizontal="center" vertical="center" wrapText="1"/>
    </xf>
    <xf numFmtId="0" fontId="0" fillId="0" borderId="66" xfId="0" applyBorder="1" applyAlignment="1">
      <alignment horizontal="center"/>
    </xf>
    <xf numFmtId="0" fontId="0" fillId="0" borderId="67" xfId="0" applyBorder="1" applyAlignment="1">
      <alignment horizontal="center"/>
    </xf>
    <xf numFmtId="0" fontId="8" fillId="39" borderId="203" xfId="0" applyFont="1" applyFill="1" applyBorder="1" applyAlignment="1">
      <alignment horizontal="center" vertical="center" wrapText="1"/>
    </xf>
    <xf numFmtId="0" fontId="72" fillId="0" borderId="53" xfId="0" applyFont="1" applyBorder="1" applyAlignment="1">
      <alignment horizontal="center" vertical="center" wrapText="1"/>
    </xf>
    <xf numFmtId="0" fontId="72" fillId="0" borderId="204" xfId="0" applyFont="1" applyBorder="1" applyAlignment="1">
      <alignment horizontal="center" vertical="center" wrapText="1"/>
    </xf>
    <xf numFmtId="0" fontId="27" fillId="5" borderId="200" xfId="26" applyFont="1" applyFill="1" applyBorder="1" applyAlignment="1">
      <alignment horizontal="center" vertical="center"/>
    </xf>
    <xf numFmtId="0" fontId="27" fillId="5" borderId="201" xfId="26" applyFont="1" applyFill="1" applyBorder="1" applyAlignment="1">
      <alignment horizontal="center" vertical="center"/>
    </xf>
    <xf numFmtId="0" fontId="27" fillId="5" borderId="202" xfId="26" applyFont="1" applyFill="1" applyBorder="1" applyAlignment="1">
      <alignment horizontal="center" vertical="center"/>
    </xf>
    <xf numFmtId="0" fontId="8" fillId="45" borderId="203" xfId="0" applyFont="1" applyFill="1" applyBorder="1" applyAlignment="1">
      <alignment horizontal="center" vertical="center" wrapText="1"/>
    </xf>
    <xf numFmtId="0" fontId="8" fillId="44" borderId="203" xfId="0" applyFont="1" applyFill="1" applyBorder="1" applyAlignment="1">
      <alignment horizontal="center" vertical="center" wrapText="1"/>
    </xf>
    <xf numFmtId="0" fontId="8" fillId="44" borderId="205" xfId="0" applyFont="1" applyFill="1" applyBorder="1" applyAlignment="1">
      <alignment horizontal="center" vertical="center" wrapText="1"/>
    </xf>
    <xf numFmtId="0" fontId="72" fillId="0" borderId="206" xfId="0" applyFont="1" applyBorder="1" applyAlignment="1">
      <alignment horizontal="center" vertical="center" wrapText="1"/>
    </xf>
    <xf numFmtId="0" fontId="72" fillId="0" borderId="207" xfId="0" applyFont="1" applyBorder="1" applyAlignment="1">
      <alignment horizontal="center" vertical="center" wrapText="1"/>
    </xf>
    <xf numFmtId="0" fontId="67" fillId="0" borderId="98" xfId="0" applyFont="1" applyBorder="1" applyAlignment="1">
      <alignment horizontal="center" vertical="center" wrapText="1"/>
    </xf>
    <xf numFmtId="0" fontId="23" fillId="0" borderId="99" xfId="0" applyFont="1" applyBorder="1" applyAlignment="1">
      <alignment horizontal="center" vertical="center" wrapText="1"/>
    </xf>
    <xf numFmtId="0" fontId="23" fillId="0" borderId="100" xfId="0" applyFont="1" applyBorder="1" applyAlignment="1">
      <alignment horizontal="center" vertical="center" wrapText="1"/>
    </xf>
    <xf numFmtId="0" fontId="67" fillId="0" borderId="98" xfId="0" applyFont="1" applyBorder="1" applyAlignment="1">
      <alignment horizontal="left" vertical="center" wrapText="1"/>
    </xf>
    <xf numFmtId="0" fontId="23" fillId="0" borderId="99" xfId="0" applyFont="1" applyBorder="1" applyAlignment="1">
      <alignment horizontal="left" vertical="center" wrapText="1"/>
    </xf>
    <xf numFmtId="0" fontId="23" fillId="0" borderId="100" xfId="0" applyFont="1" applyBorder="1" applyAlignment="1">
      <alignment horizontal="left" vertical="center" wrapText="1"/>
    </xf>
    <xf numFmtId="0" fontId="49" fillId="5" borderId="53" xfId="0" applyFont="1" applyFill="1" applyBorder="1" applyAlignment="1">
      <alignment horizontal="center"/>
    </xf>
    <xf numFmtId="2" fontId="0" fillId="0" borderId="0" xfId="26" applyNumberFormat="1" applyFont="1" applyAlignment="1">
      <alignment horizontal="center"/>
    </xf>
    <xf numFmtId="0" fontId="16" fillId="18" borderId="101" xfId="1" applyFill="1" applyBorder="1" applyAlignment="1">
      <alignment horizontal="center" vertical="center" readingOrder="1"/>
    </xf>
    <xf numFmtId="0" fontId="52" fillId="18" borderId="101" xfId="26" applyFont="1" applyFill="1" applyBorder="1" applyAlignment="1">
      <alignment horizontal="center"/>
    </xf>
    <xf numFmtId="0" fontId="0" fillId="0" borderId="0" xfId="26" applyFont="1" applyAlignment="1">
      <alignment horizontal="center"/>
    </xf>
    <xf numFmtId="0" fontId="27" fillId="5" borderId="123" xfId="26" applyFont="1" applyFill="1" applyBorder="1" applyAlignment="1">
      <alignment horizontal="center" vertical="center"/>
    </xf>
    <xf numFmtId="0" fontId="27" fillId="5" borderId="25" xfId="26" applyFont="1" applyFill="1" applyBorder="1" applyAlignment="1">
      <alignment horizontal="center" vertical="center"/>
    </xf>
    <xf numFmtId="0" fontId="27" fillId="5" borderId="26" xfId="26" applyFont="1" applyFill="1" applyBorder="1" applyAlignment="1">
      <alignment horizontal="center" vertical="center"/>
    </xf>
    <xf numFmtId="0" fontId="29" fillId="0" borderId="124" xfId="26" applyFont="1" applyBorder="1" applyAlignment="1">
      <alignment horizontal="center" vertical="center" wrapText="1"/>
    </xf>
    <xf numFmtId="0" fontId="29" fillId="0" borderId="125" xfId="26" applyFont="1" applyBorder="1" applyAlignment="1">
      <alignment horizontal="center" vertical="center" wrapText="1"/>
    </xf>
    <xf numFmtId="0" fontId="29" fillId="0" borderId="126" xfId="26" applyFont="1" applyBorder="1" applyAlignment="1">
      <alignment horizontal="center" vertical="center" wrapText="1"/>
    </xf>
    <xf numFmtId="0" fontId="8" fillId="39" borderId="194" xfId="0" applyFont="1" applyFill="1" applyBorder="1" applyAlignment="1">
      <alignment horizontal="center"/>
    </xf>
    <xf numFmtId="0" fontId="8" fillId="39" borderId="195" xfId="0" applyFont="1" applyFill="1" applyBorder="1" applyAlignment="1">
      <alignment horizontal="center"/>
    </xf>
    <xf numFmtId="0" fontId="8" fillId="39" borderId="142" xfId="0" applyFont="1" applyFill="1" applyBorder="1" applyAlignment="1">
      <alignment horizontal="center"/>
    </xf>
    <xf numFmtId="0" fontId="8" fillId="39" borderId="134" xfId="0" applyFont="1" applyFill="1" applyBorder="1" applyAlignment="1">
      <alignment horizontal="center"/>
    </xf>
    <xf numFmtId="0" fontId="64" fillId="0" borderId="107" xfId="29" applyFont="1" applyBorder="1" applyAlignment="1">
      <alignment horizontal="center" vertical="center"/>
    </xf>
    <xf numFmtId="0" fontId="64" fillId="0" borderId="109" xfId="29" applyFont="1" applyBorder="1" applyAlignment="1">
      <alignment horizontal="center" vertical="center"/>
    </xf>
    <xf numFmtId="0" fontId="54" fillId="36" borderId="0" xfId="0" applyFont="1" applyFill="1" applyAlignment="1">
      <alignment horizontal="left" vertical="center"/>
    </xf>
    <xf numFmtId="0" fontId="54" fillId="36" borderId="128" xfId="0" applyFont="1" applyFill="1" applyBorder="1" applyAlignment="1">
      <alignment horizontal="left" vertical="center"/>
    </xf>
    <xf numFmtId="0" fontId="55" fillId="0" borderId="107" xfId="0" applyFont="1" applyBorder="1" applyAlignment="1">
      <alignment horizontal="center" vertical="center"/>
    </xf>
    <xf numFmtId="0" fontId="55" fillId="0" borderId="110" xfId="0" applyFont="1" applyBorder="1" applyAlignment="1">
      <alignment horizontal="center" vertical="center"/>
    </xf>
    <xf numFmtId="0" fontId="55" fillId="0" borderId="109" xfId="0" applyFont="1" applyBorder="1" applyAlignment="1">
      <alignment horizontal="center" vertical="center"/>
    </xf>
    <xf numFmtId="0" fontId="55" fillId="0" borderId="117" xfId="0" applyFont="1" applyBorder="1" applyAlignment="1">
      <alignment horizontal="center" vertical="center" wrapText="1"/>
    </xf>
    <xf numFmtId="0" fontId="55" fillId="0" borderId="114" xfId="0" applyFont="1" applyBorder="1" applyAlignment="1">
      <alignment horizontal="center" vertical="center" wrapText="1"/>
    </xf>
    <xf numFmtId="0" fontId="60" fillId="28" borderId="116" xfId="0" applyFont="1" applyFill="1" applyBorder="1" applyAlignment="1">
      <alignment horizontal="center"/>
    </xf>
    <xf numFmtId="0" fontId="60" fillId="28" borderId="0" xfId="0" applyFont="1" applyFill="1" applyAlignment="1">
      <alignment horizontal="center"/>
    </xf>
    <xf numFmtId="0" fontId="60" fillId="28" borderId="127" xfId="0" applyFont="1" applyFill="1" applyBorder="1" applyAlignment="1">
      <alignment horizontal="center"/>
    </xf>
    <xf numFmtId="0" fontId="60" fillId="28" borderId="112" xfId="0" applyFont="1" applyFill="1" applyBorder="1" applyAlignment="1">
      <alignment horizontal="center"/>
    </xf>
    <xf numFmtId="0" fontId="60" fillId="28" borderId="178" xfId="0" applyFont="1" applyFill="1" applyBorder="1" applyAlignment="1">
      <alignment horizontal="center"/>
    </xf>
    <xf numFmtId="0" fontId="53" fillId="12" borderId="194" xfId="0" applyFont="1" applyFill="1" applyBorder="1" applyAlignment="1">
      <alignment horizontal="center"/>
    </xf>
    <xf numFmtId="0" fontId="53" fillId="12" borderId="195" xfId="0" applyFont="1" applyFill="1" applyBorder="1" applyAlignment="1">
      <alignment horizontal="center"/>
    </xf>
    <xf numFmtId="0" fontId="53" fillId="12" borderId="163" xfId="0" applyFont="1" applyFill="1" applyBorder="1" applyAlignment="1">
      <alignment horizontal="center"/>
    </xf>
    <xf numFmtId="0" fontId="53" fillId="39" borderId="194" xfId="0" applyFont="1" applyFill="1" applyBorder="1" applyAlignment="1">
      <alignment horizontal="center"/>
    </xf>
    <xf numFmtId="0" fontId="53" fillId="39" borderId="195" xfId="0" applyFont="1" applyFill="1" applyBorder="1" applyAlignment="1">
      <alignment horizontal="center"/>
    </xf>
    <xf numFmtId="0" fontId="53" fillId="39" borderId="163" xfId="0" applyFont="1" applyFill="1" applyBorder="1" applyAlignment="1">
      <alignment horizontal="center"/>
    </xf>
    <xf numFmtId="0" fontId="55" fillId="0" borderId="114" xfId="0" applyFont="1" applyBorder="1" applyAlignment="1">
      <alignment horizontal="center" vertical="center"/>
    </xf>
    <xf numFmtId="0" fontId="55" fillId="0" borderId="117" xfId="0" applyFont="1" applyBorder="1" applyAlignment="1">
      <alignment horizontal="center" vertical="center"/>
    </xf>
    <xf numFmtId="0" fontId="55" fillId="0" borderId="196" xfId="0" applyFont="1" applyBorder="1" applyAlignment="1">
      <alignment horizontal="center" vertical="center"/>
    </xf>
    <xf numFmtId="0" fontId="55" fillId="0" borderId="153" xfId="0" applyFont="1" applyBorder="1" applyAlignment="1">
      <alignment horizontal="center" vertical="center"/>
    </xf>
    <xf numFmtId="0" fontId="55" fillId="0" borderId="106" xfId="0" applyFont="1" applyBorder="1" applyAlignment="1">
      <alignment horizontal="center" vertical="center"/>
    </xf>
    <xf numFmtId="0" fontId="77" fillId="7" borderId="0" xfId="0" applyFont="1" applyFill="1" applyAlignment="1">
      <alignment horizontal="center"/>
    </xf>
    <xf numFmtId="0" fontId="13" fillId="54" borderId="194" xfId="0" applyFont="1" applyFill="1" applyBorder="1" applyAlignment="1">
      <alignment horizontal="center"/>
    </xf>
    <xf numFmtId="0" fontId="13" fillId="54" borderId="195" xfId="0" applyFont="1" applyFill="1" applyBorder="1" applyAlignment="1">
      <alignment horizontal="center"/>
    </xf>
    <xf numFmtId="0" fontId="13" fillId="54" borderId="163" xfId="0" applyFont="1" applyFill="1" applyBorder="1" applyAlignment="1">
      <alignment horizontal="center"/>
    </xf>
    <xf numFmtId="0" fontId="13" fillId="55" borderId="194" xfId="24" applyFont="1" applyFill="1" applyBorder="1" applyAlignment="1">
      <alignment horizontal="center"/>
    </xf>
    <xf numFmtId="0" fontId="13" fillId="55" borderId="163" xfId="24" applyFont="1" applyFill="1" applyBorder="1" applyAlignment="1">
      <alignment horizontal="center"/>
    </xf>
    <xf numFmtId="0" fontId="42" fillId="0" borderId="0" xfId="0" applyFont="1" applyAlignment="1">
      <alignment horizontal="center"/>
    </xf>
    <xf numFmtId="0" fontId="9" fillId="0" borderId="0" xfId="0" applyFont="1" applyAlignment="1">
      <alignment horizontal="center"/>
    </xf>
    <xf numFmtId="0" fontId="39" fillId="0" borderId="0" xfId="0" applyFont="1" applyAlignment="1">
      <alignment horizontal="center"/>
    </xf>
    <xf numFmtId="0" fontId="13" fillId="0" borderId="3" xfId="0" applyFont="1" applyBorder="1" applyAlignment="1">
      <alignment horizontal="center"/>
    </xf>
    <xf numFmtId="0" fontId="13" fillId="0" borderId="2" xfId="0" applyFont="1" applyBorder="1" applyAlignment="1">
      <alignment horizontal="center"/>
    </xf>
    <xf numFmtId="0" fontId="13" fillId="0" borderId="29" xfId="0" applyFont="1" applyBorder="1" applyAlignment="1">
      <alignment horizontal="center"/>
    </xf>
    <xf numFmtId="0" fontId="13" fillId="0" borderId="5" xfId="0" applyFont="1" applyBorder="1" applyAlignment="1">
      <alignment horizontal="center"/>
    </xf>
    <xf numFmtId="0" fontId="13" fillId="0" borderId="30" xfId="0" applyFont="1" applyBorder="1" applyAlignment="1">
      <alignment horizontal="center"/>
    </xf>
    <xf numFmtId="0" fontId="35" fillId="19" borderId="0" xfId="0" applyFont="1" applyFill="1" applyAlignment="1">
      <alignment horizontal="center"/>
    </xf>
    <xf numFmtId="4" fontId="35" fillId="19" borderId="0" xfId="0" applyNumberFormat="1" applyFont="1" applyFill="1" applyAlignment="1">
      <alignment horizontal="center"/>
    </xf>
    <xf numFmtId="0" fontId="35" fillId="0" borderId="0" xfId="0" applyFont="1" applyAlignment="1">
      <alignment horizontal="center"/>
    </xf>
    <xf numFmtId="0" fontId="23" fillId="0" borderId="0" xfId="0" applyFont="1" applyAlignment="1">
      <alignment horizontal="center"/>
    </xf>
    <xf numFmtId="0" fontId="0" fillId="0" borderId="17" xfId="0" applyBorder="1" applyAlignment="1"/>
    <xf numFmtId="0" fontId="8" fillId="0" borderId="17" xfId="0" applyFont="1" applyBorder="1" applyAlignment="1"/>
    <xf numFmtId="0" fontId="0" fillId="0" borderId="10" xfId="0" applyBorder="1" applyAlignment="1"/>
  </cellXfs>
  <cellStyles count="35">
    <cellStyle name="blp_title_header_row_left" xfId="1" xr:uid="{00000000-0005-0000-0000-000000000000}"/>
    <cellStyle name="Comma" xfId="34" builtinId="3"/>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Hyperlink" xfId="11" builtinId="8"/>
    <cellStyle name="Moneda 2" xfId="12" xr:uid="{00000000-0005-0000-0000-00000B000000}"/>
    <cellStyle name="Moneda 2 2" xfId="13" xr:uid="{00000000-0005-0000-0000-00000C000000}"/>
    <cellStyle name="Normal" xfId="0" builtinId="0"/>
    <cellStyle name="Normal 2" xfId="14" xr:uid="{00000000-0005-0000-0000-00000E000000}"/>
    <cellStyle name="Normal 2 2" xfId="15" xr:uid="{00000000-0005-0000-0000-00000F000000}"/>
    <cellStyle name="Normal 2 3" xfId="20" xr:uid="{00000000-0005-0000-0000-000010000000}"/>
    <cellStyle name="Normal 2 3 2" xfId="27" xr:uid="{6A4611F8-31D7-4EA6-B27B-70EB4E34E8FD}"/>
    <cellStyle name="Normal 2 4" xfId="21" xr:uid="{DBC68614-B0BC-4348-8A0D-C96562B201CF}"/>
    <cellStyle name="Normal 3" xfId="24" xr:uid="{371B90F0-6B8E-40BF-8358-D28B574437C9}"/>
    <cellStyle name="Normal 3 2" xfId="26" xr:uid="{41BD78A2-6B23-4ADD-839D-9D86F14E11A2}"/>
    <cellStyle name="Normal 3 3" xfId="29" xr:uid="{4CBFF9A4-05AD-4A91-8AF0-FA0B5B39E2EC}"/>
    <cellStyle name="Normal 5" xfId="30" xr:uid="{E3BE1569-E214-4855-8BF5-B868B88B5743}"/>
    <cellStyle name="Normal 9" xfId="33" xr:uid="{CACD4D4E-2C7F-4816-9692-26D0FDD559DC}"/>
    <cellStyle name="Percent" xfId="16" builtinId="5"/>
    <cellStyle name="Porcentaje 2" xfId="17" xr:uid="{00000000-0005-0000-0000-000012000000}"/>
    <cellStyle name="Porcentaje 2 2" xfId="18" xr:uid="{00000000-0005-0000-0000-000013000000}"/>
    <cellStyle name="Porcentaje 2 2 2" xfId="25" xr:uid="{924DB8B0-6B9C-4A78-9CB6-7EC8F42C7C6B}"/>
    <cellStyle name="Porcentaje 2 3" xfId="23" xr:uid="{1FF2580F-E450-433A-8AB5-6E1CABCA8FC9}"/>
    <cellStyle name="Porcentaje 2 4" xfId="28" xr:uid="{3D812F63-E4F6-4F6D-A613-EF79E76ACE35}"/>
    <cellStyle name="Porcentaje 3" xfId="19" xr:uid="{00000000-0005-0000-0000-000014000000}"/>
    <cellStyle name="Porcentaje 3 2" xfId="22" xr:uid="{59E732CE-B697-4AF7-8CEE-0C42EB60E78B}"/>
    <cellStyle name="Porcentaje 4 2" xfId="32" xr:uid="{C6A0E8B8-33DC-4334-89A4-99FF669E5EA8}"/>
    <cellStyle name="Porcentaje 5" xfId="31" xr:uid="{F07CEC0B-CE59-4BBC-A0C7-9B77A84167BF}"/>
  </cellStyles>
  <dxfs count="122">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medium">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border>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fill>
        <patternFill>
          <fgColor indexed="64"/>
          <bgColor theme="0" tint="-0.14999847407452621"/>
        </patternFill>
      </fill>
      <border outline="0">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fill>
        <patternFill>
          <fgColor indexed="64"/>
          <bgColor theme="0" tint="-0.14999847407452621"/>
        </patternFill>
      </fill>
      <border outline="0">
        <left/>
        <right style="thin">
          <color indexed="64"/>
        </right>
      </border>
    </dxf>
    <dxf>
      <font>
        <b val="0"/>
        <i val="0"/>
        <strike val="0"/>
        <condense val="0"/>
        <extend val="0"/>
        <outline val="0"/>
        <shadow val="0"/>
        <u val="none"/>
        <vertAlign val="baseline"/>
        <sz val="10"/>
        <color indexed="63"/>
        <name val="Arial"/>
        <family val="2"/>
        <scheme val="none"/>
      </font>
      <numFmt numFmtId="13" formatCode="0%"/>
      <fill>
        <patternFill patternType="solid">
          <fgColor indexed="64"/>
          <bgColor theme="3" tint="0.59999389629810485"/>
        </patternFill>
      </fill>
      <border diagonalUp="0" diagonalDown="0" outline="0">
        <left/>
        <right style="thin">
          <color indexed="64"/>
        </right>
        <top/>
        <bottom style="medium">
          <color indexed="64"/>
        </bottom>
      </border>
    </dxf>
    <dxf>
      <numFmt numFmtId="1" formatCode="0"/>
      <fill>
        <patternFill patternType="solid">
          <fgColor indexed="64"/>
          <bgColor rgb="FFFFFF0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indexed="63"/>
        <name val="Arial"/>
        <family val="2"/>
        <scheme val="none"/>
      </font>
      <numFmt numFmtId="1" formatCode="0"/>
      <fill>
        <patternFill patternType="solid">
          <fgColor indexed="64"/>
          <bgColor rgb="FFFFFF00"/>
        </patternFill>
      </fill>
      <border diagonalUp="0" diagonalDown="0" outline="0">
        <left style="thin">
          <color indexed="64"/>
        </left>
        <right style="thin">
          <color indexed="64"/>
        </right>
        <top/>
        <bottom style="medium">
          <color indexed="64"/>
        </bottom>
      </border>
    </dxf>
    <dxf>
      <numFmt numFmtId="1" formatCode="0"/>
      <border outline="0">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rgb="FFFFFFFF"/>
        </patternFill>
      </fill>
      <border diagonalUp="0" diagonalDown="0" outline="0">
        <left/>
        <right style="thin">
          <color indexed="64"/>
        </right>
        <top/>
        <bottom style="medium">
          <color indexed="64"/>
        </bottom>
      </border>
    </dxf>
    <dxf>
      <numFmt numFmtId="1" formatCode="0"/>
      <border outline="0">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rgb="FFFFFFFF"/>
        </patternFill>
      </fill>
      <border diagonalUp="0" diagonalDown="0" outline="0">
        <left/>
        <right style="thin">
          <color indexed="64"/>
        </right>
        <top/>
        <bottom style="medium">
          <color indexed="64"/>
        </bottom>
      </border>
    </dxf>
    <dxf>
      <numFmt numFmtId="1" formatCode="0"/>
      <border outline="0">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rgb="FFFFFFFF"/>
        </patternFill>
      </fill>
      <border diagonalUp="0" diagonalDown="0" outline="0">
        <left/>
        <right style="thin">
          <color indexed="64"/>
        </right>
        <top/>
        <bottom style="medium">
          <color indexed="64"/>
        </bottom>
      </border>
    </dxf>
    <dxf>
      <numFmt numFmtId="1" formatCode="0"/>
      <border outline="0">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rgb="FFFFFFFF"/>
        </patternFill>
      </fill>
      <border diagonalUp="0" diagonalDown="0" outline="0">
        <left/>
        <right style="thin">
          <color indexed="64"/>
        </right>
        <top/>
        <bottom style="medium">
          <color indexed="64"/>
        </bottom>
      </border>
    </dxf>
    <dxf>
      <numFmt numFmtId="1" formatCode="0"/>
      <border outline="0">
        <left/>
        <right style="thin">
          <color indexed="64"/>
        </right>
      </border>
    </dxf>
    <dxf>
      <font>
        <b val="0"/>
        <i val="0"/>
        <strike val="0"/>
        <condense val="0"/>
        <extend val="0"/>
        <outline val="0"/>
        <shadow val="0"/>
        <u val="none"/>
        <vertAlign val="baseline"/>
        <sz val="10"/>
        <color indexed="63"/>
        <name val="Arial"/>
        <family val="2"/>
        <scheme val="none"/>
      </font>
      <numFmt numFmtId="167" formatCode="0.0%"/>
      <fill>
        <patternFill patternType="solid">
          <fgColor indexed="64"/>
          <bgColor rgb="FFFFFFFF"/>
        </patternFill>
      </fill>
      <border diagonalUp="0" diagonalDown="0" outline="0">
        <left/>
        <right style="thin">
          <color indexed="64"/>
        </right>
        <top/>
        <bottom style="medium">
          <color indexed="64"/>
        </bottom>
      </border>
    </dxf>
    <dxf>
      <numFmt numFmtId="1" formatCode="0"/>
      <border outline="0">
        <right style="thin">
          <color indexed="64"/>
        </right>
      </border>
    </dxf>
    <dxf>
      <font>
        <b val="0"/>
        <i val="0"/>
        <strike val="0"/>
        <condense val="0"/>
        <extend val="0"/>
        <outline val="0"/>
        <shadow val="0"/>
        <u val="none"/>
        <vertAlign val="baseline"/>
        <sz val="10"/>
        <color auto="1"/>
        <name val="Arial"/>
        <family val="2"/>
        <scheme val="none"/>
      </font>
      <numFmt numFmtId="1" formatCode="0"/>
      <border diagonalUp="0" diagonalDown="0" outline="0">
        <left/>
        <right style="thin">
          <color indexed="64"/>
        </right>
        <top/>
        <bottom style="medium">
          <color indexed="64"/>
        </bottom>
      </border>
    </dxf>
    <dxf>
      <border outline="0">
        <left/>
        <right style="thin">
          <color indexed="64"/>
        </right>
      </border>
    </dxf>
    <dxf>
      <font>
        <b val="0"/>
        <i val="0"/>
        <strike val="0"/>
        <condense val="0"/>
        <extend val="0"/>
        <outline val="0"/>
        <shadow val="0"/>
        <u val="none"/>
        <vertAlign val="baseline"/>
        <sz val="10"/>
        <color indexed="63"/>
        <name val="Arial"/>
        <family val="2"/>
        <scheme val="none"/>
      </font>
      <fill>
        <patternFill patternType="solid">
          <fgColor indexed="64"/>
          <bgColor rgb="FFFFFFFF"/>
        </patternFill>
      </fill>
      <border diagonalUp="0" diagonalDown="0" outline="0">
        <left/>
        <right style="thin">
          <color indexed="64"/>
        </right>
        <top/>
        <bottom style="medium">
          <color indexed="64"/>
        </bottom>
      </border>
    </dxf>
    <dxf>
      <font>
        <b/>
      </font>
      <border diagonalUp="0" diagonalDown="0">
        <left style="medium">
          <color indexed="64"/>
        </left>
        <right style="medium">
          <color indexed="64"/>
        </right>
        <top/>
        <bottom/>
        <vertical/>
        <horizontal/>
      </border>
    </dxf>
    <dxf>
      <font>
        <b/>
        <i val="0"/>
        <strike val="0"/>
        <condense val="0"/>
        <extend val="0"/>
        <outline val="0"/>
        <shadow val="0"/>
        <u val="none"/>
        <vertAlign val="baseline"/>
        <sz val="10"/>
        <color indexed="63"/>
        <name val="Arial"/>
        <family val="2"/>
        <scheme val="none"/>
      </font>
      <fill>
        <patternFill patternType="solid">
          <fgColor indexed="64"/>
          <bgColor rgb="FFFFFFFF"/>
        </patternFill>
      </fill>
      <border diagonalUp="0" diagonalDown="0" outline="0">
        <left style="medium">
          <color indexed="64"/>
        </left>
        <right style="medium">
          <color indexed="64"/>
        </right>
        <top/>
        <bottom style="medium">
          <color indexed="64"/>
        </bottom>
      </border>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s>
  <tableStyles count="1" defaultTableStyle="TableStyleMedium9" defaultPivotStyle="PivotStyleLight16">
    <tableStyle name="Invisible" pivot="0" table="0" count="0" xr9:uid="{7B8256E5-5961-45BC-8E74-75040304E975}"/>
  </tableStyles>
  <colors>
    <mruColors>
      <color rgb="FFC5D9F1"/>
      <color rgb="FF1F497D"/>
      <color rgb="FFEFFDFF"/>
      <color rgb="FF339966"/>
      <color rgb="FF1B7087"/>
      <color rgb="FF3174C5"/>
      <color rgb="FF63CB97"/>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22/10/relationships/richValueRel" Target="richData/richValueRel.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06/relationships/rdRichValueTypes" Target="richData/rdRichValueTypes.xml"/><Relationship Id="rId28"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SupportingPropertyBag" Target="richData/rdsupportingpropertybag.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Segments!$C$18:$C$23</c:f>
              <c:strCache>
                <c:ptCount val="3"/>
                <c:pt idx="0">
                  <c:v>Steel mills</c:v>
                </c:pt>
                <c:pt idx="1">
                  <c:v>Steel products</c:v>
                </c:pt>
                <c:pt idx="2">
                  <c:v>Raw materials</c:v>
                </c:pt>
              </c:strCache>
            </c:strRef>
          </c:cat>
          <c:val>
            <c:numRef>
              <c:f>Segments!$D$18:$D$23</c:f>
              <c:numCache>
                <c:formatCode>"$"#,##0</c:formatCode>
                <c:ptCount val="3"/>
                <c:pt idx="0">
                  <c:v>20092662</c:v>
                </c:pt>
                <c:pt idx="1">
                  <c:v>12758939</c:v>
                </c:pt>
                <c:pt idx="2">
                  <c:v>1861900</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Peers!$C$8</c:f>
              <c:strCache>
                <c:ptCount val="1"/>
                <c:pt idx="0">
                  <c:v>NUCOR CORPORATION (XNYS:NUE)</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Peers!$C$21</c:f>
              <c:numCache>
                <c:formatCode>0.00</c:formatCode>
                <c:ptCount val="1"/>
                <c:pt idx="0">
                  <c:v>6.1914971902460245E-2</c:v>
                </c:pt>
              </c:numCache>
            </c:numRef>
          </c:xVal>
          <c:yVal>
            <c:numRef>
              <c:f>Peers!$C$37</c:f>
              <c:numCache>
                <c:formatCode>0.0</c:formatCode>
                <c:ptCount val="1"/>
                <c:pt idx="0">
                  <c:v>4.3243374659633815</c:v>
                </c:pt>
              </c:numCache>
            </c:numRef>
          </c:yVal>
          <c:smooth val="0"/>
          <c:extLst>
            <c:ext xmlns:c16="http://schemas.microsoft.com/office/drawing/2014/chart" uri="{C3380CC4-5D6E-409C-BE32-E72D297353CC}">
              <c16:uniqueId val="{00000001-B547-4DF9-892F-3129917FB3B3}"/>
            </c:ext>
          </c:extLst>
        </c:ser>
        <c:ser>
          <c:idx val="1"/>
          <c:order val="1"/>
          <c:tx>
            <c:strRef>
              <c:f>Peers!$D$8</c:f>
              <c:strCache>
                <c:ptCount val="1"/>
                <c:pt idx="0">
                  <c:v>Steel Dynamics (XNAS:STLD)</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Peers!$D$21</c:f>
              <c:numCache>
                <c:formatCode>0.00</c:formatCode>
                <c:ptCount val="1"/>
                <c:pt idx="0">
                  <c:v>0.47342438043067886</c:v>
                </c:pt>
              </c:numCache>
            </c:numRef>
          </c:xVal>
          <c:yVal>
            <c:numRef>
              <c:f>Peers!$D$37</c:f>
              <c:numCache>
                <c:formatCode>0.0</c:formatCode>
                <c:ptCount val="1"/>
                <c:pt idx="0">
                  <c:v>6.2469942108980678</c:v>
                </c:pt>
              </c:numCache>
            </c:numRef>
          </c:yVal>
          <c:smooth val="0"/>
          <c:extLst>
            <c:ext xmlns:c16="http://schemas.microsoft.com/office/drawing/2014/chart" uri="{C3380CC4-5D6E-409C-BE32-E72D297353CC}">
              <c16:uniqueId val="{00000002-B547-4DF9-892F-3129917FB3B3}"/>
            </c:ext>
          </c:extLst>
        </c:ser>
        <c:ser>
          <c:idx val="2"/>
          <c:order val="2"/>
          <c:tx>
            <c:strRef>
              <c:f>Peers!$E$8</c:f>
              <c:strCache>
                <c:ptCount val="1"/>
                <c:pt idx="0">
                  <c:v>UNITED STATES STEEL CORPORATION (XNYS:X)</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Peers!$E$21</c:f>
              <c:numCache>
                <c:formatCode>0.00</c:formatCode>
                <c:ptCount val="1"/>
                <c:pt idx="0">
                  <c:v>0.70437317784256559</c:v>
                </c:pt>
              </c:numCache>
            </c:numRef>
          </c:xVal>
          <c:yVal>
            <c:numRef>
              <c:f>Peers!$E$37</c:f>
              <c:numCache>
                <c:formatCode>0.0</c:formatCode>
                <c:ptCount val="1"/>
                <c:pt idx="0">
                  <c:v>7.9445034658892135</c:v>
                </c:pt>
              </c:numCache>
            </c:numRef>
          </c:yVal>
          <c:smooth val="0"/>
          <c:extLst>
            <c:ext xmlns:c16="http://schemas.microsoft.com/office/drawing/2014/chart" uri="{C3380CC4-5D6E-409C-BE32-E72D297353CC}">
              <c16:uniqueId val="{00000003-B547-4DF9-892F-3129917FB3B3}"/>
            </c:ext>
          </c:extLst>
        </c:ser>
        <c:ser>
          <c:idx val="3"/>
          <c:order val="3"/>
          <c:tx>
            <c:strRef>
              <c:f>Peers!$F$8</c:f>
              <c:strCache>
                <c:ptCount val="1"/>
                <c:pt idx="0">
                  <c:v>Commercial Metal (XNYS:CMC)</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Peers!$F$21</c:f>
              <c:numCache>
                <c:formatCode>0.00</c:formatCode>
                <c:ptCount val="1"/>
                <c:pt idx="0">
                  <c:v>0.41469262609672941</c:v>
                </c:pt>
              </c:numCache>
            </c:numRef>
          </c:xVal>
          <c:yVal>
            <c:numRef>
              <c:f>Peers!$F$37</c:f>
              <c:numCache>
                <c:formatCode>0.0</c:formatCode>
                <c:ptCount val="1"/>
                <c:pt idx="0">
                  <c:v>5.2905433079590187</c:v>
                </c:pt>
              </c:numCache>
            </c:numRef>
          </c:yVal>
          <c:smooth val="0"/>
          <c:extLst>
            <c:ext xmlns:c16="http://schemas.microsoft.com/office/drawing/2014/chart" uri="{C3380CC4-5D6E-409C-BE32-E72D297353CC}">
              <c16:uniqueId val="{00000004-B547-4DF9-892F-3129917FB3B3}"/>
            </c:ext>
          </c:extLst>
        </c:ser>
        <c:ser>
          <c:idx val="4"/>
          <c:order val="4"/>
          <c:tx>
            <c:strRef>
              <c:f>Peers!$G$8</c:f>
              <c:strCache>
                <c:ptCount val="1"/>
                <c:pt idx="0">
                  <c:v>Cleveland-Cliffs (XNYS:CLF)</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Peers!$G$21</c:f>
              <c:numCache>
                <c:formatCode>0.00</c:formatCode>
                <c:ptCount val="1"/>
                <c:pt idx="0">
                  <c:v>1.5667189952904239</c:v>
                </c:pt>
              </c:numCache>
            </c:numRef>
          </c:xVal>
          <c:yVal>
            <c:numRef>
              <c:f>Peers!$G$37</c:f>
              <c:numCache>
                <c:formatCode>0.0</c:formatCode>
                <c:ptCount val="1"/>
                <c:pt idx="0">
                  <c:v>4.5255715745682892</c:v>
                </c:pt>
              </c:numCache>
            </c:numRef>
          </c:yVal>
          <c:smooth val="0"/>
          <c:extLst>
            <c:ext xmlns:c16="http://schemas.microsoft.com/office/drawing/2014/chart" uri="{C3380CC4-5D6E-409C-BE32-E72D297353CC}">
              <c16:uniqueId val="{00000005-B547-4DF9-892F-3129917FB3B3}"/>
            </c:ext>
          </c:extLst>
        </c:ser>
        <c:ser>
          <c:idx val="5"/>
          <c:order val="5"/>
          <c:tx>
            <c:strRef>
              <c:f>Peers!$H$8</c:f>
            </c:strRef>
          </c:tx>
          <c:spPr>
            <a:ln w="25400" cap="rnd">
              <a:noFill/>
              <a:round/>
            </a:ln>
            <a:effectLst/>
          </c:spPr>
          <c:marker>
            <c:symbol val="circle"/>
            <c:size val="5"/>
            <c:spPr>
              <a:solidFill>
                <a:schemeClr val="accent6"/>
              </a:solidFill>
              <a:ln w="9525">
                <a:solidFill>
                  <a:schemeClr val="accent6"/>
                </a:solidFill>
              </a:ln>
              <a:effectLst/>
            </c:spPr>
          </c:marker>
          <c:xVal>
            <c:strRef>
              <c:f>Peers!$H$21</c:f>
            </c:strRef>
          </c:xVal>
          <c:yVal>
            <c:numRef>
              <c:f>Peers!$H$37</c:f>
            </c:numRef>
          </c:yVal>
          <c:smooth val="0"/>
          <c:extLst>
            <c:ext xmlns:c16="http://schemas.microsoft.com/office/drawing/2014/chart" uri="{C3380CC4-5D6E-409C-BE32-E72D297353CC}">
              <c16:uniqueId val="{00000006-B547-4DF9-892F-3129917FB3B3}"/>
            </c:ext>
          </c:extLst>
        </c:ser>
        <c:dLbls>
          <c:showLegendKey val="0"/>
          <c:showVal val="0"/>
          <c:showCatName val="0"/>
          <c:showSerName val="0"/>
          <c:showPercent val="0"/>
          <c:showBubbleSize val="0"/>
        </c:dLbls>
        <c:axId val="1571673951"/>
        <c:axId val="1289766175"/>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73951"/>
        <c:crosses val="autoZero"/>
        <c:crossBetween val="midCat"/>
      </c:valAx>
      <c:spPr>
        <a:noFill/>
        <a:ln>
          <a:noFill/>
        </a:ln>
        <a:effectLst/>
      </c:spPr>
    </c:plotArea>
    <c:legend>
      <c:legendPos val="r"/>
      <c:layout>
        <c:manualLayout>
          <c:xMode val="edge"/>
          <c:yMode val="edge"/>
          <c:x val="0.79514918527433731"/>
          <c:y val="0.20740538534966782"/>
          <c:w val="0.20485076537264754"/>
          <c:h val="0.44100979088899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Peers!$C$8</c:f>
              <c:strCache>
                <c:ptCount val="1"/>
                <c:pt idx="0">
                  <c:v>NUCOR CORPORATION (XNYS:NUE)</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Peers!$C$44</c:f>
              <c:numCache>
                <c:formatCode>0%</c:formatCode>
                <c:ptCount val="1"/>
                <c:pt idx="0">
                  <c:v>1.9314</c:v>
                </c:pt>
              </c:numCache>
            </c:numRef>
          </c:xVal>
          <c:yVal>
            <c:numRef>
              <c:f>Peers!$C$49</c:f>
              <c:numCache>
                <c:formatCode>0%</c:formatCode>
                <c:ptCount val="1"/>
                <c:pt idx="0">
                  <c:v>1.6370647780785346</c:v>
                </c:pt>
              </c:numCache>
            </c:numRef>
          </c:yVal>
          <c:smooth val="0"/>
          <c:extLst>
            <c:ext xmlns:c16="http://schemas.microsoft.com/office/drawing/2014/chart" uri="{C3380CC4-5D6E-409C-BE32-E72D297353CC}">
              <c16:uniqueId val="{00000000-A0AB-4E28-9E73-D8DF3D5B0514}"/>
            </c:ext>
          </c:extLst>
        </c:ser>
        <c:ser>
          <c:idx val="1"/>
          <c:order val="1"/>
          <c:tx>
            <c:strRef>
              <c:f>Peers!$D$8</c:f>
              <c:strCache>
                <c:ptCount val="1"/>
                <c:pt idx="0">
                  <c:v>Steel Dynamics (XNAS:STLD)</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Peers!$D$44</c:f>
              <c:numCache>
                <c:formatCode>0%</c:formatCode>
                <c:ptCount val="1"/>
                <c:pt idx="0">
                  <c:v>3.3340000000000001</c:v>
                </c:pt>
              </c:numCache>
            </c:numRef>
          </c:xVal>
          <c:yVal>
            <c:numRef>
              <c:f>Peers!$D$49</c:f>
              <c:numCache>
                <c:formatCode>0.00%</c:formatCode>
                <c:ptCount val="1"/>
                <c:pt idx="0">
                  <c:v>3.5653495440729484</c:v>
                </c:pt>
              </c:numCache>
            </c:numRef>
          </c:yVal>
          <c:smooth val="0"/>
          <c:extLst>
            <c:ext xmlns:c16="http://schemas.microsoft.com/office/drawing/2014/chart" uri="{C3380CC4-5D6E-409C-BE32-E72D297353CC}">
              <c16:uniqueId val="{00000001-A0AB-4E28-9E73-D8DF3D5B0514}"/>
            </c:ext>
          </c:extLst>
        </c:ser>
        <c:ser>
          <c:idx val="2"/>
          <c:order val="2"/>
          <c:tx>
            <c:strRef>
              <c:f>Peers!$E$8</c:f>
              <c:strCache>
                <c:ptCount val="1"/>
                <c:pt idx="0">
                  <c:v>UNITED STATES STEEL CORPORATION (XNYS:X)</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Peers!$E$44</c:f>
              <c:numCache>
                <c:formatCode>0%</c:formatCode>
                <c:ptCount val="1"/>
                <c:pt idx="0">
                  <c:v>2.3127</c:v>
                </c:pt>
              </c:numCache>
            </c:numRef>
          </c:xVal>
          <c:yVal>
            <c:numRef>
              <c:f>Peers!$E$49</c:f>
              <c:numCache>
                <c:formatCode>0.00%</c:formatCode>
                <c:ptCount val="1"/>
                <c:pt idx="0">
                  <c:v>15.217391304347826</c:v>
                </c:pt>
              </c:numCache>
            </c:numRef>
          </c:yVal>
          <c:smooth val="0"/>
          <c:extLst>
            <c:ext xmlns:c16="http://schemas.microsoft.com/office/drawing/2014/chart" uri="{C3380CC4-5D6E-409C-BE32-E72D297353CC}">
              <c16:uniqueId val="{00000002-A0AB-4E28-9E73-D8DF3D5B0514}"/>
            </c:ext>
          </c:extLst>
        </c:ser>
        <c:ser>
          <c:idx val="3"/>
          <c:order val="3"/>
          <c:tx>
            <c:strRef>
              <c:f>Peers!$F$8</c:f>
              <c:strCache>
                <c:ptCount val="1"/>
                <c:pt idx="0">
                  <c:v>Commercial Metal (XNYS:CMC)</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Peers!$F$44</c:f>
              <c:numCache>
                <c:formatCode>0%</c:formatCode>
                <c:ptCount val="1"/>
                <c:pt idx="0">
                  <c:v>1.8309</c:v>
                </c:pt>
              </c:numCache>
            </c:numRef>
          </c:xVal>
          <c:yVal>
            <c:numRef>
              <c:f>Peers!$F$49</c:f>
              <c:numCache>
                <c:formatCode>0.00%</c:formatCode>
                <c:ptCount val="1"/>
                <c:pt idx="0">
                  <c:v>10.017608606629896</c:v>
                </c:pt>
              </c:numCache>
            </c:numRef>
          </c:yVal>
          <c:smooth val="0"/>
          <c:extLst>
            <c:ext xmlns:c16="http://schemas.microsoft.com/office/drawing/2014/chart" uri="{C3380CC4-5D6E-409C-BE32-E72D297353CC}">
              <c16:uniqueId val="{00000003-A0AB-4E28-9E73-D8DF3D5B0514}"/>
            </c:ext>
          </c:extLst>
        </c:ser>
        <c:ser>
          <c:idx val="5"/>
          <c:order val="4"/>
          <c:tx>
            <c:strRef>
              <c:f>Peers!$G$8</c:f>
              <c:strCache>
                <c:ptCount val="1"/>
                <c:pt idx="0">
                  <c:v>Cleveland-Cliffs (XNYS:CLF)</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Peers!$G$44</c:f>
              <c:numCache>
                <c:formatCode>0%</c:formatCode>
                <c:ptCount val="1"/>
                <c:pt idx="0">
                  <c:v>0.7964</c:v>
                </c:pt>
              </c:numCache>
            </c:numRef>
          </c:xVal>
          <c:yVal>
            <c:numRef>
              <c:f>Peers!$G$49</c:f>
              <c:numCache>
                <c:formatCode>0.00%</c:formatCode>
                <c:ptCount val="1"/>
                <c:pt idx="0">
                  <c:v>4.108330220395966</c:v>
                </c:pt>
              </c:numCache>
            </c:numRef>
          </c:yVal>
          <c:smooth val="0"/>
          <c:extLst>
            <c:ext xmlns:c16="http://schemas.microsoft.com/office/drawing/2014/chart" uri="{C3380CC4-5D6E-409C-BE32-E72D297353CC}">
              <c16:uniqueId val="{00000005-A0AB-4E28-9E73-D8DF3D5B0514}"/>
            </c:ext>
          </c:extLst>
        </c:ser>
        <c:ser>
          <c:idx val="6"/>
          <c:order val="5"/>
          <c:tx>
            <c:strRef>
              <c:f>Peers!$H$8</c:f>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strRef>
              <c:f>Peers!$H$44</c:f>
            </c:strRef>
          </c:xVal>
          <c:yVal>
            <c:numRef>
              <c:f>Peers!$H$49</c:f>
            </c:numRef>
          </c:yVal>
          <c:smooth val="0"/>
          <c:extLst>
            <c:ext xmlns:c16="http://schemas.microsoft.com/office/drawing/2014/chart" uri="{C3380CC4-5D6E-409C-BE32-E72D297353CC}">
              <c16:uniqueId val="{00000006-A0AB-4E28-9E73-D8DF3D5B0514}"/>
            </c:ext>
          </c:extLst>
        </c:ser>
        <c:dLbls>
          <c:showLegendKey val="0"/>
          <c:showVal val="0"/>
          <c:showCatName val="0"/>
          <c:showSerName val="0"/>
          <c:showPercent val="0"/>
          <c:showBubbleSize val="0"/>
        </c:dLbls>
        <c:axId val="581212960"/>
        <c:axId val="581217120"/>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7018842544974519"/>
          <c:h val="0.43200295105462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a:t>
            </a:r>
            <a:r>
              <a:rPr lang="pt-PT" baseline="0"/>
              <a:t> GHG Scope 1 Emissions (Tonnes)</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spPr>
            <a:ln w="28575" cap="rnd">
              <a:solidFill>
                <a:schemeClr val="accent1"/>
              </a:solidFill>
              <a:round/>
            </a:ln>
            <a:effectLst/>
          </c:spPr>
          <c:marker>
            <c:symbol val="none"/>
          </c:marker>
          <c:cat>
            <c:numRef>
              <c:f>ESG!$Z$6:$AE$6</c:f>
              <c:numCache>
                <c:formatCode>General</c:formatCode>
                <c:ptCount val="6"/>
                <c:pt idx="0">
                  <c:v>2018</c:v>
                </c:pt>
                <c:pt idx="1">
                  <c:v>2019</c:v>
                </c:pt>
                <c:pt idx="2">
                  <c:v>2020</c:v>
                </c:pt>
                <c:pt idx="3">
                  <c:v>2021</c:v>
                </c:pt>
                <c:pt idx="4">
                  <c:v>2022</c:v>
                </c:pt>
                <c:pt idx="5">
                  <c:v>2023</c:v>
                </c:pt>
              </c:numCache>
            </c:numRef>
          </c:cat>
          <c:val>
            <c:numRef>
              <c:f>ESG!$Z$7:$AE$7</c:f>
              <c:numCache>
                <c:formatCode>General</c:formatCode>
                <c:ptCount val="6"/>
                <c:pt idx="0">
                  <c:v>22417073</c:v>
                </c:pt>
                <c:pt idx="1">
                  <c:v>21208537</c:v>
                </c:pt>
                <c:pt idx="2">
                  <c:v>21208537</c:v>
                </c:pt>
                <c:pt idx="3">
                  <c:v>12800000</c:v>
                </c:pt>
                <c:pt idx="4">
                  <c:v>11500000</c:v>
                </c:pt>
                <c:pt idx="5">
                  <c:v>6800000</c:v>
                </c:pt>
              </c:numCache>
            </c:numRef>
          </c:val>
          <c:smooth val="0"/>
          <c:extLst>
            <c:ext xmlns:c16="http://schemas.microsoft.com/office/drawing/2014/chart" uri="{C3380CC4-5D6E-409C-BE32-E72D297353CC}">
              <c16:uniqueId val="{00000000-E639-48AF-9A68-1CB17861ED99}"/>
            </c:ext>
          </c:extLst>
        </c:ser>
        <c:dLbls>
          <c:showLegendKey val="0"/>
          <c:showVal val="0"/>
          <c:showCatName val="0"/>
          <c:showSerName val="0"/>
          <c:showPercent val="0"/>
          <c:showBubbleSize val="0"/>
        </c:dLbls>
        <c:smooth val="0"/>
        <c:axId val="1000877824"/>
        <c:axId val="1000882144"/>
      </c:lineChart>
      <c:catAx>
        <c:axId val="100087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882144"/>
        <c:crosses val="autoZero"/>
        <c:auto val="1"/>
        <c:lblAlgn val="ctr"/>
        <c:lblOffset val="100"/>
        <c:noMultiLvlLbl val="0"/>
      </c:catAx>
      <c:valAx>
        <c:axId val="100088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877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sz="1400" b="0" i="0" u="none" strike="noStrike" kern="1200" spc="0" baseline="0">
                <a:solidFill>
                  <a:sysClr val="windowText" lastClr="000000">
                    <a:lumMod val="65000"/>
                    <a:lumOff val="35000"/>
                  </a:sysClr>
                </a:solidFill>
              </a:rPr>
              <a:t>Total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ESG!$Z$6:$AE$6</c:f>
              <c:numCache>
                <c:formatCode>General</c:formatCode>
                <c:ptCount val="6"/>
                <c:pt idx="0">
                  <c:v>2018</c:v>
                </c:pt>
                <c:pt idx="1">
                  <c:v>2019</c:v>
                </c:pt>
                <c:pt idx="2">
                  <c:v>2020</c:v>
                </c:pt>
                <c:pt idx="3">
                  <c:v>2021</c:v>
                </c:pt>
                <c:pt idx="4">
                  <c:v>2022</c:v>
                </c:pt>
                <c:pt idx="5">
                  <c:v>2023</c:v>
                </c:pt>
              </c:numCache>
            </c:numRef>
          </c:cat>
          <c:val>
            <c:numRef>
              <c:f>ESG!$Z$8:$AE$8</c:f>
              <c:numCache>
                <c:formatCode>General</c:formatCode>
                <c:ptCount val="6"/>
                <c:pt idx="0">
                  <c:v>25000000</c:v>
                </c:pt>
                <c:pt idx="1">
                  <c:v>27000000</c:v>
                </c:pt>
                <c:pt idx="2">
                  <c:v>27000000</c:v>
                </c:pt>
                <c:pt idx="3">
                  <c:v>28000000</c:v>
                </c:pt>
                <c:pt idx="4">
                  <c:v>31000000</c:v>
                </c:pt>
                <c:pt idx="5">
                  <c:v>29960000</c:v>
                </c:pt>
              </c:numCache>
            </c:numRef>
          </c:val>
          <c:smooth val="0"/>
          <c:extLst>
            <c:ext xmlns:c16="http://schemas.microsoft.com/office/drawing/2014/chart" uri="{C3380CC4-5D6E-409C-BE32-E72D297353CC}">
              <c16:uniqueId val="{00000000-1352-4488-8ADD-03E138153CA2}"/>
            </c:ext>
          </c:extLst>
        </c:ser>
        <c:dLbls>
          <c:showLegendKey val="0"/>
          <c:showVal val="0"/>
          <c:showCatName val="0"/>
          <c:showSerName val="0"/>
          <c:showPercent val="0"/>
          <c:showBubbleSize val="0"/>
        </c:dLbls>
        <c:smooth val="0"/>
        <c:axId val="936518864"/>
        <c:axId val="936519824"/>
      </c:lineChart>
      <c:catAx>
        <c:axId val="93651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19824"/>
        <c:crosses val="autoZero"/>
        <c:auto val="1"/>
        <c:lblAlgn val="ctr"/>
        <c:lblOffset val="100"/>
        <c:noMultiLvlLbl val="0"/>
      </c:catAx>
      <c:valAx>
        <c:axId val="936519824"/>
        <c:scaling>
          <c:orientation val="minMax"/>
          <c:min val="240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18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jpeg"/><Relationship Id="rId2" Type="http://schemas.openxmlformats.org/officeDocument/2006/relationships/image" Target="../media/image3.jpeg"/><Relationship Id="rId1" Type="http://schemas.openxmlformats.org/officeDocument/2006/relationships/chart" Target="../charts/chart1.xml"/><Relationship Id="rId6" Type="http://schemas.openxmlformats.org/officeDocument/2006/relationships/image" Target="../media/image7.jpeg"/><Relationship Id="rId11" Type="http://schemas.openxmlformats.org/officeDocument/2006/relationships/hyperlink" Target="https://www.grandviewresearch.com/industry-analysis/steel-market" TargetMode="External"/><Relationship Id="rId5" Type="http://schemas.openxmlformats.org/officeDocument/2006/relationships/image" Target="../media/image6.jpeg"/><Relationship Id="rId10" Type="http://schemas.openxmlformats.org/officeDocument/2006/relationships/image" Target="../media/image11.png"/><Relationship Id="rId4" Type="http://schemas.openxmlformats.org/officeDocument/2006/relationships/image" Target="../media/image5.jpeg"/><Relationship Id="rId9" Type="http://schemas.openxmlformats.org/officeDocument/2006/relationships/image" Target="../media/image10.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18</xdr:row>
      <xdr:rowOff>80140</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18</xdr:row>
      <xdr:rowOff>80140</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18</xdr:row>
      <xdr:rowOff>80140</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1253923</xdr:colOff>
      <xdr:row>82</xdr:row>
      <xdr:rowOff>82252</xdr:rowOff>
    </xdr:from>
    <xdr:to>
      <xdr:col>12</xdr:col>
      <xdr:colOff>376878</xdr:colOff>
      <xdr:row>105</xdr:row>
      <xdr:rowOff>33646</xdr:rowOff>
    </xdr:to>
    <xdr:pic>
      <xdr:nvPicPr>
        <xdr:cNvPr id="3" name="Imagem 1">
          <a:extLst>
            <a:ext uri="{FF2B5EF4-FFF2-40B4-BE49-F238E27FC236}">
              <a16:creationId xmlns:a16="http://schemas.microsoft.com/office/drawing/2014/main" id="{CBA3A129-1DE1-CF0A-BF40-C80A25682CA5}"/>
            </a:ext>
          </a:extLst>
        </xdr:cNvPr>
        <xdr:cNvPicPr>
          <a:picLocks noChangeAspect="1"/>
        </xdr:cNvPicPr>
      </xdr:nvPicPr>
      <xdr:blipFill>
        <a:blip xmlns:r="http://schemas.openxmlformats.org/officeDocument/2006/relationships" r:embed="rId1"/>
        <a:stretch>
          <a:fillRect/>
        </a:stretch>
      </xdr:blipFill>
      <xdr:spPr>
        <a:xfrm>
          <a:off x="10041037" y="14849619"/>
          <a:ext cx="5683621" cy="37113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232660</xdr:colOff>
      <xdr:row>26</xdr:row>
      <xdr:rowOff>61963</xdr:rowOff>
    </xdr:from>
    <xdr:to>
      <xdr:col>14</xdr:col>
      <xdr:colOff>268942</xdr:colOff>
      <xdr:row>39</xdr:row>
      <xdr:rowOff>257735</xdr:rowOff>
    </xdr:to>
    <xdr:graphicFrame macro="">
      <xdr:nvGraphicFramePr>
        <xdr:cNvPr id="3"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19050</xdr:colOff>
      <xdr:row>67</xdr:row>
      <xdr:rowOff>47625</xdr:rowOff>
    </xdr:from>
    <xdr:to>
      <xdr:col>35</xdr:col>
      <xdr:colOff>209550</xdr:colOff>
      <xdr:row>73</xdr:row>
      <xdr:rowOff>28575</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795168BE-2BCC-E14D-F42E-6CD34F49FE73}"/>
            </a:ext>
          </a:extLst>
        </xdr:cNvPr>
        <xdr:cNvSpPr/>
      </xdr:nvSpPr>
      <xdr:spPr bwMode="auto">
        <a:xfrm>
          <a:off x="29794200" y="10391775"/>
          <a:ext cx="952500" cy="952500"/>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editAs="oneCell">
    <xdr:from>
      <xdr:col>15</xdr:col>
      <xdr:colOff>819430</xdr:colOff>
      <xdr:row>2</xdr:row>
      <xdr:rowOff>0</xdr:rowOff>
    </xdr:from>
    <xdr:to>
      <xdr:col>20</xdr:col>
      <xdr:colOff>34249</xdr:colOff>
      <xdr:row>20</xdr:row>
      <xdr:rowOff>0</xdr:rowOff>
    </xdr:to>
    <xdr:pic>
      <xdr:nvPicPr>
        <xdr:cNvPr id="2" name="Picture 1" descr="What's the Difference Between Sheet Steel and Stainless Steel? - Redditch |  Coventry - Rapid Metals">
          <a:extLst>
            <a:ext uri="{FF2B5EF4-FFF2-40B4-BE49-F238E27FC236}">
              <a16:creationId xmlns:a16="http://schemas.microsoft.com/office/drawing/2014/main" id="{4F58E16C-E91D-A04F-6324-36619A6C57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956199" y="364787"/>
          <a:ext cx="4155862" cy="209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784411</xdr:colOff>
      <xdr:row>2</xdr:row>
      <xdr:rowOff>13220</xdr:rowOff>
    </xdr:from>
    <xdr:to>
      <xdr:col>25</xdr:col>
      <xdr:colOff>1170</xdr:colOff>
      <xdr:row>25</xdr:row>
      <xdr:rowOff>118981</xdr:rowOff>
    </xdr:to>
    <xdr:pic>
      <xdr:nvPicPr>
        <xdr:cNvPr id="4" name="Picture 3" descr="Differences between Structural Steel and Mild Steel">
          <a:extLst>
            <a:ext uri="{FF2B5EF4-FFF2-40B4-BE49-F238E27FC236}">
              <a16:creationId xmlns:a16="http://schemas.microsoft.com/office/drawing/2014/main" id="{CBBF6308-3D8F-516E-B76C-32CB666D01B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067058" y="377411"/>
          <a:ext cx="4114011" cy="258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796324</xdr:colOff>
      <xdr:row>15</xdr:row>
      <xdr:rowOff>79678</xdr:rowOff>
    </xdr:from>
    <xdr:to>
      <xdr:col>20</xdr:col>
      <xdr:colOff>224871</xdr:colOff>
      <xdr:row>29</xdr:row>
      <xdr:rowOff>110145</xdr:rowOff>
    </xdr:to>
    <xdr:pic>
      <xdr:nvPicPr>
        <xdr:cNvPr id="5" name="Picture 4" descr="20mm TMT Steel Bar, For Construction, Grade: Fe 500 at Rs 5846/kg in  Dehradun">
          <a:extLst>
            <a:ext uri="{FF2B5EF4-FFF2-40B4-BE49-F238E27FC236}">
              <a16:creationId xmlns:a16="http://schemas.microsoft.com/office/drawing/2014/main" id="{155F6A77-AFAD-6A65-4B41-9EA5DEEE6A9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933093" y="2460928"/>
          <a:ext cx="4371495" cy="2198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7629</xdr:colOff>
      <xdr:row>37</xdr:row>
      <xdr:rowOff>323169</xdr:rowOff>
    </xdr:from>
    <xdr:to>
      <xdr:col>20</xdr:col>
      <xdr:colOff>42843</xdr:colOff>
      <xdr:row>44</xdr:row>
      <xdr:rowOff>2685</xdr:rowOff>
    </xdr:to>
    <xdr:pic>
      <xdr:nvPicPr>
        <xdr:cNvPr id="6" name="Picture 5" descr="Steel for Cars: Types of Steel in Automotive Industry Applications - APW">
          <a:extLst>
            <a:ext uri="{FF2B5EF4-FFF2-40B4-BE49-F238E27FC236}">
              <a16:creationId xmlns:a16="http://schemas.microsoft.com/office/drawing/2014/main" id="{D078B9F4-1EDD-4AB4-B8D0-A831BBD865F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957027" y="6820580"/>
          <a:ext cx="4163689" cy="2555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812427</xdr:colOff>
      <xdr:row>15</xdr:row>
      <xdr:rowOff>77040</xdr:rowOff>
    </xdr:from>
    <xdr:to>
      <xdr:col>25</xdr:col>
      <xdr:colOff>494</xdr:colOff>
      <xdr:row>29</xdr:row>
      <xdr:rowOff>109741</xdr:rowOff>
    </xdr:to>
    <xdr:pic>
      <xdr:nvPicPr>
        <xdr:cNvPr id="8" name="Picture 7" descr="How Insulated Metal Panels Enhance The Design Of Your Building">
          <a:extLst>
            <a:ext uri="{FF2B5EF4-FFF2-40B4-BE49-F238E27FC236}">
              <a16:creationId xmlns:a16="http://schemas.microsoft.com/office/drawing/2014/main" id="{8C8770F1-A8DF-E454-CF5C-10F9DD3FBA9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084385" y="2458290"/>
          <a:ext cx="4100467" cy="21972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25514</xdr:colOff>
      <xdr:row>37</xdr:row>
      <xdr:rowOff>297656</xdr:rowOff>
    </xdr:from>
    <xdr:to>
      <xdr:col>25</xdr:col>
      <xdr:colOff>2006</xdr:colOff>
      <xdr:row>43</xdr:row>
      <xdr:rowOff>689860</xdr:rowOff>
    </xdr:to>
    <xdr:pic>
      <xdr:nvPicPr>
        <xdr:cNvPr id="10" name="Picture 9" descr="Benefits of using steel in the warehouse industry – MRS STEEL">
          <a:extLst>
            <a:ext uri="{FF2B5EF4-FFF2-40B4-BE49-F238E27FC236}">
              <a16:creationId xmlns:a16="http://schemas.microsoft.com/office/drawing/2014/main" id="{9883A7F3-6B86-C2F6-18E5-4C0169EE799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118376" y="6802228"/>
          <a:ext cx="4060210" cy="2584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812427</xdr:colOff>
      <xdr:row>26</xdr:row>
      <xdr:rowOff>217114</xdr:rowOff>
    </xdr:from>
    <xdr:to>
      <xdr:col>25</xdr:col>
      <xdr:colOff>2006</xdr:colOff>
      <xdr:row>37</xdr:row>
      <xdr:rowOff>338506</xdr:rowOff>
    </xdr:to>
    <xdr:pic>
      <xdr:nvPicPr>
        <xdr:cNvPr id="11" name="Picture 10" descr="PalPile B.V. – Steel Piling Products">
          <a:extLst>
            <a:ext uri="{FF2B5EF4-FFF2-40B4-BE49-F238E27FC236}">
              <a16:creationId xmlns:a16="http://schemas.microsoft.com/office/drawing/2014/main" id="{BDC9F5FA-74A0-1877-500C-0BBF5CC3878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1084385" y="4660026"/>
          <a:ext cx="4094201" cy="2164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798419</xdr:colOff>
      <xdr:row>26</xdr:row>
      <xdr:rowOff>207726</xdr:rowOff>
    </xdr:from>
    <xdr:to>
      <xdr:col>20</xdr:col>
      <xdr:colOff>34345</xdr:colOff>
      <xdr:row>37</xdr:row>
      <xdr:rowOff>308891</xdr:rowOff>
    </xdr:to>
    <xdr:pic>
      <xdr:nvPicPr>
        <xdr:cNvPr id="12" name="Picture 11" descr="Customised Solar Structure at Rs 95/kg | मॉड्यूल माउंटिंग स्ट्रक्चर in  Hyderabad | ID: 2851831668473">
          <a:extLst>
            <a:ext uri="{FF2B5EF4-FFF2-40B4-BE49-F238E27FC236}">
              <a16:creationId xmlns:a16="http://schemas.microsoft.com/office/drawing/2014/main" id="{2210472D-4348-31F3-9934-C001288466A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935188" y="4656104"/>
          <a:ext cx="4182684" cy="2168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104775</xdr:colOff>
      <xdr:row>45</xdr:row>
      <xdr:rowOff>66674</xdr:rowOff>
    </xdr:from>
    <xdr:to>
      <xdr:col>16</xdr:col>
      <xdr:colOff>1486497</xdr:colOff>
      <xdr:row>67</xdr:row>
      <xdr:rowOff>34290</xdr:rowOff>
    </xdr:to>
    <xdr:pic>
      <xdr:nvPicPr>
        <xdr:cNvPr id="7" name="Picture 6">
          <a:extLst>
            <a:ext uri="{FF2B5EF4-FFF2-40B4-BE49-F238E27FC236}">
              <a16:creationId xmlns:a16="http://schemas.microsoft.com/office/drawing/2014/main" id="{F757B0F5-0BC1-843A-F5B0-D92F6198A33A}"/>
            </a:ext>
          </a:extLst>
        </xdr:cNvPr>
        <xdr:cNvPicPr>
          <a:picLocks noChangeAspect="1"/>
        </xdr:cNvPicPr>
      </xdr:nvPicPr>
      <xdr:blipFill>
        <a:blip xmlns:r="http://schemas.openxmlformats.org/officeDocument/2006/relationships" r:embed="rId10"/>
        <a:stretch>
          <a:fillRect/>
        </a:stretch>
      </xdr:blipFill>
      <xdr:spPr>
        <a:xfrm>
          <a:off x="10182225" y="8362949"/>
          <a:ext cx="7096722" cy="3743326"/>
        </a:xfrm>
        <a:prstGeom prst="rect">
          <a:avLst/>
        </a:prstGeom>
      </xdr:spPr>
    </xdr:pic>
    <xdr:clientData/>
  </xdr:twoCellAnchor>
  <xdr:twoCellAnchor>
    <xdr:from>
      <xdr:col>9</xdr:col>
      <xdr:colOff>76200</xdr:colOff>
      <xdr:row>67</xdr:row>
      <xdr:rowOff>57150</xdr:rowOff>
    </xdr:from>
    <xdr:to>
      <xdr:col>16</xdr:col>
      <xdr:colOff>1419225</xdr:colOff>
      <xdr:row>69</xdr:row>
      <xdr:rowOff>85725</xdr:rowOff>
    </xdr:to>
    <xdr:sp macro="" textlink="">
      <xdr:nvSpPr>
        <xdr:cNvPr id="13" name="TextBox 12">
          <a:hlinkClick xmlns:r="http://schemas.openxmlformats.org/officeDocument/2006/relationships" r:id="rId11"/>
          <a:extLst>
            <a:ext uri="{FF2B5EF4-FFF2-40B4-BE49-F238E27FC236}">
              <a16:creationId xmlns:a16="http://schemas.microsoft.com/office/drawing/2014/main" id="{F4FE1400-1C27-04EC-91CD-3A19633CAEA2}"/>
            </a:ext>
          </a:extLst>
        </xdr:cNvPr>
        <xdr:cNvSpPr txBox="1"/>
      </xdr:nvSpPr>
      <xdr:spPr>
        <a:xfrm>
          <a:off x="10153650" y="12144375"/>
          <a:ext cx="705802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pt-PT" sz="1300" b="0" i="0" u="sng">
              <a:solidFill>
                <a:srgbClr val="0070C0"/>
              </a:solidFill>
              <a:effectLst/>
              <a:latin typeface="+mn-lt"/>
              <a:ea typeface="+mn-ea"/>
              <a:cs typeface="+mn-cs"/>
            </a:rPr>
            <a:t>Steel Market Size &amp; Trends</a:t>
          </a:r>
          <a:r>
            <a:rPr lang="pt-PT" sz="1300" b="0" i="0" u="sng" kern="1200">
              <a:solidFill>
                <a:srgbClr val="0070C0"/>
              </a:solidFill>
              <a:effectLst/>
              <a:latin typeface="+mn-lt"/>
              <a:ea typeface="+mn-ea"/>
              <a:cs typeface="+mn-cs"/>
            </a:rPr>
            <a:t>,</a:t>
          </a:r>
          <a:r>
            <a:rPr lang="pt-PT" sz="1300" b="0" i="0" u="sng" kern="1200" baseline="0">
              <a:solidFill>
                <a:srgbClr val="0070C0"/>
              </a:solidFill>
              <a:effectLst/>
              <a:latin typeface="+mn-lt"/>
              <a:ea typeface="+mn-ea"/>
              <a:cs typeface="+mn-cs"/>
            </a:rPr>
            <a:t> Grand View Research</a:t>
          </a:r>
          <a:endParaRPr lang="pt-PT" sz="1300" b="0" i="0" u="sng">
            <a:solidFill>
              <a:srgbClr val="0070C0"/>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21</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5D67A490-620E-4BB6-ACF8-2FBAECF65CB2}"/>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528777</xdr:colOff>
      <xdr:row>17</xdr:row>
      <xdr:rowOff>56029</xdr:rowOff>
    </xdr:from>
    <xdr:to>
      <xdr:col>18</xdr:col>
      <xdr:colOff>702468</xdr:colOff>
      <xdr:row>33</xdr:row>
      <xdr:rowOff>114301</xdr:rowOff>
    </xdr:to>
    <xdr:graphicFrame macro="">
      <xdr:nvGraphicFramePr>
        <xdr:cNvPr id="2" name="Chart 1">
          <a:extLst>
            <a:ext uri="{FF2B5EF4-FFF2-40B4-BE49-F238E27FC236}">
              <a16:creationId xmlns:a16="http://schemas.microsoft.com/office/drawing/2014/main" i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107156</xdr:colOff>
      <xdr:row>33</xdr:row>
      <xdr:rowOff>142875</xdr:rowOff>
    </xdr:from>
    <xdr:to>
      <xdr:col>20</xdr:col>
      <xdr:colOff>273843</xdr:colOff>
      <xdr:row>50</xdr:row>
      <xdr:rowOff>142875</xdr:rowOff>
    </xdr:to>
    <xdr:graphicFrame macro="">
      <xdr:nvGraphicFramePr>
        <xdr:cNvPr id="3" name="Chart 2">
          <a:extLst>
            <a:ext uri="{FF2B5EF4-FFF2-40B4-BE49-F238E27FC236}">
              <a16:creationId xmlns:a16="http://schemas.microsoft.com/office/drawing/2014/main" id="{06EE3DBE-321E-4EF6-A0A4-D90C4883E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2095500</xdr:colOff>
      <xdr:row>1</xdr:row>
      <xdr:rowOff>1028700</xdr:rowOff>
    </xdr:to>
    <xdr:pic>
      <xdr:nvPicPr>
        <xdr:cNvPr id="4" name="Imagem 3">
          <a:extLst>
            <a:ext uri="{FF2B5EF4-FFF2-40B4-BE49-F238E27FC236}">
              <a16:creationId xmlns:a16="http://schemas.microsoft.com/office/drawing/2014/main" id="{BC3AFE3E-66DE-B67D-A827-C6898D10D865}"/>
            </a:ext>
            <a:ext uri="{147F2762-F138-4A5C-976F-8EAC2B608ADB}">
              <a16:predDERef xmlns:a16="http://schemas.microsoft.com/office/drawing/2014/main" pred="{06EE3DBE-321E-4EF6-A0A4-D90C4883E80D}"/>
            </a:ext>
          </a:extLst>
        </xdr:cNvPr>
        <xdr:cNvPicPr>
          <a:picLocks noChangeAspect="1"/>
        </xdr:cNvPicPr>
      </xdr:nvPicPr>
      <xdr:blipFill>
        <a:blip xmlns:r="http://schemas.openxmlformats.org/officeDocument/2006/relationships" r:embed="rId3"/>
        <a:stretch>
          <a:fillRect/>
        </a:stretch>
      </xdr:blipFill>
      <xdr:spPr>
        <a:xfrm>
          <a:off x="28575" y="171450"/>
          <a:ext cx="2095500" cy="1028700"/>
        </a:xfrm>
        <a:prstGeom prst="rect">
          <a:avLst/>
        </a:prstGeom>
      </xdr:spPr>
    </xdr:pic>
    <xdr:clientData/>
  </xdr:twoCellAnchor>
  <xdr:twoCellAnchor editAs="oneCell">
    <xdr:from>
      <xdr:col>1</xdr:col>
      <xdr:colOff>504825</xdr:colOff>
      <xdr:row>2</xdr:row>
      <xdr:rowOff>9525</xdr:rowOff>
    </xdr:from>
    <xdr:to>
      <xdr:col>1</xdr:col>
      <xdr:colOff>1504950</xdr:colOff>
      <xdr:row>2</xdr:row>
      <xdr:rowOff>1019175</xdr:rowOff>
    </xdr:to>
    <xdr:pic>
      <xdr:nvPicPr>
        <xdr:cNvPr id="5" name="Imagem 4">
          <a:extLst>
            <a:ext uri="{FF2B5EF4-FFF2-40B4-BE49-F238E27FC236}">
              <a16:creationId xmlns:a16="http://schemas.microsoft.com/office/drawing/2014/main" id="{2A57B173-B2D1-AD86-F6BC-7DF6038FDDC1}"/>
            </a:ext>
            <a:ext uri="{147F2762-F138-4A5C-976F-8EAC2B608ADB}">
              <a16:predDERef xmlns:a16="http://schemas.microsoft.com/office/drawing/2014/main" pred="{BC3AFE3E-66DE-B67D-A827-C6898D10D865}"/>
            </a:ext>
          </a:extLst>
        </xdr:cNvPr>
        <xdr:cNvPicPr>
          <a:picLocks noChangeAspect="1"/>
        </xdr:cNvPicPr>
      </xdr:nvPicPr>
      <xdr:blipFill>
        <a:blip xmlns:r="http://schemas.openxmlformats.org/officeDocument/2006/relationships" r:embed="rId4"/>
        <a:stretch>
          <a:fillRect/>
        </a:stretch>
      </xdr:blipFill>
      <xdr:spPr>
        <a:xfrm>
          <a:off x="533400" y="1219200"/>
          <a:ext cx="1000125" cy="1009650"/>
        </a:xfrm>
        <a:prstGeom prst="rect">
          <a:avLst/>
        </a:prstGeom>
      </xdr:spPr>
    </xdr:pic>
    <xdr:clientData/>
  </xdr:twoCellAnchor>
  <xdr:twoCellAnchor editAs="oneCell">
    <xdr:from>
      <xdr:col>1</xdr:col>
      <xdr:colOff>171450</xdr:colOff>
      <xdr:row>3</xdr:row>
      <xdr:rowOff>0</xdr:rowOff>
    </xdr:from>
    <xdr:to>
      <xdr:col>1</xdr:col>
      <xdr:colOff>1990725</xdr:colOff>
      <xdr:row>3</xdr:row>
      <xdr:rowOff>1019175</xdr:rowOff>
    </xdr:to>
    <xdr:pic>
      <xdr:nvPicPr>
        <xdr:cNvPr id="6" name="Imagem 5">
          <a:extLst>
            <a:ext uri="{FF2B5EF4-FFF2-40B4-BE49-F238E27FC236}">
              <a16:creationId xmlns:a16="http://schemas.microsoft.com/office/drawing/2014/main" id="{64D1A053-2D1C-E3F4-0236-DD82D16DDE34}"/>
            </a:ext>
            <a:ext uri="{147F2762-F138-4A5C-976F-8EAC2B608ADB}">
              <a16:predDERef xmlns:a16="http://schemas.microsoft.com/office/drawing/2014/main" pred="{2A57B173-B2D1-AD86-F6BC-7DF6038FDDC1}"/>
            </a:ext>
          </a:extLst>
        </xdr:cNvPr>
        <xdr:cNvPicPr>
          <a:picLocks noChangeAspect="1"/>
        </xdr:cNvPicPr>
      </xdr:nvPicPr>
      <xdr:blipFill>
        <a:blip xmlns:r="http://schemas.openxmlformats.org/officeDocument/2006/relationships" r:embed="rId5"/>
        <a:stretch>
          <a:fillRect/>
        </a:stretch>
      </xdr:blipFill>
      <xdr:spPr>
        <a:xfrm>
          <a:off x="200025" y="2247900"/>
          <a:ext cx="1819275" cy="1019175"/>
        </a:xfrm>
        <a:prstGeom prst="rect">
          <a:avLst/>
        </a:prstGeom>
      </xdr:spPr>
    </xdr:pic>
    <xdr:clientData/>
  </xdr:twoCellAnchor>
  <xdr:twoCellAnchor editAs="oneCell">
    <xdr:from>
      <xdr:col>1</xdr:col>
      <xdr:colOff>0</xdr:colOff>
      <xdr:row>4</xdr:row>
      <xdr:rowOff>0</xdr:rowOff>
    </xdr:from>
    <xdr:to>
      <xdr:col>1</xdr:col>
      <xdr:colOff>2085975</xdr:colOff>
      <xdr:row>4</xdr:row>
      <xdr:rowOff>1019175</xdr:rowOff>
    </xdr:to>
    <xdr:pic>
      <xdr:nvPicPr>
        <xdr:cNvPr id="7" name="Imagem 6">
          <a:extLst>
            <a:ext uri="{FF2B5EF4-FFF2-40B4-BE49-F238E27FC236}">
              <a16:creationId xmlns:a16="http://schemas.microsoft.com/office/drawing/2014/main" id="{50745A1D-7833-9BCC-4CD6-2FCB6ACD2019}"/>
            </a:ext>
            <a:ext uri="{147F2762-F138-4A5C-976F-8EAC2B608ADB}">
              <a16:predDERef xmlns:a16="http://schemas.microsoft.com/office/drawing/2014/main" pred="{64D1A053-2D1C-E3F4-0236-DD82D16DDE34}"/>
            </a:ext>
          </a:extLst>
        </xdr:cNvPr>
        <xdr:cNvPicPr>
          <a:picLocks noChangeAspect="1"/>
        </xdr:cNvPicPr>
      </xdr:nvPicPr>
      <xdr:blipFill>
        <a:blip xmlns:r="http://schemas.openxmlformats.org/officeDocument/2006/relationships" r:embed="rId6"/>
        <a:stretch>
          <a:fillRect/>
        </a:stretch>
      </xdr:blipFill>
      <xdr:spPr>
        <a:xfrm>
          <a:off x="28575" y="3286125"/>
          <a:ext cx="2085975" cy="10191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18</xdr:col>
      <xdr:colOff>238122</xdr:colOff>
      <xdr:row>1</xdr:row>
      <xdr:rowOff>30360</xdr:rowOff>
    </xdr:from>
    <xdr:to>
      <xdr:col>22</xdr:col>
      <xdr:colOff>1226342</xdr:colOff>
      <xdr:row>15</xdr:row>
      <xdr:rowOff>148827</xdr:rowOff>
    </xdr:to>
    <xdr:graphicFrame macro="">
      <xdr:nvGraphicFramePr>
        <xdr:cNvPr id="46" name="Gráfico 1">
          <a:extLst>
            <a:ext uri="{FF2B5EF4-FFF2-40B4-BE49-F238E27FC236}">
              <a16:creationId xmlns:a16="http://schemas.microsoft.com/office/drawing/2014/main" id="{C2E13429-BE54-740E-5B5B-6CB2FEF82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238124</xdr:colOff>
      <xdr:row>15</xdr:row>
      <xdr:rowOff>375046</xdr:rowOff>
    </xdr:from>
    <xdr:to>
      <xdr:col>22</xdr:col>
      <xdr:colOff>1250155</xdr:colOff>
      <xdr:row>33</xdr:row>
      <xdr:rowOff>17859</xdr:rowOff>
    </xdr:to>
    <xdr:graphicFrame macro="">
      <xdr:nvGraphicFramePr>
        <xdr:cNvPr id="261" name="Gráfico 2">
          <a:extLst>
            <a:ext uri="{FF2B5EF4-FFF2-40B4-BE49-F238E27FC236}">
              <a16:creationId xmlns:a16="http://schemas.microsoft.com/office/drawing/2014/main" id="{E37E4C0F-B748-3E36-04B5-6FF947910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430374</xdr:colOff>
      <xdr:row>52</xdr:row>
      <xdr:rowOff>35655</xdr:rowOff>
    </xdr:from>
    <xdr:to>
      <xdr:col>13</xdr:col>
      <xdr:colOff>986213</xdr:colOff>
      <xdr:row>64</xdr:row>
      <xdr:rowOff>1042</xdr:rowOff>
    </xdr:to>
    <xdr:pic>
      <xdr:nvPicPr>
        <xdr:cNvPr id="19" name="Picture 2">
          <a:extLst>
            <a:ext uri="{FF2B5EF4-FFF2-40B4-BE49-F238E27FC236}">
              <a16:creationId xmlns:a16="http://schemas.microsoft.com/office/drawing/2014/main" id="{CCE8358D-3974-9ED3-1D44-D3D76582E05A}"/>
            </a:ext>
          </a:extLst>
        </xdr:cNvPr>
        <xdr:cNvPicPr>
          <a:picLocks noChangeAspect="1"/>
        </xdr:cNvPicPr>
      </xdr:nvPicPr>
      <xdr:blipFill>
        <a:blip xmlns:r="http://schemas.openxmlformats.org/officeDocument/2006/relationships" r:embed="rId1"/>
        <a:stretch>
          <a:fillRect/>
        </a:stretch>
      </xdr:blipFill>
      <xdr:spPr>
        <a:xfrm>
          <a:off x="16773687" y="8751030"/>
          <a:ext cx="3024401" cy="1842659"/>
        </a:xfrm>
        <a:prstGeom prst="rect">
          <a:avLst/>
        </a:prstGeom>
      </xdr:spPr>
    </xdr:pic>
    <xdr:clientData/>
  </xdr:twoCellAnchor>
  <xdr:twoCellAnchor editAs="oneCell">
    <xdr:from>
      <xdr:col>8</xdr:col>
      <xdr:colOff>335691</xdr:colOff>
      <xdr:row>52</xdr:row>
      <xdr:rowOff>39156</xdr:rowOff>
    </xdr:from>
    <xdr:to>
      <xdr:col>11</xdr:col>
      <xdr:colOff>225058</xdr:colOff>
      <xdr:row>63</xdr:row>
      <xdr:rowOff>115384</xdr:rowOff>
    </xdr:to>
    <xdr:pic>
      <xdr:nvPicPr>
        <xdr:cNvPr id="9" name="Picture 2">
          <a:extLst>
            <a:ext uri="{FF2B5EF4-FFF2-40B4-BE49-F238E27FC236}">
              <a16:creationId xmlns:a16="http://schemas.microsoft.com/office/drawing/2014/main" id="{7CED1CA8-981D-1103-6D6A-D96F7E17E62A}"/>
            </a:ext>
          </a:extLst>
        </xdr:cNvPr>
        <xdr:cNvPicPr>
          <a:picLocks noChangeAspect="1"/>
        </xdr:cNvPicPr>
      </xdr:nvPicPr>
      <xdr:blipFill>
        <a:blip xmlns:r="http://schemas.openxmlformats.org/officeDocument/2006/relationships" r:embed="rId2"/>
        <a:stretch>
          <a:fillRect/>
        </a:stretch>
      </xdr:blipFill>
      <xdr:spPr>
        <a:xfrm>
          <a:off x="12025153" y="9359317"/>
          <a:ext cx="3959943" cy="1803701"/>
        </a:xfrm>
        <a:prstGeom prst="rect">
          <a:avLst/>
        </a:prstGeom>
      </xdr:spPr>
    </xdr:pic>
    <xdr:clientData/>
  </xdr:twoCellAnchor>
  <xdr:twoCellAnchor editAs="oneCell">
    <xdr:from>
      <xdr:col>15</xdr:col>
      <xdr:colOff>609119</xdr:colOff>
      <xdr:row>16</xdr:row>
      <xdr:rowOff>177800</xdr:rowOff>
    </xdr:from>
    <xdr:to>
      <xdr:col>17</xdr:col>
      <xdr:colOff>682558</xdr:colOff>
      <xdr:row>32</xdr:row>
      <xdr:rowOff>34252</xdr:rowOff>
    </xdr:to>
    <xdr:pic>
      <xdr:nvPicPr>
        <xdr:cNvPr id="10" name="Picture 4">
          <a:extLst>
            <a:ext uri="{FF2B5EF4-FFF2-40B4-BE49-F238E27FC236}">
              <a16:creationId xmlns:a16="http://schemas.microsoft.com/office/drawing/2014/main" id="{7ED3227F-33C1-A305-B173-ADA6BE435F5E}"/>
            </a:ext>
          </a:extLst>
        </xdr:cNvPr>
        <xdr:cNvPicPr>
          <a:picLocks noChangeAspect="1"/>
        </xdr:cNvPicPr>
      </xdr:nvPicPr>
      <xdr:blipFill>
        <a:blip xmlns:r="http://schemas.openxmlformats.org/officeDocument/2006/relationships" r:embed="rId3"/>
        <a:stretch>
          <a:fillRect/>
        </a:stretch>
      </xdr:blipFill>
      <xdr:spPr>
        <a:xfrm>
          <a:off x="16261869" y="2857500"/>
          <a:ext cx="2169488" cy="2683472"/>
        </a:xfrm>
        <a:prstGeom prst="rect">
          <a:avLst/>
        </a:prstGeom>
      </xdr:spPr>
    </xdr:pic>
    <xdr:clientData/>
  </xdr:twoCellAnchor>
  <xdr:twoCellAnchor editAs="oneCell">
    <xdr:from>
      <xdr:col>15</xdr:col>
      <xdr:colOff>609600</xdr:colOff>
      <xdr:row>14</xdr:row>
      <xdr:rowOff>176044</xdr:rowOff>
    </xdr:from>
    <xdr:to>
      <xdr:col>17</xdr:col>
      <xdr:colOff>415645</xdr:colOff>
      <xdr:row>16</xdr:row>
      <xdr:rowOff>111189</xdr:rowOff>
    </xdr:to>
    <xdr:pic>
      <xdr:nvPicPr>
        <xdr:cNvPr id="15" name="Picture 6">
          <a:extLst>
            <a:ext uri="{FF2B5EF4-FFF2-40B4-BE49-F238E27FC236}">
              <a16:creationId xmlns:a16="http://schemas.microsoft.com/office/drawing/2014/main" id="{C3EBFC95-3E64-9A63-8C75-2CA7528B96CE}"/>
            </a:ext>
          </a:extLst>
        </xdr:cNvPr>
        <xdr:cNvPicPr>
          <a:picLocks noChangeAspect="1"/>
        </xdr:cNvPicPr>
      </xdr:nvPicPr>
      <xdr:blipFill>
        <a:blip xmlns:r="http://schemas.openxmlformats.org/officeDocument/2006/relationships" r:embed="rId4"/>
        <a:stretch>
          <a:fillRect/>
        </a:stretch>
      </xdr:blipFill>
      <xdr:spPr>
        <a:xfrm>
          <a:off x="16262350" y="2487444"/>
          <a:ext cx="1889568" cy="278045"/>
        </a:xfrm>
        <a:prstGeom prst="rect">
          <a:avLst/>
        </a:prstGeom>
      </xdr:spPr>
    </xdr:pic>
    <xdr:clientData/>
  </xdr:twoCellAnchor>
  <xdr:twoCellAnchor editAs="oneCell">
    <xdr:from>
      <xdr:col>21</xdr:col>
      <xdr:colOff>790372</xdr:colOff>
      <xdr:row>82</xdr:row>
      <xdr:rowOff>128350</xdr:rowOff>
    </xdr:from>
    <xdr:to>
      <xdr:col>25</xdr:col>
      <xdr:colOff>651543</xdr:colOff>
      <xdr:row>101</xdr:row>
      <xdr:rowOff>154588</xdr:rowOff>
    </xdr:to>
    <xdr:pic>
      <xdr:nvPicPr>
        <xdr:cNvPr id="16" name="Picture 16">
          <a:extLst>
            <a:ext uri="{FF2B5EF4-FFF2-40B4-BE49-F238E27FC236}">
              <a16:creationId xmlns:a16="http://schemas.microsoft.com/office/drawing/2014/main" id="{1A9910EE-FF51-2057-1838-55654FDC1EEB}"/>
            </a:ext>
          </a:extLst>
        </xdr:cNvPr>
        <xdr:cNvPicPr>
          <a:picLocks noChangeAspect="1"/>
        </xdr:cNvPicPr>
      </xdr:nvPicPr>
      <xdr:blipFill>
        <a:blip xmlns:r="http://schemas.openxmlformats.org/officeDocument/2006/relationships" r:embed="rId5"/>
        <a:stretch>
          <a:fillRect/>
        </a:stretch>
      </xdr:blipFill>
      <xdr:spPr>
        <a:xfrm>
          <a:off x="28298032" y="13794361"/>
          <a:ext cx="3240735" cy="3106663"/>
        </a:xfrm>
        <a:prstGeom prst="rect">
          <a:avLst/>
        </a:prstGeom>
      </xdr:spPr>
    </xdr:pic>
    <xdr:clientData/>
  </xdr:twoCellAnchor>
  <xdr:twoCellAnchor editAs="oneCell">
    <xdr:from>
      <xdr:col>9</xdr:col>
      <xdr:colOff>262470</xdr:colOff>
      <xdr:row>42</xdr:row>
      <xdr:rowOff>48052</xdr:rowOff>
    </xdr:from>
    <xdr:to>
      <xdr:col>10</xdr:col>
      <xdr:colOff>1222376</xdr:colOff>
      <xdr:row>50</xdr:row>
      <xdr:rowOff>114162</xdr:rowOff>
    </xdr:to>
    <xdr:pic>
      <xdr:nvPicPr>
        <xdr:cNvPr id="3" name="Picture 2">
          <a:extLst>
            <a:ext uri="{FF2B5EF4-FFF2-40B4-BE49-F238E27FC236}">
              <a16:creationId xmlns:a16="http://schemas.microsoft.com/office/drawing/2014/main" id="{18DA2B5B-EF0D-CCA5-02EF-D46381218D84}"/>
            </a:ext>
          </a:extLst>
        </xdr:cNvPr>
        <xdr:cNvPicPr>
          <a:picLocks noChangeAspect="1"/>
        </xdr:cNvPicPr>
      </xdr:nvPicPr>
      <xdr:blipFill>
        <a:blip xmlns:r="http://schemas.openxmlformats.org/officeDocument/2006/relationships" r:embed="rId6"/>
        <a:stretch>
          <a:fillRect/>
        </a:stretch>
      </xdr:blipFill>
      <xdr:spPr>
        <a:xfrm>
          <a:off x="13843533" y="7175927"/>
          <a:ext cx="2412468" cy="1336110"/>
        </a:xfrm>
        <a:prstGeom prst="rect">
          <a:avLst/>
        </a:prstGeom>
      </xdr:spPr>
    </xdr:pic>
    <xdr:clientData/>
  </xdr:twoCellAnchor>
  <xdr:twoCellAnchor editAs="oneCell">
    <xdr:from>
      <xdr:col>11</xdr:col>
      <xdr:colOff>71437</xdr:colOff>
      <xdr:row>41</xdr:row>
      <xdr:rowOff>31750</xdr:rowOff>
    </xdr:from>
    <xdr:to>
      <xdr:col>12</xdr:col>
      <xdr:colOff>422485</xdr:colOff>
      <xdr:row>51</xdr:row>
      <xdr:rowOff>33855</xdr:rowOff>
    </xdr:to>
    <xdr:pic>
      <xdr:nvPicPr>
        <xdr:cNvPr id="4" name="Picture 3">
          <a:extLst>
            <a:ext uri="{FF2B5EF4-FFF2-40B4-BE49-F238E27FC236}">
              <a16:creationId xmlns:a16="http://schemas.microsoft.com/office/drawing/2014/main" id="{A5933B94-0992-F5CB-8D7D-7CFA96A86B5E}"/>
            </a:ext>
          </a:extLst>
        </xdr:cNvPr>
        <xdr:cNvPicPr>
          <a:picLocks noChangeAspect="1"/>
        </xdr:cNvPicPr>
      </xdr:nvPicPr>
      <xdr:blipFill>
        <a:blip xmlns:r="http://schemas.openxmlformats.org/officeDocument/2006/relationships" r:embed="rId7"/>
        <a:stretch>
          <a:fillRect/>
        </a:stretch>
      </xdr:blipFill>
      <xdr:spPr>
        <a:xfrm>
          <a:off x="16414750" y="7000875"/>
          <a:ext cx="1688358" cy="15896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bri\Desktop\ISEG\Lisbon%20Investment%20Society\Head%20ER\Assumptions%20sheet-%20Dami&#227;o.xlsx" TargetMode="External"/><Relationship Id="rId1" Type="http://schemas.openxmlformats.org/officeDocument/2006/relationships/externalLinkPath" Target="file:///C:\Users\gabri\Desktop\ISEG\Lisbon%20Investment%20Society\Head%20ER\Assumptions%20sheet-%20Dami&#227;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Rosario la Spina" id="{37A122A3-C084-40C3-A29C-0478360A3CEC}" userId="S::Rosario@aln.iseg.ulisboa.pt::dcacb765-8901-4eb5-afea-17e638acc936" providerId="AD"/>
  <person displayName="DAVID FILIPE DE SOUSA TITA" id="{6D2C5BD9-1C3E-4972-9F97-1CA81A3CC14E}" userId="S::david.tita@aln.iseg.ulisboa.pt::2b554b1a-dfdf-4fc2-8414-05963e9f059c"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0">
  <rv s="0">
    <v>https://www.bing.com/financeapi/forcetrigger?t=a1ythw&amp;q=XNYS%3aNUE&amp;form=skydnc</v>
    <v>Learn more on Bing</v>
  </rv>
  <rv s="1">
    <v>en-US</v>
    <v>a1ythw</v>
    <v>268435456</v>
    <v>1</v>
    <v>Powered by Refinitiv</v>
    <v>0</v>
    <v>1</v>
    <v>NUCOR CORPORATION (XNYS:NUE)</v>
    <v>3</v>
    <v>4</v>
    <v>Finance</v>
    <v>5</v>
    <v>170.52</v>
    <v>97.59</v>
    <v>1.7855000000000001</v>
    <v>-5.17</v>
    <v>-3.6204E-2</v>
    <v>USD</v>
    <v>Nucor Corporation is a manufacturer of steel and steel products, with operating facilities in the United States, Canada and Mexico. The Company also produces and procures ferrous and non-ferrous materials primarily for use in its steel manufacturing business. Its segments include steel mills, steel products and raw materials. Its products include carbon and alloy steel in bars, beams, sheet and plate; hollow structural section tubing; electrical conduit; steel racking; steel piling; steel joists and joist girders; steel deck; fabricated concrete reinforcing steel; cold finished steel; precision castings; steel fasteners; metal building systems; insulated metal panels; overhead doors; steel grating; wire and wire mesh; and utility structures. The Company, through The David J. Joseph Company and its affiliates, also brokers ferrous and nonferrous metals, pig iron and hot briquetted iron / direct reduced iron; supplies ferro-alloys; and processes ferrous and nonferrous scrap.</v>
    <v>32700</v>
    <v>New York Stock Exchange</v>
    <v>XNYS</v>
    <v>XNYS</v>
    <v>1915 REXFORD RD, CHARLOTTE, NC, 28211 US</v>
    <v>138.1</v>
    <v>Metals &amp; Mining</v>
    <v>Stock</v>
    <v>45918.595763853904</v>
    <v>0</v>
    <v>134.66</v>
    <v>31590957102</v>
    <v>NUCOR CORPORATION</v>
    <v>NUCOR CORPORATION</v>
    <v>136.13</v>
    <v>24.8537</v>
    <v>142.80000000000001</v>
    <v>137.63</v>
    <v>229535400</v>
    <v>NUE</v>
    <v>NUCOR CORPORATION (XNYS:NUE)</v>
    <v>902882</v>
    <v>1363208</v>
    <v>1958</v>
  </rv>
  <rv s="2">
    <v>1</v>
  </rv>
  <rv s="3">
    <v>0</v>
    <v>5</v>
  </rv>
  <rv s="0">
    <v>https://www.bing.com/financeapi/forcetrigger?t=a23p6h&amp;q=XNAS%3aSTLD&amp;form=skydnc</v>
    <v>Learn more on Bing</v>
  </rv>
  <rv s="4">
    <v>pt-BR</v>
    <v>a23p6h</v>
    <v>268435456</v>
    <v>1</v>
    <v>Da plataforma Refinitiv</v>
    <v>6</v>
    <v>7</v>
    <v>Steel Dynamics (XNAS:STLD)</v>
    <v>3</v>
    <v>8</v>
    <v>Finance</v>
    <v>9</v>
    <v>155.56</v>
    <v>103.17</v>
    <v>XNAS</v>
    <v>147204600</v>
    <v>141.04</v>
    <v>1994</v>
    <v>135.33500000000001</v>
    <v>1.411</v>
    <v>Nasdaq Stock Market</v>
    <v>20721255518</v>
    <v xml:space="preserve">Steel Dynamics, Inc. is an industrial metals solutions company. Its Steel Operations segment consists of its EAF steel mills, producing steel from ferrous scrap and scrap substitutes, utilizing continuous casting and automated rolling mills, and numerous steel coating, processing lines and warehouse operations. Its Metals Recycling Operations segment includes its OmniSource ferrous and nonferrous processing, transportation, marketing, brokerage, and scrap management services primarily throughout the United States and in Central and Northern Mexico. Its Steel Fabrication Operations segment includes its New Millennium Building Systems’ joist and deck plants located throughout the United States, and in Northern Mexico. Its Aluminum Operations segment includes the recycled aluminum flat rolled products mill being constructed in Columbus, Mississippi, and two satellite recycled aluminum slab centers in the southwest United States and Central Mexico. </v>
    <v>XNAS</v>
    <v>136.85</v>
    <v>13000</v>
    <v>45918.595759166405</v>
    <v>4</v>
    <v>1251142</v>
    <v>USD</v>
    <v>Steel Dynamics</v>
    <v>Steel Dynamics</v>
    <v>20.5215</v>
    <v>136.16</v>
    <v>140.76499999999999</v>
    <v>7575 W JEFFERSON BLVD, FORT WAYNE, IN, 46804 US</v>
    <v>Metals &amp; Mining</v>
    <v>STLD</v>
    <v>Ações</v>
    <v>Steel Dynamics (XNAS:STLD)</v>
    <v>3.915</v>
    <v>2.8607999999999998E-2</v>
    <v>275737</v>
  </rv>
  <rv s="2">
    <v>5</v>
  </rv>
  <rv s="0">
    <v>https://www.bing.com/financeapi/forcetrigger?t=a1pwf2&amp;q=XNYS%3aCMC&amp;form=skydnc</v>
    <v>Learn more on Bing</v>
  </rv>
  <rv s="4">
    <v>pt-BR</v>
    <v>a1pwf2</v>
    <v>268435456</v>
    <v>1</v>
    <v>Da plataforma Refinitiv</v>
    <v>6</v>
    <v>7</v>
    <v>Commercial Metal (XNYS:CMC)</v>
    <v>3</v>
    <v>8</v>
    <v>Finance</v>
    <v>9</v>
    <v>64.53</v>
    <v>37.92</v>
    <v>XNYS</v>
    <v>111930500</v>
    <v>60.265000000000001</v>
    <v>1946</v>
    <v>57.725000000000001</v>
    <v>1.3299000000000001</v>
    <v>New York Stock Exchange</v>
    <v>6733179227</v>
    <v>Commercial Metals Company is engaged in offering products and technologies to meet the critical reinforcement needs of the global construction sector. The Company’s solutions support construction across a wide variety of applications, including infrastructure, non-residential, residential, industrial, and energy generation, and transmission. Its segments include North America Steel Group, Europe Steel Group and the Emerging Businesses Group. The North America Steel Group segment provides a diverse offering of products and solutions to support the construction sector. The Europe Steel Group segment is composed of a vertically integrated network of recycling facilities, an EAF mini mill and fabrication operations located in Poland. The Emerging Businesses Group segment's portfolio consists of its construction services products, Tensar products and solutions and its impact metals, and performance reinforcing steel products.</v>
    <v>XNYS</v>
    <v>58.48</v>
    <v>13178</v>
    <v>45918.595659108592</v>
    <v>7</v>
    <v>915101</v>
    <v>USD</v>
    <v>Commercial Metal</v>
    <v>Commercial Metal</v>
    <v>193.5489</v>
    <v>58.45</v>
    <v>60.155000000000001</v>
    <v>6565 N. Macarthur Blvd., Suite 800, P O Box 1046, IRVING, TX, 75039 US</v>
    <v>Metals &amp; Mining</v>
    <v>CMC</v>
    <v>Ações</v>
    <v>Commercial Metal (XNYS:CMC)</v>
    <v>1.675</v>
    <v>2.8641999999999997E-2</v>
    <v>252506</v>
  </rv>
  <rv s="2">
    <v>8</v>
  </rv>
  <rv s="0">
    <v>https://www.bing.com/financeapi/forcetrigger?t=a1ptbh&amp;q=XNYS%3aCLF&amp;form=skydnc</v>
    <v>Learn more on Bing</v>
  </rv>
  <rv s="5">
    <v>pt-BR</v>
    <v>a1ptbh</v>
    <v>268435456</v>
    <v>1</v>
    <v>Da plataforma Refinitiv</v>
    <v>10</v>
    <v>11</v>
    <v>Cleveland-Cliffs (XNYS:CLF)</v>
    <v>3</v>
    <v>12</v>
    <v>Finance</v>
    <v>9</v>
    <v>14.335000000000001</v>
    <v>5.63</v>
    <v>XNYS</v>
    <v>494695300</v>
    <v>11.45</v>
    <v>1985</v>
    <v>10.95</v>
    <v>1.9539</v>
    <v>New York Stock Exchange</v>
    <v>5654367279</v>
    <v>Cleveland-Cliffs Inc. is a steel producer with a focus on value-added sheet products, particularly for the automotive industry in North America. The Company is vertically integrated from the mining of iron ore, production of pellets and direct reduced iron, and processing of ferrous scrap through primary steelmaking and downstream finishing, stamping, tooling, and tubing. Its offering includes advanced high-strength steel, hot-dipped galvanized, aluminized, galvalume, electrogalvanized, galvanneal, hot-rolled coil (HRC), cold-rolled coil, plate, grain oriented electrical steel (GOES), non-oriented electrical steel (NOES), stainless steels, tool and die, stamped components, rail, slab and cast ingot. Its Other Businesses primarily include the Tubular and Tooling and Stamping segments that provide customer solutions with carbon and stainless steel tubing products, advanced-engineered solutions, tool design and build, hot- and cold-stamped steel components and complex assemblies.</v>
    <v>XNYS</v>
    <v>11.29</v>
    <v>30000</v>
    <v>45918.595752441404</v>
    <v>10</v>
    <v>17525304</v>
    <v>USD</v>
    <v>Cleveland-Cliffs</v>
    <v>Cleveland-Cliffs</v>
    <v>11.3</v>
    <v>11.43</v>
    <v>200 Public Square, Ste. 3300, CLEVELAND, OH, 44114-2315 US</v>
    <v>Metals &amp; Mining</v>
    <v>CLF</v>
    <v>Ações</v>
    <v>Cleveland-Cliffs (XNYS:CLF)</v>
    <v>0.14000000000000001</v>
    <v>1.24E-2</v>
    <v>3178123</v>
  </rv>
  <rv s="2">
    <v>11</v>
  </rv>
  <rv s="0">
    <v>https://www.bing.com/financeapi/forcetrigger?t=a265bh&amp;q=XNYS%3aX&amp;form=skydnc</v>
    <v>Learn more on Bing</v>
  </rv>
  <rv s="4">
    <v>pt-BR</v>
    <v>a265bh</v>
    <v>268435456</v>
    <v>1</v>
    <v>Da plataforma Refinitiv</v>
    <v>6</v>
    <v>7</v>
    <v>UNITED STATES STEEL CORPORATION (XNYS:X)</v>
    <v>3</v>
    <v>8</v>
    <v>Finance</v>
    <v>13</v>
    <v>54.91</v>
    <v>26.914999999999999</v>
    <v>XNYS</v>
    <v>226419100</v>
    <v>54.89</v>
    <v>2001</v>
    <v>54.78</v>
    <v>1.8781000000000001</v>
    <v>New York Stock Exchange</v>
    <v>12416823444</v>
    <v>A United States Steel Corporation é uma produtora de aço. A empresa opera através de quatro segmentos: América do Norte Flat-Rolled (Flat-Rolled), Mini Mill, U. S. Steel Europe (USSE) e Tubular Products (Tubular). O segmento Flat-Laminado está envolvido na produção de lajes, placas de laminadores de tiras, chapas e produtos de laminadores de estanho, bem como todo o minério de ferro, pelotas de grau reduzido direto, ferro-gusa e instalações de produção de coque nos Estados Unidos. O segmento Mini Mill produz chapas laminadas a quente, laminadas a frio, revestidas e aços elétricos. O segmento USSE produz e vende lajes, placa de moinho de tiras, folha, produtos de moinho de estanho e tubo soldado em espiral. O segmento tubular produz e vende rounds, sem costura e resistência elétrica soldada (ERW) caixa de aço e tubulação (OCTG), e tubulação padrão e linha e tubulação mecânica. Serve o automóvel, a construção, o aparelho, a energia, o recipiente, e indústrias de embalagens com produtos de aço de alto valor agregado, como o seu aço avançado de alta resistência XG3.</v>
    <v>XNYS</v>
    <v>54.85</v>
    <v>22053</v>
    <v>45825.999177476566</v>
    <v>13</v>
    <v>12153533</v>
    <v>USD</v>
    <v>UNITED STATES STEEL CORPORATION</v>
    <v>UNITED STATES STEEL CORPORATION</v>
    <v>186.1634</v>
    <v>54.83</v>
    <v>54.84</v>
    <v>600 Grant Street, PITTSBURGH, PA, 15219-2800 US</v>
    <v>Metals &amp; Mining</v>
    <v>X</v>
    <v>Ações</v>
    <v>UNITED STATES STEEL CORPORATION (XNYS:X)</v>
    <v>0</v>
    <v>0</v>
    <v>876</v>
  </rv>
  <rv s="2">
    <v>14</v>
  </rv>
  <rv s="6">
    <v>12</v>
    <v>Description</v>
    <v>0</v>
  </rv>
  <rv s="6">
    <v>12</v>
    <v>Capitalização de mercado</v>
    <v>0</v>
  </rv>
  <rv s="7">
    <v>12</v>
    <v>1</v>
  </rv>
  <rv s="6">
    <v>12</v>
    <v>Preço</v>
    <v>0</v>
  </rv>
</rvData>
</file>

<file path=xl/richData/rdrichvaluestructure.xml><?xml version="1.0" encoding="utf-8"?>
<rvStructures xmlns="http://schemas.microsoft.com/office/spreadsheetml/2017/richdata" count="8">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ocalImage">
    <k n="_rvRel:LocalImageIdentifier" t="i"/>
    <k n="CalcOrigin" t="i"/>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Sede" t="s"/>
    <k n="Setor" t="s"/>
    <k n="Símbolo do ticker" t="s"/>
    <k n="Tipo de instrumento" t="s"/>
    <k n="UniqueName" t="s"/>
    <k n="Variação"/>
    <k n="Variação (%)"/>
    <k n="Volume"/>
  </s>
  <s t="_error">
    <k n="errorType" t="i"/>
    <k n="field" t="s"/>
    <k n="subType" t="i"/>
  </s>
  <s t="_error">
    <k n="errorType" t="i"/>
    <k n="propagated" t="b"/>
  </s>
</rvStructures>
</file>

<file path=xl/richData/rdsupportingpropertybag.xml><?xml version="1.0" encoding="utf-8"?>
<supportingPropertyBags xmlns="http://schemas.microsoft.com/office/spreadsheetml/2017/richdata2">
  <spbArrays count="3">
    <a count="43">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spbArrays>
  <spbData count="14">
    <spb s="0">
      <v>Low</v>
      <v>P/E</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spb>
    <spb s="1">
      <v>0</v>
      <v>Name</v>
      <v>LearnMoreOnLink</v>
    </spb>
    <spb s="2">
      <v>0</v>
      <v>0</v>
      <v>0</v>
    </spb>
    <spb s="3">
      <v>2</v>
      <v>2</v>
      <v>2</v>
      <v>2</v>
    </spb>
    <spb s="4">
      <v>1</v>
      <v>2</v>
      <v>2</v>
      <v>1</v>
      <v>3</v>
      <v>1</v>
      <v>1</v>
      <v>1</v>
      <v>4</v>
      <v>4</v>
      <v>5</v>
      <v>6</v>
      <v>1</v>
      <v>1</v>
      <v>1</v>
      <v>4</v>
      <v>7</v>
      <v>8</v>
      <v>9</v>
      <v>4</v>
    </spb>
    <spb s="5">
      <v>Real-Time Nasdaq Last Sale</v>
      <v>from previous close</v>
      <v>from previous close</v>
      <v>Source: Nasdaq Last Sale</v>
      <v>GMT</v>
    </spb>
    <spb s="6">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1</v>
      <v>Name</v>
      <v>LearnMoreOnLink</v>
    </spb>
    <spb s="7">
      <v>2</v>
      <v>1</v>
      <v>2</v>
      <v>3</v>
      <v>1</v>
      <v>1</v>
      <v>4</v>
      <v>1</v>
      <v>1</v>
      <v>4</v>
      <v>5</v>
      <v>4</v>
      <v>9</v>
      <v>1</v>
      <v>1</v>
      <v>8</v>
      <v>4</v>
      <v>1</v>
      <v>6</v>
      <v>7</v>
    </spb>
    <spb s="8">
      <v>Tempo Real Nasdaq Última venda</v>
      <v xml:space="preserve">do fechamento anterior </v>
      <v>Origem : Nasdaq Última venda</v>
      <v xml:space="preserve">do fechamento anterior </v>
      <v>GMT</v>
    </spb>
    <spb s="9">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2</v>
      <v>Name</v>
      <v>LearnMoreOnLink</v>
    </spb>
    <spb s="10">
      <v>1</v>
      <v>2</v>
      <v>3</v>
      <v>1</v>
      <v>1</v>
      <v>4</v>
      <v>1</v>
      <v>1</v>
      <v>4</v>
      <v>5</v>
      <v>4</v>
      <v>9</v>
      <v>1</v>
      <v>1</v>
      <v>8</v>
      <v>4</v>
      <v>1</v>
      <v>6</v>
      <v>7</v>
    </spb>
    <spb s="8">
      <v>Atraso de 15 minutos</v>
      <v xml:space="preserve">do fechamento anterior </v>
      <v>Origem : Nasdaq</v>
      <v xml:space="preserve">do fechamento anterior </v>
      <v>GMT</v>
    </spb>
  </spbData>
</supportingPropertyBags>
</file>

<file path=xl/richData/rdsupportingpropertybagstructure.xml><?xml version="1.0" encoding="utf-8"?>
<spbStructures xmlns="http://schemas.microsoft.com/office/spreadsheetml/2017/richdata2" count="11">
  <s>
    <k n="Low" t="s"/>
    <k n="P/E"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s>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0" formatCode="General"/>
    </x:dxf>
    <x:dxf>
      <x:numFmt numFmtId="27" formatCode="dd/mm/yyyy\ hh:mm"/>
    </x:dxf>
  </dxfs>
  <richProperties>
    <rPr n="NumberFormat" t="s"/>
    <rPr n="IsTitleField" t="b"/>
  </richProperties>
  <richStyles>
    <rSty dxfid="5">
      <rpv i="0">_([$$-en-US]* #,##0.00_);_([$$-en-US]* (#,##0.00);_([$$-en-US]* "-"??_);_(@_)</rpv>
    </rSty>
    <rSty dxfid="0">
      <rpv i="0">#,##0.00</rpv>
    </rSty>
    <rSty>
      <rpv i="1">1</rpv>
    </rSty>
    <rSty dxfid="1">
      <rpv i="0">#,##0</rpv>
    </rSty>
    <rSty dxfid="2"/>
    <rSty dxfid="5">
      <rpv i="0">_([$$-en-US]* #,##0_);_([$$-en-US]* (#,##0);_([$$-en-US]* "-"_);_(@_)</rpv>
    </rSty>
    <rSty dxfid="6"/>
    <rSty dxfid="4">
      <rpv i="0">0</rpv>
    </rSty>
    <rSty dxfid="3">
      <rpv i="0">0.00</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F6AD77-5630-4B11-8EDD-B32FDFF0757C}" name="Table1" displayName="Table1" ref="B142:AJ167" totalsRowCount="1" headerRowCellStyle="fa_row_header_standard 2" dataCellStyle="fa_row_header_standard 2">
  <autoFilter ref="B142:AJ166" xr:uid="{F8F6AD77-5630-4B11-8EDD-B32FDFF0757C}"/>
  <tableColumns count="35">
    <tableColumn id="1" xr3:uid="{C619B691-77E4-4FF2-87E9-D0EEB343558C}" name="Weight" dataDxfId="68" totalsRowDxfId="69" dataCellStyle="fa_row_header_standard 2"/>
    <tableColumn id="2" xr3:uid="{B53D3BB0-1E41-43BB-9F2C-26C65806BD25}" name="Category" totalsRowLabel="YoY" dataDxfId="66" totalsRowDxfId="67" dataCellStyle="fa_row_header_standard 2"/>
    <tableColumn id="3" xr3:uid="{C3CBD9C6-AE06-439A-B721-BE1758468FA9}" name="2018" dataDxfId="64" totalsRowDxfId="65" dataCellStyle="Normal 3"/>
    <tableColumn id="4" xr3:uid="{10275243-F97C-44D6-A9A3-ED816E3779D4}" name="2022" totalsRowFunction="custom" dataDxfId="62" totalsRowDxfId="63" dataCellStyle="fa_row_header_standard 2">
      <totalsRowFormula>E166/D166-1</totalsRowFormula>
    </tableColumn>
    <tableColumn id="5" xr3:uid="{66F92644-EB33-4648-B344-F56C3278ECAB}" name="2021" totalsRowFunction="custom" dataDxfId="60" totalsRowDxfId="61" dataCellStyle="Normal 3">
      <totalsRowFormula>F166/E166-1</totalsRowFormula>
    </tableColumn>
    <tableColumn id="6" xr3:uid="{6D2834F3-1685-4B3A-A74A-328FCD876D8F}" name="2020" totalsRowFunction="custom" dataDxfId="58" totalsRowDxfId="59" dataCellStyle="fa_row_header_standard 2">
      <totalsRowFormula>G166/F166-1</totalsRowFormula>
    </tableColumn>
    <tableColumn id="7" xr3:uid="{4F4A0170-665D-4E4D-9237-E11E13882725}" name="2019" totalsRowFunction="custom" dataDxfId="56" totalsRowDxfId="57" dataCellStyle="fa_row_header_standard 2">
      <totalsRowFormula>H166/G166-1</totalsRowFormula>
    </tableColumn>
    <tableColumn id="8" xr3:uid="{0283BA91-7DCB-4EC6-B42C-A88F7FBF6DEA}" name="2023" totalsRowFunction="custom" dataDxfId="54" totalsRowDxfId="55" dataCellStyle="Normal 3">
      <totalsRowFormula>I166/H166-1</totalsRowFormula>
    </tableColumn>
    <tableColumn id="9" xr3:uid="{1A25A364-F58C-4B1F-90EB-7449B7C89734}" name="average" dataDxfId="52" totalsRowDxfId="53" dataCellStyle="fa_row_header_standard 2">
      <calculatedColumnFormula>AVERAGE(Table1[[#This Row],[2018]:[2019]])</calculatedColumnFormula>
    </tableColumn>
    <tableColumn id="10" xr3:uid="{A766BD28-1E28-4E0E-9356-744D9223EE65}" name="2024(FWD)" totalsRowFunction="custom" dataDxfId="50" totalsRowDxfId="51" dataCellStyle="fa_row_header_standard 2">
      <totalsRowFormula>K166/I166-1</totalsRowFormula>
    </tableColumn>
    <tableColumn id="11" xr3:uid="{6048FFA6-F958-4F39-AD1C-FEF48C99CFE8}" name="2025(FWD)" totalsRowFunction="custom" dataDxfId="48" totalsRowDxfId="49" dataCellStyle="fa_row_header_standard 2">
      <totalsRowFormula>L166/K166-1</totalsRowFormula>
    </tableColumn>
    <tableColumn id="12" xr3:uid="{73988FAA-A574-4E86-819A-92791746AF8A}" name="2026" totalsRowFunction="custom" dataDxfId="46" totalsRowDxfId="47" dataCellStyle="fa_row_header_standard 2">
      <totalsRowFormula>M166/L166-1</totalsRowFormula>
    </tableColumn>
    <tableColumn id="13" xr3:uid="{F92FEA09-DA39-4F04-A241-9476EE2E88CA}" name="2027" totalsRowFunction="custom" dataDxfId="44" totalsRowDxfId="45" dataCellStyle="fa_row_header_standard 2">
      <totalsRowFormula>N166/M166-1</totalsRowFormula>
    </tableColumn>
    <tableColumn id="14" xr3:uid="{71ADB1EB-5F4B-4823-96B3-EA9CEDB87F44}" name="2028" totalsRowFunction="custom" dataDxfId="42" totalsRowDxfId="43" dataCellStyle="fa_row_header_standard 2">
      <totalsRowFormula>O166/N166-1</totalsRowFormula>
    </tableColumn>
    <tableColumn id="15" xr3:uid="{30A9922B-FC85-4C35-948B-9C96761123C4}" name="2029" totalsRowFunction="custom" dataDxfId="40" totalsRowDxfId="41" dataCellStyle="fa_row_header_standard 2">
      <totalsRowFormula>P166/O166-1</totalsRowFormula>
    </tableColumn>
    <tableColumn id="16" xr3:uid="{B9530C08-28C6-4C46-B766-EF5A3EF4F3D1}" name="2030" totalsRowFunction="custom" dataDxfId="38" totalsRowDxfId="39" dataCellStyle="fa_row_header_standard 2">
      <totalsRowFormula>Q166/P166-1</totalsRowFormula>
    </tableColumn>
    <tableColumn id="17" xr3:uid="{146DEB54-B792-49AC-A848-0B59EBF42BB8}" name="2031" totalsRowFunction="custom" dataDxfId="36" totalsRowDxfId="37" dataCellStyle="fa_row_header_standard 2">
      <totalsRowFormula>R166/Q166-1</totalsRowFormula>
    </tableColumn>
    <tableColumn id="18" xr3:uid="{DDC9C1F3-7E34-4471-B7DC-566FBB7510CA}" name="2032" totalsRowFunction="custom" dataDxfId="34" totalsRowDxfId="35" dataCellStyle="fa_row_header_standard 2">
      <totalsRowFormula>S166/R166-1</totalsRowFormula>
    </tableColumn>
    <tableColumn id="19" xr3:uid="{0FFC7C6E-81D6-4BEA-BC96-CA6ADBEF09A3}" name="2033" totalsRowFunction="custom" dataDxfId="32" totalsRowDxfId="33" dataCellStyle="fa_row_header_standard 2">
      <totalsRowFormula>T166/S166-1</totalsRowFormula>
    </tableColumn>
    <tableColumn id="20" xr3:uid="{51511429-152E-47FB-B8CD-04FCED56ED57}" name="2034" totalsRowFunction="custom" dataDxfId="30" totalsRowDxfId="31" dataCellStyle="fa_row_header_standard 2">
      <totalsRowFormula>U166/T166-1</totalsRowFormula>
    </tableColumn>
    <tableColumn id="21" xr3:uid="{B7311C10-902D-4F13-B052-969062877CD2}" name="2035" totalsRowFunction="custom" dataDxfId="28" totalsRowDxfId="29" dataCellStyle="fa_row_header_standard 2">
      <totalsRowFormula>V166/U166-1</totalsRowFormula>
    </tableColumn>
    <tableColumn id="22" xr3:uid="{34EF49E7-4032-46A7-933B-243D1528EB38}" name="2036" totalsRowFunction="custom" dataDxfId="26" totalsRowDxfId="27" dataCellStyle="fa_row_header_standard 2">
      <totalsRowFormula>W166/V166-1</totalsRowFormula>
    </tableColumn>
    <tableColumn id="23" xr3:uid="{167188D6-7011-434F-9F23-65214A3A97EC}" name="2037" totalsRowFunction="custom" dataDxfId="24" totalsRowDxfId="25" dataCellStyle="fa_row_header_standard 2">
      <totalsRowFormula>X166/W166-1</totalsRowFormula>
    </tableColumn>
    <tableColumn id="24" xr3:uid="{CD9AEECF-720A-4177-AF1D-144644552ACB}" name="2038" totalsRowFunction="custom" dataDxfId="22" totalsRowDxfId="23" dataCellStyle="fa_row_header_standard 2">
      <totalsRowFormula>Y166/X166-1</totalsRowFormula>
    </tableColumn>
    <tableColumn id="25" xr3:uid="{6CBE7652-9AF3-4182-95F1-001063F45D44}" name="2039" totalsRowFunction="custom" dataDxfId="20" totalsRowDxfId="21" dataCellStyle="fa_row_header_standard 2">
      <totalsRowFormula>Z166/Y166-1</totalsRowFormula>
    </tableColumn>
    <tableColumn id="26" xr3:uid="{210075C9-B439-4357-B39C-1287F21144D0}" name="2040" totalsRowFunction="custom" dataDxfId="18" totalsRowDxfId="19" dataCellStyle="fa_row_header_standard 2">
      <totalsRowFormula>AA166/Z166-1</totalsRowFormula>
    </tableColumn>
    <tableColumn id="27" xr3:uid="{B5584F55-EE2B-4635-B575-A8609F225E9E}" name="2041" totalsRowFunction="custom" dataDxfId="16" totalsRowDxfId="17" dataCellStyle="fa_row_header_standard 2">
      <totalsRowFormula>AB166/AA166-1</totalsRowFormula>
    </tableColumn>
    <tableColumn id="28" xr3:uid="{2900B937-3E95-4E72-8C75-0CC895678655}" name="2042" totalsRowFunction="custom" dataDxfId="14" totalsRowDxfId="15" dataCellStyle="fa_row_header_standard 2">
      <totalsRowFormula>AC166/AB166-1</totalsRowFormula>
    </tableColumn>
    <tableColumn id="29" xr3:uid="{58E320A0-6D84-4041-B330-7A5F92F46821}" name="2043" totalsRowFunction="custom" dataDxfId="12" totalsRowDxfId="13" dataCellStyle="fa_row_header_standard 2">
      <totalsRowFormula>AD166/AC166-1</totalsRowFormula>
    </tableColumn>
    <tableColumn id="30" xr3:uid="{3EB9628C-86AF-4829-A496-2A46301CB980}" name="2044" totalsRowFunction="custom" dataDxfId="10" totalsRowDxfId="11" dataCellStyle="fa_row_header_standard 2">
      <totalsRowFormula>AE166/AD166-1</totalsRowFormula>
    </tableColumn>
    <tableColumn id="31" xr3:uid="{6C8EBE12-1BC0-4B70-9D04-44B33F94CF3C}" name="2045" totalsRowFunction="custom" dataDxfId="8" totalsRowDxfId="9" dataCellStyle="fa_row_header_standard 2">
      <totalsRowFormula>AF166/AE166-1</totalsRowFormula>
    </tableColumn>
    <tableColumn id="32" xr3:uid="{369DC3E6-9AAB-45C3-9494-0B2A834A7D41}" name="2046" totalsRowFunction="custom" dataDxfId="6" totalsRowDxfId="7" dataCellStyle="fa_row_header_standard 2">
      <totalsRowFormula>AG166/AF166-1</totalsRowFormula>
    </tableColumn>
    <tableColumn id="33" xr3:uid="{1C461F32-1D4A-4677-8C6E-F5C074213452}" name="2047" totalsRowFunction="custom" dataDxfId="4" totalsRowDxfId="5" dataCellStyle="fa_row_header_standard 2">
      <totalsRowFormula>AH166/AG166-1</totalsRowFormula>
    </tableColumn>
    <tableColumn id="34" xr3:uid="{9D367282-1A29-416D-90BB-9B6306719825}" name="2048" totalsRowFunction="custom" dataDxfId="2" totalsRowDxfId="3" dataCellStyle="fa_row_header_standard 2">
      <totalsRowFormula>AI166/AH166-1</totalsRowFormula>
    </tableColumn>
    <tableColumn id="35" xr3:uid="{2A58E83D-E44B-4C44-9E20-433585055456}" name="2049" totalsRowFunction="custom" dataDxfId="0" totalsRowDxfId="1" dataCellStyle="fa_row_header_standard 2">
      <totalsRowFormula>AJ166/AI166-1</totalsRowFormula>
    </tableColumn>
  </tableColumns>
  <tableStyleInfo name="TableStyleLight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threadedComments/threadedComment2.xml><?xml version="1.0" encoding="utf-8"?>
<ThreadedComments xmlns="http://schemas.microsoft.com/office/spreadsheetml/2018/threadedcomments" xmlns:x="http://schemas.openxmlformats.org/spreadsheetml/2006/main">
  <threadedComment ref="B51" dT="2024-11-02T17:32:26.87" personId="{37A122A3-C084-40C3-A29C-0478360A3CEC}" id="{A35EF784-24D9-47D0-8BFD-7F7DE71B74D2}">
    <text>https://www.precisionbusinessinsights.com/market-reports/steel-market/</text>
    <extLst>
      <x:ext xmlns:xltc2="http://schemas.microsoft.com/office/spreadsheetml/2020/threadedcomments2" uri="{F7C98A9C-CBB3-438F-8F68-D28B6AF4A901}">
        <xltc2:checksum>2330243233</xltc2:checksum>
        <xltc2:hyperlink startIndex="0" length="70" url="https://www.precisionbusinessinsights.com/market-reports/steel-market/"/>
      </x:ext>
    </extLst>
  </threadedComment>
  <threadedComment ref="D51" dT="2024-11-02T17:31:49.18" personId="{37A122A3-C084-40C3-A29C-0478360A3CEC}" id="{1CADA163-3680-4D08-BA90-53A3A6EA27B8}">
    <text>Market size 2023: $878.2 bn
By product: steel sheets, steel beams, steel bars, others</text>
  </threadedComment>
  <threadedComment ref="B52" dT="2024-11-02T17:36:04.01" personId="{37A122A3-C084-40C3-A29C-0478360A3CEC}" id="{0E52F09D-F914-4A5A-A77B-F9360DECCD96}">
    <text>https://www.futuremarketinsights.com/reports/steel-market</text>
    <extLst>
      <x:ext xmlns:xltc2="http://schemas.microsoft.com/office/spreadsheetml/2020/threadedcomments2" uri="{F7C98A9C-CBB3-438F-8F68-D28B6AF4A901}">
        <xltc2:checksum>1182884429</xltc2:checksum>
        <xltc2:hyperlink startIndex="0" length="57" url="https://www.futuremarketinsights.com/reports/steel-market"/>
      </x:ext>
    </extLst>
  </threadedComment>
  <threadedComment ref="D52" dT="2024-11-02T17:35:29.84" personId="{37A122A3-C084-40C3-A29C-0478360A3CEC}" id="{A1B656D2-D086-4254-892A-47BDCD8946F9}">
    <text>USA Market 2023: $271.6 bn
Total Market CAGR: 4.4%
China CAGR: 4.6%
USA CAGR: 3.3%
South Korea: 5.8%</text>
  </threadedComment>
  <threadedComment ref="B53" dT="2024-11-02T17:39:34.36" personId="{37A122A3-C084-40C3-A29C-0478360A3CEC}" id="{06062497-9C1C-4795-B4B6-D1C9FDC1C6EC}">
    <text>https://www.marketsandmarkets.com/Market-Reports/iron-steel-market-240207849.html</text>
    <extLst>
      <x:ext xmlns:xltc2="http://schemas.microsoft.com/office/spreadsheetml/2020/threadedcomments2" uri="{F7C98A9C-CBB3-438F-8F68-D28B6AF4A901}">
        <xltc2:checksum>396379873</xltc2:checksum>
        <xltc2:hyperlink startIndex="0" length="81" url="https://www.marketsandmarkets.com/Market-Reports/iron-steel-market-240207849.html"/>
      </x:ext>
    </extLst>
  </threadedComment>
  <threadedComment ref="D53" dT="2024-11-02T17:40:51.91" personId="{37A122A3-C084-40C3-A29C-0478360A3CEC}" id="{569F0E55-C9EC-44AC-BBAE-6F7ACC7D7A1C}">
    <text>This report includes both iron and steel market projections, valued at $1599.4 bn at 2022 and expected to reach $1928.6 bn</text>
  </threadedComment>
</ThreadedComments>
</file>

<file path=xl/threadedComments/threadedComment3.xml><?xml version="1.0" encoding="utf-8"?>
<ThreadedComments xmlns="http://schemas.microsoft.com/office/spreadsheetml/2018/threadedcomments" xmlns:x="http://schemas.openxmlformats.org/spreadsheetml/2006/main">
  <threadedComment ref="A18" dT="2024-11-05T08:20:05.10" personId="{37A122A3-C084-40C3-A29C-0478360A3CEC}" id="{3FBD8D92-FF47-4E29-93A6-DB84F938BFA6}">
    <text>Intially wrong inputs</text>
  </threadedComment>
</ThreadedComments>
</file>

<file path=xl/threadedComments/threadedComment4.xml><?xml version="1.0" encoding="utf-8"?>
<ThreadedComments xmlns="http://schemas.microsoft.com/office/spreadsheetml/2018/threadedcomments" xmlns:x="http://schemas.openxmlformats.org/spreadsheetml/2006/main">
  <threadedComment ref="B84" dT="2024-10-23T21:24:12.03" personId="{37A122A3-C084-40C3-A29C-0478360A3CEC}" id="{DACC7167-DA9E-42FC-AADD-151BEBFEF1B3}">
    <text xml:space="preserve">10 days average
</text>
  </threadedComment>
  <threadedComment ref="B86" dT="2024-10-23T21:28:12.94" personId="{37A122A3-C084-40C3-A29C-0478360A3CEC}" id="{354FFB86-5BF6-4D9E-AF77-EEB75E053955}">
    <text>9/30/2024</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7.bin"/><Relationship Id="rId5" Type="http://schemas.openxmlformats.org/officeDocument/2006/relationships/comments" Target="../comments3.xml"/><Relationship Id="rId4"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7"/>
  <sheetViews>
    <sheetView showGridLines="0" topLeftCell="E1" zoomScale="88" zoomScaleNormal="100" workbookViewId="0">
      <selection activeCell="L12" sqref="L12:M12"/>
    </sheetView>
  </sheetViews>
  <sheetFormatPr defaultColWidth="11.42578125" defaultRowHeight="12.75"/>
  <cols>
    <col min="1" max="1" width="0.42578125" customWidth="1"/>
    <col min="2" max="2" width="25.5703125" customWidth="1"/>
    <col min="3" max="3" width="23.42578125" customWidth="1"/>
    <col min="4" max="4" width="32" customWidth="1"/>
    <col min="5" max="5" width="20.5703125" bestFit="1" customWidth="1"/>
    <col min="6" max="6" width="21.85546875" customWidth="1"/>
    <col min="7" max="7" width="19.42578125" customWidth="1"/>
    <col min="8" max="8" width="33.5703125" customWidth="1"/>
    <col min="9" max="9" width="17.140625" customWidth="1"/>
    <col min="10" max="10" width="10.42578125" customWidth="1"/>
    <col min="11" max="11" width="13.85546875" customWidth="1"/>
    <col min="12" max="12" width="21.140625" bestFit="1" customWidth="1"/>
    <col min="13" max="13" width="43.5703125" customWidth="1"/>
    <col min="14" max="14" width="12.7109375" bestFit="1" customWidth="1"/>
    <col min="15" max="15" width="12.5703125" bestFit="1" customWidth="1"/>
    <col min="17" max="17" width="12.5703125" bestFit="1" customWidth="1"/>
  </cols>
  <sheetData>
    <row r="1" spans="2:17" ht="3.75" customHeight="1" thickBot="1"/>
    <row r="2" spans="2:17" ht="22.5" customHeight="1">
      <c r="B2" s="656" t="s">
        <v>0</v>
      </c>
      <c r="C2" s="657" t="s">
        <v>1</v>
      </c>
      <c r="D2" s="668" t="s">
        <v>2</v>
      </c>
      <c r="E2" s="1455" t="e" vm="1">
        <f>Inputs!H3</f>
        <v>#VALUE!</v>
      </c>
      <c r="F2" s="1456"/>
      <c r="G2" s="1456"/>
      <c r="H2" s="1456"/>
      <c r="I2" s="1456"/>
      <c r="J2" s="1456"/>
      <c r="K2" s="1457"/>
      <c r="L2" s="658" t="str" cm="1">
        <f t="array" aca="1" ref="L2" ca="1">_FV(E2,"Exchange")</f>
        <v>New York Stock Exchange</v>
      </c>
      <c r="M2" s="659" t="s">
        <v>3</v>
      </c>
    </row>
    <row r="3" spans="2:17" ht="26.25" customHeight="1">
      <c r="B3" s="1433" t="e" vm="2">
        <v>#VALUE!</v>
      </c>
      <c r="C3" s="1434"/>
      <c r="D3" s="1465" t="s">
        <v>4</v>
      </c>
      <c r="E3" s="1465"/>
      <c r="F3" s="1465"/>
      <c r="G3" s="1465"/>
      <c r="H3" s="1466" t="s">
        <v>5</v>
      </c>
      <c r="I3" s="1466"/>
      <c r="J3" s="1467"/>
      <c r="K3" s="1467"/>
      <c r="L3" s="1466"/>
      <c r="M3" s="1468"/>
    </row>
    <row r="4" spans="2:17" ht="13.15">
      <c r="B4" s="1435"/>
      <c r="C4" s="1436"/>
      <c r="D4" s="1431" t="s">
        <v>6</v>
      </c>
      <c r="E4" s="1431"/>
      <c r="F4" s="1431"/>
      <c r="G4" s="1431"/>
      <c r="H4" s="676" t="s">
        <v>7</v>
      </c>
      <c r="I4" s="655" t="s">
        <v>8</v>
      </c>
      <c r="J4" s="1472" t="s">
        <v>9</v>
      </c>
      <c r="K4" s="1473"/>
      <c r="L4" s="1405" t="s">
        <v>10</v>
      </c>
      <c r="M4" s="1406"/>
    </row>
    <row r="5" spans="2:17">
      <c r="B5" s="1435"/>
      <c r="C5" s="1436"/>
      <c r="D5" s="1431"/>
      <c r="E5" s="1431"/>
      <c r="F5" s="1431"/>
      <c r="G5" s="1432"/>
      <c r="H5" s="11" t="s">
        <v>11</v>
      </c>
      <c r="I5" s="679" t="s">
        <v>12</v>
      </c>
      <c r="J5" s="1422" t="s">
        <v>13</v>
      </c>
      <c r="K5" s="1423"/>
      <c r="L5" s="1667" t="s">
        <v>14</v>
      </c>
      <c r="M5" s="1407"/>
    </row>
    <row r="6" spans="2:17">
      <c r="B6" s="1435"/>
      <c r="C6" s="1436"/>
      <c r="D6" s="1431"/>
      <c r="E6" s="1431"/>
      <c r="F6" s="1431"/>
      <c r="G6" s="1432"/>
      <c r="H6" s="677" t="s">
        <v>15</v>
      </c>
      <c r="I6" s="679" t="s">
        <v>12</v>
      </c>
      <c r="J6" s="1422" t="s">
        <v>13</v>
      </c>
      <c r="K6" s="1423"/>
      <c r="L6" s="1667" t="s">
        <v>16</v>
      </c>
      <c r="M6" s="1407"/>
    </row>
    <row r="7" spans="2:17">
      <c r="B7" s="1435"/>
      <c r="C7" s="1436"/>
      <c r="D7" s="1431"/>
      <c r="E7" s="1431"/>
      <c r="F7" s="1431"/>
      <c r="G7" s="1432"/>
      <c r="H7" s="677" t="s">
        <v>17</v>
      </c>
      <c r="I7" s="679" t="s">
        <v>12</v>
      </c>
      <c r="J7" s="1424" t="s">
        <v>18</v>
      </c>
      <c r="K7" s="1423"/>
      <c r="L7" s="1667" t="s">
        <v>19</v>
      </c>
      <c r="M7" s="1407"/>
    </row>
    <row r="8" spans="2:17">
      <c r="B8" s="1435"/>
      <c r="C8" s="1436"/>
      <c r="D8" s="1431"/>
      <c r="E8" s="1431"/>
      <c r="F8" s="1431"/>
      <c r="G8" s="1432"/>
      <c r="H8" s="677" t="s">
        <v>20</v>
      </c>
      <c r="I8" s="679" t="s">
        <v>12</v>
      </c>
      <c r="J8" s="1422" t="s">
        <v>13</v>
      </c>
      <c r="K8" s="1423"/>
      <c r="L8" s="1667" t="s">
        <v>21</v>
      </c>
      <c r="M8" s="1407"/>
    </row>
    <row r="9" spans="2:17">
      <c r="B9" s="1435"/>
      <c r="C9" s="1436"/>
      <c r="D9" s="1431"/>
      <c r="E9" s="1431"/>
      <c r="F9" s="1431"/>
      <c r="G9" s="1432"/>
      <c r="H9" s="107" t="s">
        <v>22</v>
      </c>
      <c r="I9" s="679" t="s">
        <v>23</v>
      </c>
      <c r="J9" s="1422" t="s">
        <v>18</v>
      </c>
      <c r="K9" s="1423"/>
      <c r="L9" s="1667" t="s">
        <v>24</v>
      </c>
      <c r="M9" s="1407"/>
    </row>
    <row r="10" spans="2:17">
      <c r="B10" s="1435"/>
      <c r="C10" s="1436"/>
      <c r="D10" s="1431"/>
      <c r="E10" s="1431"/>
      <c r="F10" s="1431"/>
      <c r="G10" s="1432"/>
      <c r="H10" s="678" t="s">
        <v>25</v>
      </c>
      <c r="I10" s="679" t="s">
        <v>12</v>
      </c>
      <c r="J10" s="1422" t="s">
        <v>18</v>
      </c>
      <c r="K10" s="1423"/>
      <c r="L10" s="1668" t="s">
        <v>26</v>
      </c>
      <c r="M10" s="1407"/>
    </row>
    <row r="11" spans="2:17">
      <c r="B11" s="1435"/>
      <c r="C11" s="1436"/>
      <c r="D11" s="1431"/>
      <c r="E11" s="1431"/>
      <c r="F11" s="1431"/>
      <c r="G11" s="1432"/>
      <c r="H11" s="678" t="s">
        <v>27</v>
      </c>
      <c r="I11" s="679" t="s">
        <v>12</v>
      </c>
      <c r="J11" s="1422" t="s">
        <v>18</v>
      </c>
      <c r="K11" s="1423"/>
      <c r="L11" s="1667" t="s">
        <v>28</v>
      </c>
      <c r="M11" s="1407"/>
    </row>
    <row r="12" spans="2:17">
      <c r="B12" s="1435"/>
      <c r="C12" s="1436"/>
      <c r="D12" s="1431"/>
      <c r="E12" s="1431"/>
      <c r="F12" s="1431"/>
      <c r="G12" s="1432"/>
      <c r="H12" s="678" t="s">
        <v>29</v>
      </c>
      <c r="I12" s="679" t="s">
        <v>12</v>
      </c>
      <c r="J12" s="1422" t="s">
        <v>18</v>
      </c>
      <c r="K12" s="1423"/>
      <c r="L12" s="1668" t="s">
        <v>30</v>
      </c>
      <c r="M12" s="1407"/>
      <c r="P12" s="367"/>
    </row>
    <row r="13" spans="2:17">
      <c r="B13" s="1435"/>
      <c r="C13" s="1436"/>
      <c r="D13" s="1431"/>
      <c r="E13" s="1431"/>
      <c r="F13" s="1431"/>
      <c r="G13" s="1432"/>
      <c r="H13" s="678" t="s">
        <v>31</v>
      </c>
      <c r="I13" s="679" t="s">
        <v>23</v>
      </c>
      <c r="J13" s="1422" t="s">
        <v>18</v>
      </c>
      <c r="K13" s="1423"/>
      <c r="L13" s="1667" t="s">
        <v>32</v>
      </c>
      <c r="M13" s="1407"/>
    </row>
    <row r="14" spans="2:17" ht="14.85" customHeight="1">
      <c r="B14" s="1437"/>
      <c r="C14" s="1438"/>
      <c r="D14" s="1431"/>
      <c r="E14" s="1431"/>
      <c r="F14" s="1431"/>
      <c r="G14" s="1432"/>
      <c r="H14" s="107" t="s">
        <v>33</v>
      </c>
      <c r="I14" s="679" t="s">
        <v>12</v>
      </c>
      <c r="J14" s="1422" t="s">
        <v>18</v>
      </c>
      <c r="K14" s="1423"/>
      <c r="L14" s="1667" t="s">
        <v>34</v>
      </c>
      <c r="M14" s="1407"/>
      <c r="Q14" s="267"/>
    </row>
    <row r="15" spans="2:17" ht="13.5" customHeight="1">
      <c r="B15" s="1439" t="str" cm="1">
        <f t="array" aca="1" ref="B15" ca="1">_FV(E2,"Currency")&amp;" MILLIONS"</f>
        <v>USD MILLIONS</v>
      </c>
      <c r="C15" s="1440"/>
      <c r="D15" s="1431"/>
      <c r="E15" s="1431"/>
      <c r="F15" s="1431"/>
      <c r="G15" s="1432"/>
      <c r="H15" s="678" t="s">
        <v>35</v>
      </c>
      <c r="I15" s="680" t="s">
        <v>23</v>
      </c>
      <c r="J15" s="1422" t="s">
        <v>18</v>
      </c>
      <c r="K15" s="1423"/>
      <c r="L15" s="1667" t="s">
        <v>36</v>
      </c>
      <c r="M15" s="1407"/>
    </row>
    <row r="16" spans="2:17" ht="12.6" hidden="1" customHeight="1">
      <c r="B16" s="1260"/>
      <c r="C16" s="1261"/>
      <c r="D16" s="1431"/>
      <c r="E16" s="1431"/>
      <c r="F16" s="1431"/>
      <c r="G16" s="1432"/>
      <c r="H16" s="678"/>
      <c r="I16" s="680"/>
      <c r="J16" s="1422"/>
      <c r="K16" s="1423"/>
      <c r="L16" s="1667"/>
      <c r="M16" s="1454"/>
    </row>
    <row r="17" spans="2:13" hidden="1">
      <c r="D17" s="1431"/>
      <c r="E17" s="1431"/>
      <c r="F17" s="1431"/>
      <c r="G17" s="1432"/>
      <c r="H17" s="107"/>
      <c r="I17" s="680"/>
      <c r="J17" s="1454"/>
      <c r="K17" s="1423"/>
      <c r="L17" s="1454"/>
      <c r="M17" s="1454"/>
    </row>
    <row r="18" spans="2:13" ht="17.649999999999999">
      <c r="B18" s="1420" t="s">
        <v>37</v>
      </c>
      <c r="C18" s="1373"/>
      <c r="D18" s="1373"/>
      <c r="E18" s="1373"/>
      <c r="F18" s="1373"/>
      <c r="G18" s="1373"/>
      <c r="H18" s="1373"/>
      <c r="I18" s="1373"/>
      <c r="J18" s="1373"/>
      <c r="K18" s="1373"/>
      <c r="L18" s="1373"/>
      <c r="M18" s="1421"/>
    </row>
    <row r="19" spans="2:13" ht="15">
      <c r="B19" s="1446" t="s">
        <v>38</v>
      </c>
      <c r="C19" s="1447"/>
      <c r="D19" s="1349" t="s">
        <v>39</v>
      </c>
      <c r="E19" s="1351"/>
      <c r="F19" s="1469" t="s">
        <v>40</v>
      </c>
      <c r="G19" s="1470"/>
      <c r="H19" s="1471"/>
      <c r="I19" s="1349" t="str">
        <f>"Profitability ("&amp;J20&amp;")"</f>
        <v>Profitability (2023)</v>
      </c>
      <c r="J19" s="1350"/>
      <c r="K19" s="1351"/>
      <c r="L19" s="1349" t="s">
        <v>41</v>
      </c>
      <c r="M19" s="1408"/>
    </row>
    <row r="20" spans="2:13" ht="13.15">
      <c r="B20" s="660" t="s">
        <v>42</v>
      </c>
      <c r="C20" s="669" cm="1">
        <f t="array" aca="1" ref="C20" ca="1">_FV(E2,"Price")</f>
        <v>137.63</v>
      </c>
      <c r="D20" s="12" t="s">
        <v>43</v>
      </c>
      <c r="E20" s="117">
        <f>_xlfn.XLOOKUP(D20,'Fin. Data'!A:A,'Fin. Data'!B:B,,0)</f>
        <v>35340.5</v>
      </c>
      <c r="F20" s="1458" t="s">
        <v>44</v>
      </c>
      <c r="G20" s="1459"/>
      <c r="H20" s="101" t="s">
        <v>45</v>
      </c>
      <c r="I20" t="s">
        <v>46</v>
      </c>
      <c r="J20" s="1429">
        <v>2023</v>
      </c>
      <c r="K20" s="1430"/>
      <c r="L20" s="11" t="s">
        <v>47</v>
      </c>
      <c r="M20" s="663">
        <f>IF(Inputs!B80 &lt;&gt; "",Inputs!B80,"")</f>
        <v>0.99169967135754611</v>
      </c>
    </row>
    <row r="21" spans="2:13" ht="12.75" customHeight="1">
      <c r="B21" s="660" t="s">
        <v>48</v>
      </c>
      <c r="C21" s="670" cm="1">
        <f t="array" aca="1" ref="C21" ca="1">_FV(E2,"Shares outstanding",TRUE)</f>
        <v>229535400</v>
      </c>
      <c r="D21" s="11" t="s">
        <v>49</v>
      </c>
      <c r="E21" s="117">
        <f>_xlfn.XLOOKUP(D21,'Fin. Data'!A:A,'Fin. Data'!B:B,,0)</f>
        <v>13216.75</v>
      </c>
      <c r="F21" s="1425" t="s">
        <v>50</v>
      </c>
      <c r="G21" s="1426"/>
      <c r="H21" s="1411" t="str">
        <f>Segments!B5</f>
        <v>NA</v>
      </c>
      <c r="I21" s="11" t="s">
        <v>51</v>
      </c>
      <c r="J21" s="1462">
        <v>45291</v>
      </c>
      <c r="K21" s="1463"/>
      <c r="L21" s="11" t="s">
        <v>52</v>
      </c>
      <c r="M21" s="663">
        <f>IF(Inputs!B81 &lt;&gt; "",Inputs!B81,"")</f>
        <v>5.1000000000000004E-3</v>
      </c>
    </row>
    <row r="22" spans="2:13" ht="12.75" customHeight="1">
      <c r="B22" s="660" t="s">
        <v>53</v>
      </c>
      <c r="C22" s="47">
        <f ca="1">C20*C21/1000000</f>
        <v>31590.957102</v>
      </c>
      <c r="D22" s="11" t="s">
        <v>54</v>
      </c>
      <c r="E22" s="350">
        <f ca="1">_xlfn.XLOOKUP("Cash &amp; Eq.",'Fin. Data'!A:A,'Fin. Data'!B:B,,0)*1000000/C21</f>
        <v>27.809653761467729</v>
      </c>
      <c r="F22" s="1444"/>
      <c r="G22" s="1445"/>
      <c r="H22" s="1412"/>
      <c r="I22" s="1359" t="s">
        <v>55</v>
      </c>
      <c r="J22" s="1359"/>
      <c r="K22" s="117">
        <f>_xlfn.XLOOKUP(I22,'Fin. Data'!A:A,'Fin. Data'!B:B,,0)</f>
        <v>7411.5029999999997</v>
      </c>
      <c r="L22" s="8" t="s">
        <v>56</v>
      </c>
      <c r="M22" s="662" cm="1">
        <f t="array" aca="1" ref="M22" ca="1">IF(_FV(E2,"Beta") &lt;&gt; "",_FV(E2,"Beta"),"")</f>
        <v>1.7855000000000001</v>
      </c>
    </row>
    <row r="23" spans="2:13" ht="12.75" customHeight="1">
      <c r="B23" s="661" t="s">
        <v>57</v>
      </c>
      <c r="C23" s="47">
        <f>'Fin. Data'!B63</f>
        <v>6842.183</v>
      </c>
      <c r="D23" s="11" t="s">
        <v>58</v>
      </c>
      <c r="E23" s="350">
        <f>IFERROR(_xlfn.XLOOKUP("EBITDA",'Fin. Data'!A:A,'Fin. Data'!B:B,,0)/_xlfn.XLOOKUP("Net Financial Cost",'Fin. Data'!A:A,'Fin. Data'!B:B,,0),"")</f>
        <v>250.11821679265657</v>
      </c>
      <c r="F23" s="1444"/>
      <c r="G23" s="1445"/>
      <c r="H23" s="1412"/>
      <c r="I23" s="1464" t="s">
        <v>59</v>
      </c>
      <c r="J23" s="1464"/>
      <c r="K23" s="117">
        <f>_xlfn.XLOOKUP(I23,'Fin. Data'!A:A,'Fin. Data'!B:B,,0)</f>
        <v>1168.32</v>
      </c>
      <c r="L23" s="11" t="s">
        <v>60</v>
      </c>
      <c r="M23" s="662" t="str">
        <f>IF(Inputs!B82 &lt;&gt; "",Inputs!B82,"")</f>
        <v>A-</v>
      </c>
    </row>
    <row r="24" spans="2:13" ht="12.75" customHeight="1">
      <c r="B24" s="661" t="s">
        <v>61</v>
      </c>
      <c r="C24" s="47">
        <f>'Fin. Data'!B41</f>
        <v>6383.3</v>
      </c>
      <c r="D24" s="11" t="s">
        <v>62</v>
      </c>
      <c r="E24" s="350">
        <f>IFERROR(_xlfn.XLOOKUP("Total Debt",'Fin. Data'!A:A,'Fin. Data'!B:B,,0)/_xlfn.XLOOKUP("EBITDA",'Fin. Data'!A:A,'Fin. Data'!B:B,,0),"")</f>
        <v>0.92318427180020035</v>
      </c>
      <c r="F24" s="1444"/>
      <c r="G24" s="1445"/>
      <c r="H24" s="1412"/>
      <c r="I24" s="1464" t="s">
        <v>63</v>
      </c>
      <c r="J24" s="1464"/>
      <c r="K24" s="117">
        <f>_xlfn.XLOOKUP(I24,'Fin. Data'!A:A,'Fin. Data'!B:B,,0)</f>
        <v>6243.183</v>
      </c>
      <c r="L24" s="11" t="s">
        <v>64</v>
      </c>
      <c r="M24" s="662">
        <f ca="1">IFERROR((C20*C21/(E20-E21))/1000000,"")</f>
        <v>1.4279205424939261</v>
      </c>
    </row>
    <row r="25" spans="2:13" ht="12.75" customHeight="1">
      <c r="B25" s="661" t="s">
        <v>65</v>
      </c>
      <c r="C25" s="47">
        <f ca="1">C22+C23-C24</f>
        <v>32049.840101999998</v>
      </c>
      <c r="D25" s="11" t="s">
        <v>66</v>
      </c>
      <c r="E25" s="350">
        <f>IFERROR(_xlfn.XLOOKUP("Other Assets",'Fin. Data'!A:A,'Fin. Data'!B:B,,0)/_xlfn.XLOOKUP("Total Assets",'Fin. Data'!A:A,'Fin. Data'!B:B,,0),"")</f>
        <v>0.26531486538107835</v>
      </c>
      <c r="F25" s="1427"/>
      <c r="G25" s="1428"/>
      <c r="H25" s="1413"/>
      <c r="I25" s="1359" t="s">
        <v>67</v>
      </c>
      <c r="J25" s="1359"/>
      <c r="K25" s="117">
        <f>_xlfn.XLOOKUP(I25,'Fin. Data'!A:A,'Fin. Data'!B:B,,0)</f>
        <v>4524.8490000000002</v>
      </c>
      <c r="L25" s="11" t="s">
        <v>68</v>
      </c>
      <c r="M25" s="663">
        <f>IFERROR(K31/E20,"")</f>
        <v>-2.8243139363242358E-3</v>
      </c>
    </row>
    <row r="26" spans="2:13" ht="12.75" customHeight="1">
      <c r="B26" s="661" t="s">
        <v>69</v>
      </c>
      <c r="C26" s="119" t="s">
        <v>70</v>
      </c>
      <c r="D26" s="11" t="s">
        <v>71</v>
      </c>
      <c r="E26" s="350">
        <f>_xlfn.XLOOKUP(D26,'Fin. Data'!A:A,'Fin. Data'!B:B,,0)</f>
        <v>0.19360741924986913</v>
      </c>
      <c r="F26" s="1460" t="s">
        <v>72</v>
      </c>
      <c r="G26" s="1461"/>
      <c r="H26" s="102" t="s">
        <v>45</v>
      </c>
      <c r="I26" s="1359" t="s">
        <v>73</v>
      </c>
      <c r="J26" s="1359"/>
      <c r="K26" s="65">
        <f ca="1">1000000*K25/C21</f>
        <v>19.713076937152177</v>
      </c>
      <c r="L26" s="11" t="s">
        <v>74</v>
      </c>
      <c r="M26" s="664">
        <f ca="1">IFERROR(C22/K30,"")</f>
        <v>4.9986635457568234</v>
      </c>
    </row>
    <row r="27" spans="2:13" ht="12.75" customHeight="1">
      <c r="B27" s="660" t="s">
        <v>75</v>
      </c>
      <c r="C27" s="120" t="s">
        <v>70</v>
      </c>
      <c r="D27" s="11" t="s">
        <v>76</v>
      </c>
      <c r="E27" s="118">
        <f>IFERROR(AVERAGE(_xlfn.XLOOKUP("EBITDA Margin",'Fin. Data'!A:A,'Fin. Data'!B:D,,0)),"")</f>
        <v>0.2567339985487776</v>
      </c>
      <c r="F27" s="1425" t="str">
        <f>Segments!C18</f>
        <v>Steel mills</v>
      </c>
      <c r="G27" s="1448"/>
      <c r="H27" s="1452">
        <f>Segments!B18</f>
        <v>0.5788140470187666</v>
      </c>
      <c r="I27" s="1359" t="s">
        <v>77</v>
      </c>
      <c r="J27" s="1359"/>
      <c r="K27" s="66">
        <f>IFERROR(K25/E20,"")</f>
        <v>0.12803579462656159</v>
      </c>
      <c r="L27" s="11" t="s">
        <v>78</v>
      </c>
      <c r="M27" s="665">
        <f ca="1">IFERROR(C25/E20,"")</f>
        <v>0.90688700222124752</v>
      </c>
    </row>
    <row r="28" spans="2:13" ht="12.75" customHeight="1">
      <c r="B28" s="660" t="s">
        <v>79</v>
      </c>
      <c r="C28" s="15">
        <v>2.6700000000000002E-2</v>
      </c>
      <c r="D28" s="11" t="s">
        <v>80</v>
      </c>
      <c r="E28" s="118">
        <f>IFERROR(AVERAGE(_xlfn.XLOOKUP("Operating Margin",'Fin. Data'!A:A,'Fin. Data'!B:D,,0)),"")</f>
        <v>0.22932635874005461</v>
      </c>
      <c r="F28" s="1427"/>
      <c r="G28" s="1449"/>
      <c r="H28" s="1453"/>
      <c r="I28" s="1359" t="s">
        <v>81</v>
      </c>
      <c r="J28" s="1359"/>
      <c r="K28" s="66">
        <f>IFERROR(Peers!C18,"")</f>
        <v>0.22789616152631148</v>
      </c>
      <c r="L28" s="11" t="s">
        <v>82</v>
      </c>
      <c r="M28" s="665">
        <f ca="1">IFERROR(C25/K29,"")</f>
        <v>3.3027171349323483</v>
      </c>
    </row>
    <row r="29" spans="2:13" ht="15.4" thickBot="1">
      <c r="B29" s="1446"/>
      <c r="C29" s="1447"/>
      <c r="D29" s="11" t="s">
        <v>83</v>
      </c>
      <c r="E29" s="118">
        <f>IFERROR(AVERAGE(_xlfn.XLOOKUP("Net Income Margin",'Fin. Data'!A:A,'Fin. Data'!B:D,,0)),"")</f>
        <v>0.16691229233882374</v>
      </c>
      <c r="F29" s="1425" t="str">
        <f>Segments!C19</f>
        <v>Steel products</v>
      </c>
      <c r="G29" s="1426"/>
      <c r="H29" s="1450">
        <f>Segments!B19</f>
        <v>0.36754976111455884</v>
      </c>
      <c r="I29" s="1358" t="s">
        <v>84</v>
      </c>
      <c r="J29" s="1358"/>
      <c r="K29" s="590">
        <f>AVERAGE(_xlfn.XLOOKUP("EBITDA",'Fin. Data'!A:A,'Fin. Data'!B:D,,0))</f>
        <v>9704.0826666666671</v>
      </c>
      <c r="L29" s="11" t="s">
        <v>85</v>
      </c>
      <c r="M29" s="664">
        <f ca="1">IFERROR(C22/K31,"")</f>
        <v>-316.50248567650067</v>
      </c>
    </row>
    <row r="30" spans="2:13" ht="12.75" customHeight="1" thickBot="1">
      <c r="B30" s="666" t="s">
        <v>86</v>
      </c>
      <c r="C30" s="286"/>
      <c r="D30" s="667"/>
      <c r="E30" s="125"/>
      <c r="F30" s="1427"/>
      <c r="G30" s="1428"/>
      <c r="H30" s="1451"/>
      <c r="I30" s="1359" t="s">
        <v>87</v>
      </c>
      <c r="J30" s="1359"/>
      <c r="K30" s="117">
        <f>AVERAGE(_xlfn.XLOOKUP("Net Income",'Fin. Data'!A:A,'Fin. Data'!B:D,,0))</f>
        <v>6319.8806666666669</v>
      </c>
      <c r="L30" s="11" t="s">
        <v>88</v>
      </c>
      <c r="M30" s="664" t="s">
        <v>70</v>
      </c>
    </row>
    <row r="31" spans="2:13" ht="12.75" customHeight="1" thickBot="1">
      <c r="B31" s="666" t="s">
        <v>89</v>
      </c>
      <c r="C31" s="286"/>
      <c r="D31" s="11" t="s">
        <v>90</v>
      </c>
      <c r="E31" s="462">
        <f>IFERROR(-_xlfn.XLOOKUP("Net Financial Cost",'Fin. Data'!A:A,'Fin. Data'!B:B,,0)/AVERAGE(_xlfn.XLOOKUP("Net Debt",'Fin. Data'!A:A,'Fin. Data'!B:D,,0)),"")</f>
        <v>-1.4279816683238853E-2</v>
      </c>
      <c r="F31" s="1425" t="str">
        <f>Segments!C20</f>
        <v>Raw materials</v>
      </c>
      <c r="G31" s="1426"/>
      <c r="H31" s="1450">
        <f>Segments!B20</f>
        <v>5.3636191866674586E-2</v>
      </c>
      <c r="I31" s="1359" t="s">
        <v>91</v>
      </c>
      <c r="J31" s="1359"/>
      <c r="K31" s="117">
        <f>AVERAGE(_xlfn.XLOOKUP("Net Financial Cost",'Fin. Data'!A:A,'Fin. Data'!B:D,,0))</f>
        <v>-99.812666666666658</v>
      </c>
      <c r="L31" s="11" t="s">
        <v>92</v>
      </c>
      <c r="M31" s="663">
        <f ca="1">-IFERROR(SUM(E52:E54)/(3*C22),"")</f>
        <v>9.6346136549119443E-2</v>
      </c>
    </row>
    <row r="32" spans="2:13" ht="12.75" customHeight="1" thickBot="1">
      <c r="B32" s="666" t="s">
        <v>93</v>
      </c>
      <c r="C32" s="289"/>
      <c r="D32" s="122"/>
      <c r="E32" s="124"/>
      <c r="F32" s="1427"/>
      <c r="G32" s="1428"/>
      <c r="H32" s="1451"/>
      <c r="I32" s="122"/>
      <c r="J32" s="123"/>
      <c r="K32" s="123"/>
      <c r="L32" s="11" t="s">
        <v>94</v>
      </c>
      <c r="M32" s="671">
        <f ca="1">-IFERROR(L53/C22,"")</f>
        <v>1.628725582256656E-2</v>
      </c>
    </row>
    <row r="33" spans="1:19" ht="18" thickBot="1">
      <c r="B33" s="1441" t="s">
        <v>95</v>
      </c>
      <c r="C33" s="1442"/>
      <c r="D33" s="1442"/>
      <c r="E33" s="1442"/>
      <c r="F33" s="1442"/>
      <c r="G33" s="1442"/>
      <c r="H33" s="1442"/>
      <c r="I33" s="1442"/>
      <c r="J33" s="1442"/>
      <c r="K33" s="1442"/>
      <c r="L33" s="1442"/>
      <c r="M33" s="1443"/>
    </row>
    <row r="34" spans="1:19" ht="15.4" thickBot="1">
      <c r="B34" s="1347" t="s">
        <v>96</v>
      </c>
      <c r="C34" s="1348"/>
      <c r="D34" s="1348"/>
      <c r="E34" s="1348"/>
      <c r="F34" s="1348"/>
      <c r="G34" s="1348"/>
      <c r="H34" s="467" t="s">
        <v>97</v>
      </c>
      <c r="I34" s="1360" t="s">
        <v>98</v>
      </c>
      <c r="J34" s="1361"/>
      <c r="K34" s="1361"/>
      <c r="L34" s="1361"/>
      <c r="M34" s="1362"/>
      <c r="N34" s="10"/>
    </row>
    <row r="35" spans="1:19" ht="13.5" customHeight="1" thickBot="1">
      <c r="A35" s="10"/>
      <c r="B35" s="468" t="s">
        <v>99</v>
      </c>
      <c r="C35" s="1369" t="s">
        <v>100</v>
      </c>
      <c r="D35" s="1370"/>
      <c r="E35" s="1370"/>
      <c r="F35" s="1370"/>
      <c r="G35" s="1371"/>
      <c r="H35" s="1409" t="s">
        <v>101</v>
      </c>
      <c r="I35" s="1393" t="s">
        <v>102</v>
      </c>
      <c r="J35" s="1394"/>
      <c r="K35" s="1394"/>
      <c r="L35" s="1394"/>
      <c r="M35" s="1395"/>
    </row>
    <row r="36" spans="1:19" ht="30.95" customHeight="1" thickBot="1">
      <c r="A36" s="10"/>
      <c r="B36" s="1276" t="s">
        <v>103</v>
      </c>
      <c r="C36" s="1375" t="s">
        <v>104</v>
      </c>
      <c r="D36" s="1376"/>
      <c r="E36" s="1376"/>
      <c r="F36" s="1376"/>
      <c r="G36" s="1377"/>
      <c r="H36" s="1409"/>
      <c r="I36" s="1396"/>
      <c r="J36" s="1397"/>
      <c r="K36" s="1397"/>
      <c r="L36" s="1397"/>
      <c r="M36" s="1398"/>
    </row>
    <row r="37" spans="1:19" ht="29.45" customHeight="1" thickBot="1">
      <c r="A37" s="10"/>
      <c r="B37" s="1128" t="s">
        <v>105</v>
      </c>
      <c r="C37" s="1375" t="s">
        <v>106</v>
      </c>
      <c r="D37" s="1376"/>
      <c r="E37" s="1376"/>
      <c r="F37" s="1376"/>
      <c r="G37" s="1377"/>
      <c r="H37" s="1409"/>
      <c r="I37" s="1396"/>
      <c r="J37" s="1397"/>
      <c r="K37" s="1397"/>
      <c r="L37" s="1397"/>
      <c r="M37" s="1398"/>
    </row>
    <row r="38" spans="1:19" ht="31.5" customHeight="1" thickBot="1">
      <c r="B38" s="1129" t="s">
        <v>107</v>
      </c>
      <c r="C38" s="1385" t="s">
        <v>108</v>
      </c>
      <c r="D38" s="1386"/>
      <c r="E38" s="1386"/>
      <c r="F38" s="1386"/>
      <c r="G38" s="1387"/>
      <c r="H38" s="1410"/>
      <c r="I38" s="1399"/>
      <c r="J38" s="1400"/>
      <c r="K38" s="1400"/>
      <c r="L38" s="1400"/>
      <c r="M38" s="1401"/>
    </row>
    <row r="39" spans="1:19" ht="15.4" thickBot="1">
      <c r="B39" s="1363" t="s">
        <v>109</v>
      </c>
      <c r="C39" s="1364"/>
      <c r="D39" s="1364"/>
      <c r="E39" s="1364"/>
      <c r="F39" s="1364"/>
      <c r="G39" s="1365"/>
      <c r="H39" s="469" t="s">
        <v>110</v>
      </c>
      <c r="I39" s="1474" t="s">
        <v>111</v>
      </c>
      <c r="J39" s="1474"/>
      <c r="K39" s="1474"/>
      <c r="L39" s="1474"/>
      <c r="M39" s="1475"/>
    </row>
    <row r="40" spans="1:19" ht="13.5" customHeight="1" thickBot="1">
      <c r="B40" s="470" t="s">
        <v>112</v>
      </c>
      <c r="C40" s="1366" t="s">
        <v>100</v>
      </c>
      <c r="D40" s="1367"/>
      <c r="E40" s="1367"/>
      <c r="F40" s="1367"/>
      <c r="G40" s="1368"/>
      <c r="H40" s="1402">
        <f ca="1">IFERROR(DCF!D75,"")</f>
        <v>203.10745248515278</v>
      </c>
      <c r="I40" s="1414" t="s">
        <v>113</v>
      </c>
      <c r="J40" s="1415"/>
      <c r="K40" s="1416"/>
      <c r="L40" s="1379">
        <f>DCF!F50</f>
        <v>0.1</v>
      </c>
      <c r="M40" s="1380"/>
    </row>
    <row r="41" spans="1:19" ht="34.5" customHeight="1" thickBot="1">
      <c r="B41" s="1128" t="s">
        <v>114</v>
      </c>
      <c r="C41" s="1388" t="s">
        <v>115</v>
      </c>
      <c r="D41" s="1389"/>
      <c r="E41" s="1389"/>
      <c r="F41" s="1389"/>
      <c r="G41" s="1390"/>
      <c r="H41" s="1403"/>
      <c r="I41" s="1417"/>
      <c r="J41" s="1418"/>
      <c r="K41" s="1419"/>
      <c r="L41" s="1381"/>
      <c r="M41" s="1382"/>
    </row>
    <row r="42" spans="1:19" ht="33" customHeight="1" thickBot="1">
      <c r="B42" s="1277" t="s">
        <v>116</v>
      </c>
      <c r="C42" s="1355" t="s">
        <v>117</v>
      </c>
      <c r="D42" s="1356"/>
      <c r="E42" s="1356"/>
      <c r="F42" s="1356"/>
      <c r="G42" s="1357"/>
      <c r="H42" s="1403"/>
      <c r="I42" s="1414" t="s">
        <v>118</v>
      </c>
      <c r="J42" s="1415"/>
      <c r="K42" s="1416"/>
      <c r="L42" s="1383">
        <f ca="1">IFERROR(DCF!D74,"")</f>
        <v>0.47574985457496766</v>
      </c>
      <c r="M42" s="1384"/>
    </row>
    <row r="43" spans="1:19" ht="23.45" customHeight="1" thickBot="1">
      <c r="B43" s="1129" t="s">
        <v>119</v>
      </c>
      <c r="C43" s="1352" t="s">
        <v>120</v>
      </c>
      <c r="D43" s="1353"/>
      <c r="E43" s="1353"/>
      <c r="F43" s="1353"/>
      <c r="G43" s="1354"/>
      <c r="H43" s="1404"/>
      <c r="I43" s="1417"/>
      <c r="J43" s="1418"/>
      <c r="K43" s="1419"/>
      <c r="L43" s="1381"/>
      <c r="M43" s="1382"/>
    </row>
    <row r="44" spans="1:19" ht="17.649999999999999">
      <c r="B44" s="1372" t="s">
        <v>121</v>
      </c>
      <c r="C44" s="1373"/>
      <c r="D44" s="1373"/>
      <c r="E44" s="1373"/>
      <c r="F44" s="1373"/>
      <c r="G44" s="1373"/>
      <c r="H44" s="1373"/>
      <c r="I44" s="1373"/>
      <c r="J44" s="1373"/>
      <c r="K44" s="1373"/>
      <c r="L44" s="1373"/>
      <c r="M44" s="1374"/>
    </row>
    <row r="45" spans="1:19" ht="13.15">
      <c r="B45" s="568" t="s">
        <v>122</v>
      </c>
      <c r="C45" s="108" t="s">
        <v>123</v>
      </c>
      <c r="D45" s="108" t="s">
        <v>124</v>
      </c>
      <c r="E45" s="129" t="s">
        <v>125</v>
      </c>
      <c r="F45" s="108" t="s">
        <v>126</v>
      </c>
      <c r="G45" s="108" t="s">
        <v>71</v>
      </c>
      <c r="H45" s="128" t="s">
        <v>59</v>
      </c>
      <c r="I45" s="128" t="s">
        <v>127</v>
      </c>
      <c r="J45" s="1328" t="s">
        <v>128</v>
      </c>
      <c r="K45" s="1328"/>
      <c r="L45" s="1328"/>
      <c r="M45" s="1378"/>
    </row>
    <row r="46" spans="1:19" ht="13.15">
      <c r="B46" s="569">
        <f t="shared" ref="B46:B52" si="0">B47-1</f>
        <v>2015</v>
      </c>
      <c r="C46" s="127" cm="1">
        <f t="array" ref="C46:C54">_xlfn.SORTBY(TRANSPOSE(_xlfn.XLOOKUP(C$45,'Fin. Data'!$A:$A,'Fin. Data'!$B:$J,,0)),$B$46:$B$54,-1)</f>
        <v>16439.276000000002</v>
      </c>
      <c r="D46" s="104" cm="1">
        <f t="array" ref="D46:D54">_xlfn.SORTBY(TRANSPOSE(_xlfn.XLOOKUP(D$45,'Fin. Data'!$A:$A,'Fin. Data'!$B:$J,,0)),$B$46:$B$54,-1)</f>
        <v>3.9843603818075682E-2</v>
      </c>
      <c r="E46" s="127" cm="1">
        <f t="array" ref="E46:E54">_xlfn.SORTBY(TRANSPOSE(_xlfn.XLOOKUP(E$45,'Fin. Data'!$A:$A,'Fin. Data'!$B:$J,,0)),$B$46:$B$54,-1)</f>
        <v>-545.9</v>
      </c>
      <c r="F46" s="126">
        <f>Inputs!J75</f>
        <v>925.60000000000014</v>
      </c>
      <c r="G46" s="104" t="str" cm="1">
        <f t="array" ref="G46:G54">_xlfn.SORTBY(TRANSPOSE(_xlfn.XLOOKUP(G$45,'Fin. Data'!$A:$A,'Fin. Data'!$B:$J,,0)),$B$46:$B$54,-1)</f>
        <v>-</v>
      </c>
      <c r="H46" s="127" cm="1">
        <f t="array" ref="H46:H54">_xlfn.SORTBY(TRANSPOSE(_xlfn.XLOOKUP(H$45,'Fin. Data'!$A:$A,'Fin. Data'!$B:$J,,0)),$B$46:$B$54,-1)</f>
        <v>944.9</v>
      </c>
      <c r="I46" s="127" cm="1">
        <f t="array" ref="I46:I54">_xlfn.SORTBY(TRANSPOSE(_xlfn.XLOOKUP(I$45,'Fin. Data'!$A:$A,'Fin. Data'!$B:$J,,0)),$B$46:$B$54,-1)</f>
        <v>-444.6</v>
      </c>
      <c r="J46" s="370"/>
      <c r="K46" s="122"/>
      <c r="L46" s="105">
        <f>J20</f>
        <v>2023</v>
      </c>
      <c r="M46" s="371">
        <f>L46-1</f>
        <v>2022</v>
      </c>
    </row>
    <row r="47" spans="1:19" ht="13.15">
      <c r="B47" s="569">
        <f t="shared" si="0"/>
        <v>2016</v>
      </c>
      <c r="C47" s="127">
        <v>16208.121999999999</v>
      </c>
      <c r="D47" s="103">
        <v>8.8165673975060158E-2</v>
      </c>
      <c r="E47" s="127">
        <v>-480.19</v>
      </c>
      <c r="F47" s="126">
        <f>Inputs!I75</f>
        <v>98.450000000000159</v>
      </c>
      <c r="G47" s="104" t="str">
        <v>-</v>
      </c>
      <c r="H47" s="127">
        <v>687.05</v>
      </c>
      <c r="I47" s="127">
        <v>-1174.27</v>
      </c>
      <c r="J47" s="1476" t="s">
        <v>67</v>
      </c>
      <c r="K47" s="1477"/>
      <c r="L47" s="47">
        <f>_xlfn.XLOOKUP($J47,'Fin. Data'!$A:$A,'Fin. Data'!B:B,,0)</f>
        <v>4524.8490000000002</v>
      </c>
      <c r="M47" s="421">
        <f>_xlfn.XLOOKUP($J47,'Fin. Data'!$A:$A,'Fin. Data'!C:C,,0)</f>
        <v>7607.8180000000011</v>
      </c>
      <c r="N47" s="18">
        <f t="shared" ref="N47:N55" si="1">(C47/C46)-1</f>
        <v>-1.4061081522081742E-2</v>
      </c>
      <c r="O47" s="18">
        <f t="shared" ref="O47:O55" si="2">(D47/D46)-1</f>
        <v>1.2127936613771468</v>
      </c>
      <c r="P47" s="17"/>
      <c r="Q47" s="16"/>
      <c r="R47" s="16"/>
      <c r="S47" s="16"/>
    </row>
    <row r="48" spans="1:19" ht="13.15">
      <c r="B48" s="569">
        <f t="shared" si="0"/>
        <v>2017</v>
      </c>
      <c r="C48" s="127">
        <v>20252.393</v>
      </c>
      <c r="D48" s="103">
        <v>9.2927290123196796E-2</v>
      </c>
      <c r="E48" s="127">
        <v>-582.96</v>
      </c>
      <c r="F48" s="126">
        <f>Inputs!H75</f>
        <v>-1105.9000000000001</v>
      </c>
      <c r="G48" s="104" t="str">
        <v>-</v>
      </c>
      <c r="H48" s="127">
        <v>727.06</v>
      </c>
      <c r="I48" s="127">
        <v>-926.24</v>
      </c>
      <c r="J48" s="1476" t="s">
        <v>129</v>
      </c>
      <c r="K48" s="1477"/>
      <c r="L48" s="47">
        <f>_xlfn.XLOOKUP($J48,'Fin. Data'!$A:$A,'Fin. Data'!B:B,,0)</f>
        <v>7111.9</v>
      </c>
      <c r="M48" s="421">
        <f>_xlfn.XLOOKUP($J48,'Fin. Data'!$A:$A,'Fin. Data'!C:C,,0)</f>
        <v>10072</v>
      </c>
      <c r="N48" s="18">
        <f t="shared" si="1"/>
        <v>0.24952125853939155</v>
      </c>
      <c r="O48" s="18">
        <f t="shared" si="2"/>
        <v>5.4007596533358182E-2</v>
      </c>
      <c r="P48" s="17"/>
      <c r="Q48" s="16">
        <f t="shared" ref="Q48:Q54" si="3">F48/F47-1</f>
        <v>-12.233113255459607</v>
      </c>
      <c r="R48" s="16">
        <f t="shared" ref="R48:S54" si="4">H48/H47-1</f>
        <v>5.8234480751037099E-2</v>
      </c>
      <c r="S48" s="16">
        <f t="shared" si="4"/>
        <v>-0.21122058811005984</v>
      </c>
    </row>
    <row r="49" spans="2:19" ht="13.15">
      <c r="B49" s="569">
        <f t="shared" si="0"/>
        <v>2018</v>
      </c>
      <c r="C49" s="127">
        <v>25067.278999999999</v>
      </c>
      <c r="D49" s="103">
        <v>0.13699133440051472</v>
      </c>
      <c r="E49" s="127">
        <v>-1337.4</v>
      </c>
      <c r="F49" s="126">
        <f>Inputs!G75</f>
        <v>455.75000000000011</v>
      </c>
      <c r="G49" s="104">
        <v>0.23945325491333996</v>
      </c>
      <c r="H49" s="127">
        <v>719.64</v>
      </c>
      <c r="I49" s="127">
        <v>-933.96299999999997</v>
      </c>
      <c r="J49" s="1476" t="s">
        <v>130</v>
      </c>
      <c r="K49" s="1477"/>
      <c r="L49" s="47">
        <f>_xlfn.XLOOKUP($J49,'Fin. Data'!$A:$A,'Fin. Data'!B:B,,0)</f>
        <v>-2496.4299999999998</v>
      </c>
      <c r="M49" s="421">
        <f>_xlfn.XLOOKUP($J49,'Fin. Data'!$A:$A,'Fin. Data'!C:C,,0)</f>
        <v>-5702.71</v>
      </c>
      <c r="N49" s="18">
        <f t="shared" si="1"/>
        <v>0.23774405325829884</v>
      </c>
      <c r="O49" s="18">
        <f t="shared" si="2"/>
        <v>0.47417765243020393</v>
      </c>
      <c r="P49" s="17"/>
      <c r="Q49" s="16">
        <f t="shared" si="3"/>
        <v>-1.4121077855140611</v>
      </c>
      <c r="R49" s="16">
        <f t="shared" si="4"/>
        <v>-1.0205485104393008E-2</v>
      </c>
      <c r="S49" s="16">
        <f t="shared" si="4"/>
        <v>8.3380117464155745E-3</v>
      </c>
    </row>
    <row r="50" spans="2:19" ht="13.15">
      <c r="B50" s="569">
        <f t="shared" si="0"/>
        <v>2019</v>
      </c>
      <c r="C50" s="127">
        <v>22588.858</v>
      </c>
      <c r="D50" s="103">
        <v>8.7126582494785706E-2</v>
      </c>
      <c r="E50" s="127">
        <v>-799.5</v>
      </c>
      <c r="F50" s="126">
        <f>Inputs!F75</f>
        <v>134.80000000000007</v>
      </c>
      <c r="G50" s="104">
        <v>0.23892682900238216</v>
      </c>
      <c r="H50" s="127">
        <v>734.65</v>
      </c>
      <c r="I50" s="127">
        <v>-1818.846</v>
      </c>
      <c r="J50" s="1478" t="s">
        <v>131</v>
      </c>
      <c r="K50" s="1479"/>
      <c r="L50" s="47">
        <f>_xlfn.XLOOKUP($J50,'Fin. Data'!$A:$A,'Fin. Data'!B:B,,0)</f>
        <v>-2199.3000000000002</v>
      </c>
      <c r="M50" s="421">
        <f>_xlfn.XLOOKUP($J50,'Fin. Data'!$A:$A,'Fin. Data'!C:C,,0)</f>
        <v>-1915.6</v>
      </c>
      <c r="N50" s="18">
        <f t="shared" si="1"/>
        <v>-9.8870762957559033E-2</v>
      </c>
      <c r="O50" s="18">
        <f t="shared" si="2"/>
        <v>-0.3639993151679356</v>
      </c>
      <c r="P50" s="17"/>
      <c r="Q50" s="16">
        <f t="shared" si="3"/>
        <v>-0.70422380691168396</v>
      </c>
      <c r="R50" s="16">
        <f t="shared" si="4"/>
        <v>2.0857651047746062E-2</v>
      </c>
      <c r="S50" s="16">
        <f t="shared" si="4"/>
        <v>0.94744973837293345</v>
      </c>
    </row>
    <row r="51" spans="2:19" ht="13.15">
      <c r="B51" s="569">
        <f t="shared" si="0"/>
        <v>2020</v>
      </c>
      <c r="C51" s="127">
        <v>20140</v>
      </c>
      <c r="D51" s="103">
        <v>8.0086891757696121E-2</v>
      </c>
      <c r="E51" s="127">
        <v>-538.42000000000007</v>
      </c>
      <c r="F51" s="126">
        <f>Inputs!E75</f>
        <v>1218.46</v>
      </c>
      <c r="G51" s="104">
        <v>0.2653661045246305</v>
      </c>
      <c r="H51" s="127">
        <v>785.47</v>
      </c>
      <c r="I51" s="127">
        <v>-1686.71</v>
      </c>
      <c r="J51" s="1478" t="s">
        <v>132</v>
      </c>
      <c r="K51" s="1479"/>
      <c r="L51" s="47">
        <f>_xlfn.XLOOKUP($J51,'Fin. Data'!$A:$A,'Fin. Data'!B:B,,0)</f>
        <v>-225.0440000000001</v>
      </c>
      <c r="M51" s="421">
        <f>_xlfn.XLOOKUP($J51,'Fin. Data'!$A:$A,'Fin. Data'!C:C,,0)</f>
        <v>-3876.9160000000002</v>
      </c>
      <c r="N51" s="18">
        <f t="shared" si="1"/>
        <v>-0.10840999575985644</v>
      </c>
      <c r="O51" s="18">
        <f t="shared" si="2"/>
        <v>-8.0798426100448628E-2</v>
      </c>
      <c r="P51" s="17"/>
      <c r="Q51" s="16">
        <f t="shared" si="3"/>
        <v>8.0390207715133482</v>
      </c>
      <c r="R51" s="16">
        <f t="shared" si="4"/>
        <v>6.9175797999047273E-2</v>
      </c>
      <c r="S51" s="16">
        <f t="shared" si="4"/>
        <v>-7.2648261590041119E-2</v>
      </c>
    </row>
    <row r="52" spans="2:19" ht="13.15">
      <c r="B52" s="569">
        <f t="shared" si="0"/>
        <v>2021</v>
      </c>
      <c r="C52" s="127">
        <v>36484</v>
      </c>
      <c r="D52" s="103">
        <v>0.25541086503672844</v>
      </c>
      <c r="E52" s="127">
        <v>-3687.5600000000004</v>
      </c>
      <c r="F52" s="126">
        <f>Inputs!D75</f>
        <v>-245.92999999999984</v>
      </c>
      <c r="G52" s="104">
        <v>0.22153962924668225</v>
      </c>
      <c r="H52" s="127">
        <v>864.56</v>
      </c>
      <c r="I52" s="127">
        <v>-2874.0259999999998</v>
      </c>
      <c r="J52" s="1476" t="s">
        <v>133</v>
      </c>
      <c r="K52" s="1477"/>
      <c r="L52" s="47">
        <f>_xlfn.XLOOKUP($J52,'Fin. Data'!$A:$A,'Fin. Data'!B:B,,0)</f>
        <v>-2592.81</v>
      </c>
      <c r="M52" s="421">
        <f>_xlfn.XLOOKUP($J52,'Fin. Data'!$A:$A,'Fin. Data'!C:C,,0)</f>
        <v>-2510.86</v>
      </c>
      <c r="N52" s="18">
        <f t="shared" si="1"/>
        <v>0.81151936444885808</v>
      </c>
      <c r="O52" s="18">
        <f t="shared" si="2"/>
        <v>2.189171903555418</v>
      </c>
      <c r="P52" s="17"/>
      <c r="Q52" s="16">
        <f t="shared" si="3"/>
        <v>-1.2018367447433644</v>
      </c>
      <c r="R52" s="16">
        <f t="shared" si="4"/>
        <v>0.10069130584236174</v>
      </c>
      <c r="S52" s="16">
        <f t="shared" si="4"/>
        <v>0.7039242074808354</v>
      </c>
    </row>
    <row r="53" spans="2:19" ht="13.15">
      <c r="B53" s="569">
        <f>B54-1</f>
        <v>2022</v>
      </c>
      <c r="C53" s="127">
        <v>41512</v>
      </c>
      <c r="D53" s="103">
        <v>0.25309019078820583</v>
      </c>
      <c r="E53" s="127">
        <v>-3337.3900000000003</v>
      </c>
      <c r="F53" s="126">
        <f>Inputs!C$75</f>
        <v>1858.4299999999998</v>
      </c>
      <c r="G53" s="104">
        <v>0.20602006822828148</v>
      </c>
      <c r="H53" s="127">
        <v>1061.6300000000001</v>
      </c>
      <c r="I53" s="127">
        <v>-5792.5159999999996</v>
      </c>
      <c r="J53" s="1478" t="s">
        <v>134</v>
      </c>
      <c r="K53" s="1479"/>
      <c r="L53" s="47">
        <f>_xlfn.XLOOKUP($J53,'Fin. Data'!$A:$A,'Fin. Data'!B:B,,0)</f>
        <v>-514.53</v>
      </c>
      <c r="M53" s="421">
        <f>_xlfn.XLOOKUP($J53,'Fin. Data'!$A:$A,'Fin. Data'!C:C,,0)</f>
        <v>-533.59</v>
      </c>
      <c r="N53" s="18">
        <f t="shared" si="1"/>
        <v>0.1378138362021708</v>
      </c>
      <c r="O53" s="18">
        <f t="shared" si="2"/>
        <v>-9.0860435721435984E-3</v>
      </c>
      <c r="P53" s="17"/>
      <c r="Q53" s="16">
        <f t="shared" si="3"/>
        <v>-8.5567437888830202</v>
      </c>
      <c r="R53" s="16">
        <f t="shared" si="4"/>
        <v>0.22794253724437885</v>
      </c>
      <c r="S53" s="16">
        <f t="shared" si="4"/>
        <v>1.0154709804295439</v>
      </c>
    </row>
    <row r="54" spans="2:19" ht="13.15">
      <c r="B54" s="569">
        <f>J20</f>
        <v>2023</v>
      </c>
      <c r="C54" s="127">
        <v>34714</v>
      </c>
      <c r="D54" s="103">
        <v>0.17947802039522959</v>
      </c>
      <c r="E54" s="127">
        <v>-2106.0500000000002</v>
      </c>
      <c r="F54" s="126">
        <f>Inputs!B75</f>
        <v>2022.6599999999994</v>
      </c>
      <c r="G54" s="104">
        <v>0.19360741924986913</v>
      </c>
      <c r="H54" s="127">
        <v>1168.32</v>
      </c>
      <c r="I54" s="127">
        <v>-2424.3440000000001</v>
      </c>
      <c r="J54" s="1478" t="s">
        <v>135</v>
      </c>
      <c r="K54" s="1479"/>
      <c r="L54" s="47">
        <f>_xlfn.XLOOKUP($J54,'Fin. Data'!$A:$A,'Fin. Data'!B:B,,0)</f>
        <v>-1591.52</v>
      </c>
      <c r="M54" s="421">
        <f>_xlfn.XLOOKUP($J54,'Fin. Data'!$A:$A,'Fin. Data'!C:C,,0)</f>
        <v>-2803.8</v>
      </c>
      <c r="N54" s="18">
        <f t="shared" si="1"/>
        <v>-0.16375987666216996</v>
      </c>
      <c r="O54" s="18">
        <f t="shared" si="2"/>
        <v>-0.29085351021990935</v>
      </c>
      <c r="P54" s="17"/>
      <c r="Q54" s="16">
        <f t="shared" si="3"/>
        <v>8.8370291052124461E-2</v>
      </c>
      <c r="R54" s="16">
        <f t="shared" si="4"/>
        <v>0.10049640646929703</v>
      </c>
      <c r="S54" s="16">
        <f t="shared" si="4"/>
        <v>-0.58146960664415936</v>
      </c>
    </row>
    <row r="55" spans="2:19">
      <c r="B55" s="570" t="s">
        <v>136</v>
      </c>
      <c r="C55" s="106">
        <f>IFERROR((C54/C46)^(1/8)-1,"")</f>
        <v>9.7937823306700533E-2</v>
      </c>
      <c r="D55" s="106">
        <f>IFERROR((D54/D46)^(1/8)-1,"")</f>
        <v>0.20699808819644017</v>
      </c>
      <c r="E55" s="121"/>
      <c r="F55" s="106">
        <f>IFERROR((F54/F46)^(1/8)-1,"")</f>
        <v>0.10264939242457394</v>
      </c>
      <c r="G55" s="121"/>
      <c r="H55" s="106">
        <f>IFERROR((H54/H46)^(1/8)-1,"")</f>
        <v>2.6885438006830853E-2</v>
      </c>
      <c r="I55" s="121"/>
      <c r="J55" s="1476" t="s">
        <v>137</v>
      </c>
      <c r="K55" s="1477"/>
      <c r="L55" s="47">
        <f>_xlfn.XLOOKUP($J55,'Fin. Data'!$A:$A,'Fin. Data'!B:B,,0)</f>
        <v>0</v>
      </c>
      <c r="M55" s="421">
        <f>_xlfn.XLOOKUP($J55,'Fin. Data'!$A:$A,'Fin. Data'!C:C,,0)</f>
        <v>0</v>
      </c>
      <c r="N55" s="18">
        <f t="shared" si="1"/>
        <v>-0.99999717872261029</v>
      </c>
      <c r="O55" s="18">
        <f t="shared" si="2"/>
        <v>0.15333391654648554</v>
      </c>
      <c r="P55" s="17"/>
      <c r="Q55" s="16"/>
      <c r="R55" s="16"/>
      <c r="S55" s="16"/>
    </row>
    <row r="56" spans="2:19" ht="13.15">
      <c r="B56" s="570" t="s">
        <v>138</v>
      </c>
      <c r="C56" s="106">
        <f>IFERROR(AVERAGE(N47:N54),"")</f>
        <v>0.1314370994433815</v>
      </c>
      <c r="D56" s="106">
        <f>IFERROR(AVERAGE(O47:O54),"")</f>
        <v>0.39817668985446125</v>
      </c>
      <c r="E56" s="121"/>
      <c r="F56" s="106">
        <f>IFERROR(AVERAGE(Q47:Q54),"")</f>
        <v>-2.2829477598494661</v>
      </c>
      <c r="G56" s="121"/>
      <c r="H56" s="106">
        <f>IFERROR(AVERAGE(S47:S54),"")</f>
        <v>0.25854921166935257</v>
      </c>
      <c r="I56" s="121"/>
      <c r="J56" s="1483" t="s">
        <v>139</v>
      </c>
      <c r="K56" s="1484"/>
      <c r="L56" s="130">
        <f>L48-L49+L52-L53-L54</f>
        <v>9121.57</v>
      </c>
      <c r="M56" s="372">
        <f>M48-M49+M52-M53-M54</f>
        <v>16601.239999999998</v>
      </c>
    </row>
    <row r="57" spans="2:19" ht="13.15">
      <c r="B57" s="570" t="s">
        <v>140</v>
      </c>
      <c r="C57" s="106">
        <f>IFERROR(STDEV(C47:C54)/AVERAGE(C47:C54),"")</f>
        <v>0.33913714836569381</v>
      </c>
      <c r="D57" s="106">
        <f>IFERROR(STDEV(D46:D54)/AVERAGE(D46:D54),"")</f>
        <v>0.57914570068014626</v>
      </c>
      <c r="E57" s="121"/>
      <c r="F57" s="106">
        <f>IFERROR(STDEV(F46:F54)/AVERAGE(F46:F54),"")</f>
        <v>1.700307706317429</v>
      </c>
      <c r="G57" s="121"/>
      <c r="H57" s="106">
        <f>IFERROR(STDEV(H46:H54)/AVERAGE(H46:H54),"")</f>
        <v>0.1988985904303984</v>
      </c>
      <c r="I57" s="121"/>
      <c r="J57" s="1485" t="s">
        <v>141</v>
      </c>
      <c r="K57" s="1486"/>
      <c r="L57" s="368">
        <f>IFERROR(SUM(I51:I54)/(C54-C50),"")</f>
        <v>-1.0538100089879361</v>
      </c>
      <c r="M57" s="420">
        <f>IFERROR((SUM(I51:I54)-SUM(H51:H54))/(C54-C50),"")</f>
        <v>-1.3738046119377407</v>
      </c>
    </row>
    <row r="58" spans="2:19">
      <c r="B58" s="570" t="s">
        <v>142</v>
      </c>
      <c r="C58" s="106">
        <f>IFERROR(C54/C53-1,"")</f>
        <v>-0.16375987666216996</v>
      </c>
      <c r="D58" s="106">
        <f>IFERROR(D54/D53-1,"")</f>
        <v>-0.29085351021990935</v>
      </c>
      <c r="E58" s="121"/>
      <c r="F58" s="106">
        <f>IFERROR(1-(F54/F53),"")</f>
        <v>-8.8370291052124461E-2</v>
      </c>
      <c r="G58" s="121"/>
      <c r="H58" s="106">
        <f>IFERROR(1-(H54/H53),"")</f>
        <v>-0.10049640646929703</v>
      </c>
      <c r="I58" s="121"/>
      <c r="J58" s="1487" t="s">
        <v>143</v>
      </c>
      <c r="K58" s="1488"/>
      <c r="L58" s="369">
        <f>IFERROR(L57/E27,"")</f>
        <v>-4.1046764937434643</v>
      </c>
      <c r="M58" s="373">
        <f>IFERROR(M57/E27,"")</f>
        <v>-5.3510817410368334</v>
      </c>
    </row>
    <row r="59" spans="2:19" ht="17.649999999999999">
      <c r="B59" s="1372" t="s">
        <v>144</v>
      </c>
      <c r="C59" s="1373"/>
      <c r="D59" s="1373"/>
      <c r="E59" s="1373"/>
      <c r="F59" s="1373"/>
      <c r="G59" s="1373"/>
      <c r="H59" s="1373"/>
      <c r="I59" s="1373"/>
      <c r="J59" s="1373"/>
      <c r="K59" s="1373"/>
      <c r="L59" s="1373"/>
      <c r="M59" s="1374"/>
    </row>
    <row r="60" spans="2:19" ht="15">
      <c r="B60" s="1346" t="s">
        <v>145</v>
      </c>
      <c r="C60" s="1309"/>
      <c r="D60" s="1309"/>
      <c r="E60" s="1309"/>
      <c r="F60" s="1309"/>
      <c r="G60" s="1309"/>
      <c r="H60" s="1309"/>
      <c r="I60" s="1309"/>
      <c r="J60" s="1309" t="s">
        <v>146</v>
      </c>
      <c r="K60" s="1309"/>
      <c r="L60" s="1309"/>
      <c r="M60" s="1310"/>
    </row>
    <row r="61" spans="2:19" ht="13.15">
      <c r="B61" s="1480" t="s">
        <v>147</v>
      </c>
      <c r="C61" s="1328"/>
      <c r="D61" s="1328"/>
      <c r="E61" s="1328" t="s">
        <v>148</v>
      </c>
      <c r="F61" s="1328"/>
      <c r="G61" s="1328"/>
      <c r="H61" s="1328"/>
      <c r="I61" s="1328"/>
      <c r="J61" s="1328" t="s">
        <v>149</v>
      </c>
      <c r="K61" s="1328"/>
      <c r="L61" s="1328"/>
      <c r="M61" s="710" t="s">
        <v>150</v>
      </c>
    </row>
    <row r="62" spans="2:19" ht="15" customHeight="1">
      <c r="B62" s="1329" t="s">
        <v>151</v>
      </c>
      <c r="C62" s="1320"/>
      <c r="D62" s="1321"/>
      <c r="E62" s="1311" t="s">
        <v>152</v>
      </c>
      <c r="F62" s="1320"/>
      <c r="G62" s="1320"/>
      <c r="H62" s="1320"/>
      <c r="I62" s="1321"/>
      <c r="J62" s="1332" t="s">
        <v>153</v>
      </c>
      <c r="K62" s="1333"/>
      <c r="L62" s="1334"/>
      <c r="M62" s="1262">
        <v>0.12</v>
      </c>
    </row>
    <row r="63" spans="2:19" ht="15" customHeight="1">
      <c r="B63" s="1481"/>
      <c r="C63" s="1323"/>
      <c r="D63" s="1324"/>
      <c r="E63" s="1322"/>
      <c r="F63" s="1323"/>
      <c r="G63" s="1323"/>
      <c r="H63" s="1323"/>
      <c r="I63" s="1324"/>
      <c r="J63" s="1332" t="s">
        <v>154</v>
      </c>
      <c r="K63" s="1333"/>
      <c r="L63" s="1334"/>
      <c r="M63" s="1262">
        <v>0.104</v>
      </c>
    </row>
    <row r="64" spans="2:19" ht="15" customHeight="1">
      <c r="B64" s="1481"/>
      <c r="C64" s="1323"/>
      <c r="D64" s="1324"/>
      <c r="E64" s="1322"/>
      <c r="F64" s="1323"/>
      <c r="G64" s="1323"/>
      <c r="H64" s="1323"/>
      <c r="I64" s="1324"/>
      <c r="J64" s="1332" t="s">
        <v>155</v>
      </c>
      <c r="K64" s="1333"/>
      <c r="L64" s="1334"/>
      <c r="M64" s="1262">
        <v>5.3400000000000003E-2</v>
      </c>
    </row>
    <row r="65" spans="2:13" ht="15" customHeight="1">
      <c r="B65" s="1481"/>
      <c r="C65" s="1323"/>
      <c r="D65" s="1324"/>
      <c r="E65" s="1322"/>
      <c r="F65" s="1323"/>
      <c r="G65" s="1323"/>
      <c r="H65" s="1323"/>
      <c r="I65" s="1324"/>
      <c r="J65" s="1332" t="s">
        <v>156</v>
      </c>
      <c r="K65" s="1333"/>
      <c r="L65" s="1334"/>
      <c r="M65" s="1262">
        <v>4.6800000000000001E-2</v>
      </c>
    </row>
    <row r="66" spans="2:13" ht="13.15">
      <c r="B66" s="1481"/>
      <c r="C66" s="1323"/>
      <c r="D66" s="1324"/>
      <c r="E66" s="1322"/>
      <c r="F66" s="1323"/>
      <c r="G66" s="1323"/>
      <c r="H66" s="1323"/>
      <c r="I66" s="1324"/>
      <c r="J66" s="1332" t="s">
        <v>157</v>
      </c>
      <c r="K66" s="1333"/>
      <c r="L66" s="1334"/>
      <c r="M66" s="1262">
        <v>2.4400000000000002E-2</v>
      </c>
    </row>
    <row r="67" spans="2:13" ht="13.15">
      <c r="B67" s="1481"/>
      <c r="C67" s="1323"/>
      <c r="D67" s="1324"/>
      <c r="E67" s="1322"/>
      <c r="F67" s="1323"/>
      <c r="G67" s="1323"/>
      <c r="H67" s="1323"/>
      <c r="I67" s="1324"/>
      <c r="J67" s="1332" t="s">
        <v>158</v>
      </c>
      <c r="K67" s="1333"/>
      <c r="L67" s="1334"/>
      <c r="M67" s="1262">
        <v>2.1899999999999999E-2</v>
      </c>
    </row>
    <row r="68" spans="2:13" ht="13.15">
      <c r="B68" s="1481"/>
      <c r="C68" s="1323"/>
      <c r="D68" s="1324"/>
      <c r="E68" s="1322"/>
      <c r="F68" s="1323"/>
      <c r="G68" s="1323"/>
      <c r="H68" s="1323"/>
      <c r="I68" s="1324"/>
      <c r="J68" s="1332" t="s">
        <v>159</v>
      </c>
      <c r="K68" s="1333"/>
      <c r="L68" s="1334"/>
      <c r="M68" s="1262">
        <v>1.6500000000000001E-2</v>
      </c>
    </row>
    <row r="69" spans="2:13" ht="13.15">
      <c r="B69" s="1481"/>
      <c r="C69" s="1323"/>
      <c r="D69" s="1324"/>
      <c r="E69" s="1322"/>
      <c r="F69" s="1323"/>
      <c r="G69" s="1323"/>
      <c r="H69" s="1323"/>
      <c r="I69" s="1324"/>
      <c r="J69" s="1332" t="s">
        <v>160</v>
      </c>
      <c r="K69" s="1333"/>
      <c r="L69" s="1334"/>
      <c r="M69" s="1262">
        <v>1.5900000000000001E-2</v>
      </c>
    </row>
    <row r="70" spans="2:13" ht="13.15">
      <c r="B70" s="1481"/>
      <c r="C70" s="1323"/>
      <c r="D70" s="1324"/>
      <c r="E70" s="1322"/>
      <c r="F70" s="1323"/>
      <c r="G70" s="1323"/>
      <c r="H70" s="1323"/>
      <c r="I70" s="1324"/>
      <c r="J70" s="1332" t="s">
        <v>161</v>
      </c>
      <c r="K70" s="1333"/>
      <c r="L70" s="1334"/>
      <c r="M70" s="1262">
        <v>1.2200000000000001E-2</v>
      </c>
    </row>
    <row r="71" spans="2:13" ht="13.15">
      <c r="B71" s="1482"/>
      <c r="C71" s="1326"/>
      <c r="D71" s="1327"/>
      <c r="E71" s="1325"/>
      <c r="F71" s="1326"/>
      <c r="G71" s="1326"/>
      <c r="H71" s="1326"/>
      <c r="I71" s="1327"/>
      <c r="J71" s="1332" t="s">
        <v>162</v>
      </c>
      <c r="K71" s="1333"/>
      <c r="L71" s="1334"/>
      <c r="M71" s="1262">
        <v>1.18E-2</v>
      </c>
    </row>
    <row r="72" spans="2:13" ht="13.15">
      <c r="B72" s="1480" t="s">
        <v>163</v>
      </c>
      <c r="C72" s="1328"/>
      <c r="D72" s="1328"/>
      <c r="E72" s="1328" t="s">
        <v>164</v>
      </c>
      <c r="F72" s="1328"/>
      <c r="G72" s="1328"/>
      <c r="H72" s="1328"/>
      <c r="I72" s="1328"/>
      <c r="J72" s="1332" t="s">
        <v>165</v>
      </c>
      <c r="K72" s="1333"/>
      <c r="L72" s="1334"/>
      <c r="M72" s="1262">
        <v>1.04E-2</v>
      </c>
    </row>
    <row r="73" spans="2:13" ht="15" customHeight="1">
      <c r="B73" s="1329" t="s">
        <v>166</v>
      </c>
      <c r="C73" s="1312"/>
      <c r="D73" s="1313"/>
      <c r="E73" s="1311" t="s">
        <v>167</v>
      </c>
      <c r="F73" s="1312"/>
      <c r="G73" s="1312"/>
      <c r="H73" s="1312"/>
      <c r="I73" s="1313"/>
      <c r="J73" s="1332" t="s">
        <v>168</v>
      </c>
      <c r="K73" s="1333"/>
      <c r="L73" s="1334"/>
      <c r="M73" s="1262">
        <v>1.03E-2</v>
      </c>
    </row>
    <row r="74" spans="2:13" ht="15" customHeight="1">
      <c r="B74" s="1330"/>
      <c r="C74" s="1315"/>
      <c r="D74" s="1316"/>
      <c r="E74" s="1314"/>
      <c r="F74" s="1315"/>
      <c r="G74" s="1315"/>
      <c r="H74" s="1315"/>
      <c r="I74" s="1316"/>
      <c r="J74" s="1332" t="s">
        <v>169</v>
      </c>
      <c r="K74" s="1333"/>
      <c r="L74" s="1334"/>
      <c r="M74" s="1262">
        <v>9.7999999999999997E-3</v>
      </c>
    </row>
    <row r="75" spans="2:13" ht="15" customHeight="1">
      <c r="B75" s="1330"/>
      <c r="C75" s="1315"/>
      <c r="D75" s="1316"/>
      <c r="E75" s="1314"/>
      <c r="F75" s="1315"/>
      <c r="G75" s="1315"/>
      <c r="H75" s="1315"/>
      <c r="I75" s="1316"/>
      <c r="J75" s="1332" t="s">
        <v>170</v>
      </c>
      <c r="K75" s="1333"/>
      <c r="L75" s="1334"/>
      <c r="M75" s="1262">
        <v>9.1000000000000004E-3</v>
      </c>
    </row>
    <row r="76" spans="2:13" ht="15" customHeight="1">
      <c r="B76" s="1330"/>
      <c r="C76" s="1315"/>
      <c r="D76" s="1316"/>
      <c r="E76" s="1314"/>
      <c r="F76" s="1315"/>
      <c r="G76" s="1315"/>
      <c r="H76" s="1315"/>
      <c r="I76" s="1316"/>
      <c r="J76" s="1332" t="s">
        <v>171</v>
      </c>
      <c r="K76" s="1333"/>
      <c r="L76" s="1334"/>
      <c r="M76" s="1262">
        <v>8.5000000000000006E-3</v>
      </c>
    </row>
    <row r="77" spans="2:13" ht="13.15">
      <c r="B77" s="1330"/>
      <c r="C77" s="1315"/>
      <c r="D77" s="1316"/>
      <c r="E77" s="1314"/>
      <c r="F77" s="1315"/>
      <c r="G77" s="1315"/>
      <c r="H77" s="1315"/>
      <c r="I77" s="1316"/>
      <c r="J77" s="1332" t="s">
        <v>172</v>
      </c>
      <c r="K77" s="1333"/>
      <c r="L77" s="1334"/>
      <c r="M77" s="1262">
        <v>6.8999999999999999E-3</v>
      </c>
    </row>
    <row r="78" spans="2:13" ht="13.15">
      <c r="B78" s="1330"/>
      <c r="C78" s="1315"/>
      <c r="D78" s="1316"/>
      <c r="E78" s="1314"/>
      <c r="F78" s="1315"/>
      <c r="G78" s="1315"/>
      <c r="H78" s="1315"/>
      <c r="I78" s="1316"/>
      <c r="J78" s="1332" t="s">
        <v>173</v>
      </c>
      <c r="K78" s="1333"/>
      <c r="L78" s="1334"/>
      <c r="M78" s="1262">
        <v>6.8999999999999999E-3</v>
      </c>
    </row>
    <row r="79" spans="2:13" ht="13.15">
      <c r="B79" s="1330"/>
      <c r="C79" s="1315"/>
      <c r="D79" s="1316"/>
      <c r="E79" s="1314"/>
      <c r="F79" s="1315"/>
      <c r="G79" s="1315"/>
      <c r="H79" s="1315"/>
      <c r="I79" s="1316"/>
      <c r="J79" s="1332" t="s">
        <v>174</v>
      </c>
      <c r="K79" s="1333"/>
      <c r="L79" s="1334"/>
      <c r="M79" s="1262">
        <v>6.6E-3</v>
      </c>
    </row>
    <row r="80" spans="2:13" ht="13.15">
      <c r="B80" s="1330"/>
      <c r="C80" s="1315"/>
      <c r="D80" s="1316"/>
      <c r="E80" s="1314"/>
      <c r="F80" s="1315"/>
      <c r="G80" s="1315"/>
      <c r="H80" s="1315"/>
      <c r="I80" s="1316"/>
      <c r="J80" s="1335" t="s">
        <v>175</v>
      </c>
      <c r="K80" s="1336"/>
      <c r="L80" s="1337"/>
      <c r="M80" s="1262">
        <v>5.7000000000000002E-3</v>
      </c>
    </row>
    <row r="81" spans="2:13" ht="13.15">
      <c r="B81" s="1331"/>
      <c r="C81" s="1318"/>
      <c r="D81" s="1319"/>
      <c r="E81" s="1317"/>
      <c r="F81" s="1318"/>
      <c r="G81" s="1318"/>
      <c r="H81" s="1318"/>
      <c r="I81" s="1319"/>
      <c r="J81" s="1335" t="s">
        <v>176</v>
      </c>
      <c r="K81" s="1336"/>
      <c r="L81" s="1336"/>
      <c r="M81" s="1263">
        <f>SUM(M62:M80)</f>
        <v>0.50109999999999999</v>
      </c>
    </row>
    <row r="82" spans="2:13" ht="15">
      <c r="B82" s="1391" t="s">
        <v>177</v>
      </c>
      <c r="C82" s="1392"/>
      <c r="D82" s="1392"/>
      <c r="E82" s="1392"/>
      <c r="F82" s="1392"/>
      <c r="G82" s="1309" t="s">
        <v>178</v>
      </c>
      <c r="H82" s="1309"/>
      <c r="I82" s="1309"/>
      <c r="J82" s="1309"/>
      <c r="K82" s="1309"/>
      <c r="L82" s="1309"/>
      <c r="M82" s="1310"/>
    </row>
    <row r="83" spans="2:13" s="10" customFormat="1">
      <c r="B83" s="1669"/>
      <c r="C83" s="1338"/>
      <c r="D83" s="1338"/>
      <c r="E83" s="1338"/>
      <c r="F83" s="1339"/>
      <c r="G83"/>
      <c r="H83"/>
      <c r="I83"/>
      <c r="J83"/>
      <c r="K83"/>
      <c r="L83"/>
      <c r="M83" s="44"/>
    </row>
    <row r="84" spans="2:13">
      <c r="B84" s="1340"/>
      <c r="C84" s="1341"/>
      <c r="D84" s="1341"/>
      <c r="E84" s="1341"/>
      <c r="F84" s="1342"/>
      <c r="M84" s="44"/>
    </row>
    <row r="85" spans="2:13">
      <c r="B85" s="1340"/>
      <c r="C85" s="1341"/>
      <c r="D85" s="1341"/>
      <c r="E85" s="1341"/>
      <c r="F85" s="1342"/>
      <c r="M85" s="44"/>
    </row>
    <row r="86" spans="2:13">
      <c r="B86" s="1340"/>
      <c r="C86" s="1341"/>
      <c r="D86" s="1341"/>
      <c r="E86" s="1341"/>
      <c r="F86" s="1342"/>
      <c r="M86" s="44"/>
    </row>
    <row r="87" spans="2:13">
      <c r="B87" s="1340"/>
      <c r="C87" s="1341"/>
      <c r="D87" s="1341"/>
      <c r="E87" s="1341"/>
      <c r="F87" s="1342"/>
      <c r="M87" s="44"/>
    </row>
    <row r="88" spans="2:13">
      <c r="B88" s="1340"/>
      <c r="C88" s="1341"/>
      <c r="D88" s="1341"/>
      <c r="E88" s="1341"/>
      <c r="F88" s="1342"/>
      <c r="M88" s="44"/>
    </row>
    <row r="89" spans="2:13">
      <c r="B89" s="1340"/>
      <c r="C89" s="1341"/>
      <c r="D89" s="1341"/>
      <c r="E89" s="1341"/>
      <c r="F89" s="1342"/>
      <c r="M89" s="44"/>
    </row>
    <row r="90" spans="2:13">
      <c r="B90" s="1340"/>
      <c r="C90" s="1341"/>
      <c r="D90" s="1341"/>
      <c r="E90" s="1341"/>
      <c r="F90" s="1342"/>
      <c r="M90" s="44"/>
    </row>
    <row r="91" spans="2:13">
      <c r="B91" s="1340"/>
      <c r="C91" s="1341"/>
      <c r="D91" s="1341"/>
      <c r="E91" s="1341"/>
      <c r="F91" s="1342"/>
      <c r="M91" s="44"/>
    </row>
    <row r="92" spans="2:13">
      <c r="B92" s="1340"/>
      <c r="C92" s="1341"/>
      <c r="D92" s="1341"/>
      <c r="E92" s="1341"/>
      <c r="F92" s="1342"/>
      <c r="M92" s="44"/>
    </row>
    <row r="93" spans="2:13">
      <c r="B93" s="1340"/>
      <c r="C93" s="1341"/>
      <c r="D93" s="1341"/>
      <c r="E93" s="1341"/>
      <c r="F93" s="1342"/>
      <c r="M93" s="44"/>
    </row>
    <row r="94" spans="2:13">
      <c r="B94" s="1340"/>
      <c r="C94" s="1341"/>
      <c r="D94" s="1341"/>
      <c r="E94" s="1341"/>
      <c r="F94" s="1342"/>
      <c r="M94" s="44"/>
    </row>
    <row r="95" spans="2:13">
      <c r="B95" s="1340"/>
      <c r="C95" s="1341"/>
      <c r="D95" s="1341"/>
      <c r="E95" s="1341"/>
      <c r="F95" s="1342"/>
      <c r="M95" s="44"/>
    </row>
    <row r="96" spans="2:13">
      <c r="B96" s="1340"/>
      <c r="C96" s="1341"/>
      <c r="D96" s="1341"/>
      <c r="E96" s="1341"/>
      <c r="F96" s="1342"/>
      <c r="M96" s="44"/>
    </row>
    <row r="97" spans="2:13">
      <c r="B97" s="1340"/>
      <c r="C97" s="1341"/>
      <c r="D97" s="1341"/>
      <c r="E97" s="1341"/>
      <c r="F97" s="1342"/>
      <c r="M97" s="44"/>
    </row>
    <row r="98" spans="2:13">
      <c r="B98" s="1340"/>
      <c r="C98" s="1341"/>
      <c r="D98" s="1341"/>
      <c r="E98" s="1341"/>
      <c r="F98" s="1342"/>
      <c r="M98" s="44"/>
    </row>
    <row r="99" spans="2:13">
      <c r="B99" s="1340"/>
      <c r="C99" s="1341"/>
      <c r="D99" s="1341"/>
      <c r="E99" s="1341"/>
      <c r="F99" s="1342"/>
      <c r="M99" s="44"/>
    </row>
    <row r="100" spans="2:13">
      <c r="B100" s="1340"/>
      <c r="C100" s="1341"/>
      <c r="D100" s="1341"/>
      <c r="E100" s="1341"/>
      <c r="F100" s="1342"/>
      <c r="M100" s="44"/>
    </row>
    <row r="101" spans="2:13">
      <c r="B101" s="1340"/>
      <c r="C101" s="1341"/>
      <c r="D101" s="1341"/>
      <c r="E101" s="1341"/>
      <c r="F101" s="1342"/>
      <c r="M101" s="44"/>
    </row>
    <row r="102" spans="2:13">
      <c r="B102" s="1340"/>
      <c r="C102" s="1341"/>
      <c r="D102" s="1341"/>
      <c r="E102" s="1341"/>
      <c r="F102" s="1342"/>
      <c r="M102" s="44"/>
    </row>
    <row r="103" spans="2:13">
      <c r="B103" s="1340"/>
      <c r="C103" s="1341"/>
      <c r="D103" s="1341"/>
      <c r="E103" s="1341"/>
      <c r="F103" s="1342"/>
      <c r="M103" s="44"/>
    </row>
    <row r="104" spans="2:13">
      <c r="B104" s="1340"/>
      <c r="C104" s="1341"/>
      <c r="D104" s="1341"/>
      <c r="E104" s="1341"/>
      <c r="F104" s="1342"/>
      <c r="M104" s="44"/>
    </row>
    <row r="105" spans="2:13">
      <c r="B105" s="1340"/>
      <c r="C105" s="1341"/>
      <c r="D105" s="1341"/>
      <c r="E105" s="1341"/>
      <c r="F105" s="1342"/>
      <c r="M105" s="44"/>
    </row>
    <row r="106" spans="2:13" ht="13.15" thickBot="1">
      <c r="B106" s="1340"/>
      <c r="C106" s="1341"/>
      <c r="D106" s="1341"/>
      <c r="E106" s="1341"/>
      <c r="F106" s="1342"/>
      <c r="M106" s="44"/>
    </row>
    <row r="107" spans="2:13" ht="30" customHeight="1" thickBot="1">
      <c r="B107" s="1343"/>
      <c r="C107" s="1344"/>
      <c r="D107" s="1344"/>
      <c r="E107" s="1344"/>
      <c r="F107" s="1345"/>
      <c r="G107" s="1308" t="e" vm="1">
        <f>E2</f>
        <v>#VALUE!</v>
      </c>
      <c r="H107" s="1308"/>
      <c r="I107" s="571" t="e" vm="3">
        <f>Peers!C2</f>
        <v>#VALUE!</v>
      </c>
      <c r="J107" s="1306" t="e" vm="4">
        <f>Peers!C4</f>
        <v>#VALUE!</v>
      </c>
      <c r="K107" s="1307"/>
      <c r="L107" s="573" t="e" vm="5">
        <f>Peers!C5</f>
        <v>#VALUE!</v>
      </c>
      <c r="M107" s="572" t="e" vm="6">
        <f>Peers!C3</f>
        <v>#VALUE!</v>
      </c>
    </row>
  </sheetData>
  <mergeCells count="134">
    <mergeCell ref="B61:D61"/>
    <mergeCell ref="B72:D72"/>
    <mergeCell ref="B62:D71"/>
    <mergeCell ref="J60:M60"/>
    <mergeCell ref="J55:K55"/>
    <mergeCell ref="J56:K56"/>
    <mergeCell ref="J57:K57"/>
    <mergeCell ref="J58:K58"/>
    <mergeCell ref="J76:L76"/>
    <mergeCell ref="J71:L71"/>
    <mergeCell ref="J72:L72"/>
    <mergeCell ref="J73:L73"/>
    <mergeCell ref="J74:L74"/>
    <mergeCell ref="I39:M39"/>
    <mergeCell ref="J47:K47"/>
    <mergeCell ref="J48:K48"/>
    <mergeCell ref="J49:K49"/>
    <mergeCell ref="J50:K50"/>
    <mergeCell ref="J51:K51"/>
    <mergeCell ref="J52:K52"/>
    <mergeCell ref="J53:K53"/>
    <mergeCell ref="J54:K54"/>
    <mergeCell ref="E2:K2"/>
    <mergeCell ref="F20:G20"/>
    <mergeCell ref="F26:G26"/>
    <mergeCell ref="J21:K21"/>
    <mergeCell ref="I22:J22"/>
    <mergeCell ref="I23:J23"/>
    <mergeCell ref="I24:J24"/>
    <mergeCell ref="I25:J25"/>
    <mergeCell ref="I26:J26"/>
    <mergeCell ref="D3:G3"/>
    <mergeCell ref="H3:M3"/>
    <mergeCell ref="F19:H19"/>
    <mergeCell ref="J4:K4"/>
    <mergeCell ref="J5:K5"/>
    <mergeCell ref="L15:M15"/>
    <mergeCell ref="L16:M16"/>
    <mergeCell ref="L17:M17"/>
    <mergeCell ref="F29:G30"/>
    <mergeCell ref="J20:K20"/>
    <mergeCell ref="I27:J27"/>
    <mergeCell ref="I28:J28"/>
    <mergeCell ref="D4:G17"/>
    <mergeCell ref="B3:C14"/>
    <mergeCell ref="B15:C15"/>
    <mergeCell ref="B33:M33"/>
    <mergeCell ref="F21:G25"/>
    <mergeCell ref="B19:C19"/>
    <mergeCell ref="B29:C29"/>
    <mergeCell ref="D19:E19"/>
    <mergeCell ref="F31:G32"/>
    <mergeCell ref="F27:G28"/>
    <mergeCell ref="H31:H32"/>
    <mergeCell ref="H29:H30"/>
    <mergeCell ref="H27:H28"/>
    <mergeCell ref="J12:K12"/>
    <mergeCell ref="J13:K13"/>
    <mergeCell ref="J14:K14"/>
    <mergeCell ref="J15:K15"/>
    <mergeCell ref="J16:K16"/>
    <mergeCell ref="J17:K17"/>
    <mergeCell ref="H40:H43"/>
    <mergeCell ref="L4:M4"/>
    <mergeCell ref="L5:M5"/>
    <mergeCell ref="L6:M6"/>
    <mergeCell ref="L7:M7"/>
    <mergeCell ref="L8:M8"/>
    <mergeCell ref="L9:M9"/>
    <mergeCell ref="L10:M10"/>
    <mergeCell ref="L11:M11"/>
    <mergeCell ref="L12:M12"/>
    <mergeCell ref="L19:M19"/>
    <mergeCell ref="H35:H38"/>
    <mergeCell ref="H21:H25"/>
    <mergeCell ref="I40:K41"/>
    <mergeCell ref="I42:K43"/>
    <mergeCell ref="B18:M18"/>
    <mergeCell ref="L13:M13"/>
    <mergeCell ref="L14:M14"/>
    <mergeCell ref="J6:K6"/>
    <mergeCell ref="J7:K7"/>
    <mergeCell ref="J8:K8"/>
    <mergeCell ref="J9:K9"/>
    <mergeCell ref="J10:K10"/>
    <mergeCell ref="J11:K11"/>
    <mergeCell ref="B83:F107"/>
    <mergeCell ref="B60:I60"/>
    <mergeCell ref="B34:G34"/>
    <mergeCell ref="I19:K19"/>
    <mergeCell ref="C43:G43"/>
    <mergeCell ref="C42:G42"/>
    <mergeCell ref="I29:J29"/>
    <mergeCell ref="I30:J30"/>
    <mergeCell ref="I31:J31"/>
    <mergeCell ref="I34:M34"/>
    <mergeCell ref="B39:G39"/>
    <mergeCell ref="C40:G40"/>
    <mergeCell ref="C35:G35"/>
    <mergeCell ref="B59:M59"/>
    <mergeCell ref="C36:G36"/>
    <mergeCell ref="J45:M45"/>
    <mergeCell ref="B44:M44"/>
    <mergeCell ref="L40:M41"/>
    <mergeCell ref="L42:M43"/>
    <mergeCell ref="C37:G37"/>
    <mergeCell ref="C38:G38"/>
    <mergeCell ref="C41:G41"/>
    <mergeCell ref="B82:F82"/>
    <mergeCell ref="I35:M38"/>
    <mergeCell ref="J107:K107"/>
    <mergeCell ref="G107:H107"/>
    <mergeCell ref="G82:M82"/>
    <mergeCell ref="E73:I81"/>
    <mergeCell ref="E62:I71"/>
    <mergeCell ref="J61:L61"/>
    <mergeCell ref="E72:I72"/>
    <mergeCell ref="B73:D81"/>
    <mergeCell ref="J64:L64"/>
    <mergeCell ref="J65:L65"/>
    <mergeCell ref="J66:L66"/>
    <mergeCell ref="J67:L67"/>
    <mergeCell ref="J68:L68"/>
    <mergeCell ref="J69:L69"/>
    <mergeCell ref="J70:L70"/>
    <mergeCell ref="J62:L62"/>
    <mergeCell ref="J63:L63"/>
    <mergeCell ref="E61:I61"/>
    <mergeCell ref="J75:L75"/>
    <mergeCell ref="J77:L77"/>
    <mergeCell ref="J78:L78"/>
    <mergeCell ref="J79:L79"/>
    <mergeCell ref="J81:L81"/>
    <mergeCell ref="J80:L80"/>
  </mergeCells>
  <phoneticPr fontId="0" type="noConversion"/>
  <conditionalFormatting sqref="C30">
    <cfRule type="expression" dxfId="121" priority="2">
      <formula>$C$9="Low"</formula>
    </cfRule>
  </conditionalFormatting>
  <conditionalFormatting sqref="C31">
    <cfRule type="expression" dxfId="120" priority="238">
      <formula>$C$15="Low"</formula>
    </cfRule>
  </conditionalFormatting>
  <conditionalFormatting sqref="C46:C54 D46:E46">
    <cfRule type="dataBar" priority="13">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6:D54">
    <cfRule type="dataBar" priority="12">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7:D54">
    <cfRule type="dataBar" priority="19">
      <dataBar>
        <cfvo type="min"/>
        <cfvo type="max"/>
        <color rgb="FF638EC6"/>
      </dataBar>
      <extLst>
        <ext xmlns:x14="http://schemas.microsoft.com/office/spreadsheetml/2009/9/main" uri="{B025F937-C7B1-47D3-B67F-A62EFF666E3E}">
          <x14:id>{8F05AC94-FB75-41DC-A030-BD50695363B2}</x14:id>
        </ext>
      </extLst>
    </cfRule>
    <cfRule type="dataBar" priority="21">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6:E54">
    <cfRule type="dataBar" priority="11">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7:E54">
    <cfRule type="dataBar" priority="14">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5:E58 G55:G58 I55:I58">
    <cfRule type="dataBar" priority="16">
      <dataBar>
        <cfvo type="min"/>
        <cfvo type="max"/>
        <color rgb="FF638EC6"/>
      </dataBar>
      <extLst>
        <ext xmlns:x14="http://schemas.microsoft.com/office/spreadsheetml/2009/9/main" uri="{B025F937-C7B1-47D3-B67F-A62EFF666E3E}">
          <x14:id>{4382A5A4-8938-4754-913D-04C8EB3E9944}</x14:id>
        </ext>
      </extLst>
    </cfRule>
    <cfRule type="dataBar" priority="17">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6:F54">
    <cfRule type="dataBar" priority="18">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6:G54">
    <cfRule type="dataBar" priority="20">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1">
    <cfRule type="dataBar" priority="10">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7 H29 H31">
    <cfRule type="dataBar" priority="237">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6:H54">
    <cfRule type="dataBar" priority="23">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6:I54">
    <cfRule type="dataBar" priority="15">
      <dataBar>
        <cfvo type="min"/>
        <cfvo type="max"/>
        <color rgb="FF63C384"/>
      </dataBar>
      <extLst>
        <ext xmlns:x14="http://schemas.microsoft.com/office/spreadsheetml/2009/9/main" uri="{B025F937-C7B1-47D3-B67F-A62EFF666E3E}">
          <x14:id>{60823727-C433-4BFE-A422-F2DB16A0B39B}</x14:id>
        </ext>
      </extLst>
    </cfRule>
  </conditionalFormatting>
  <conditionalFormatting sqref="L42:M43">
    <cfRule type="cellIs" dxfId="119" priority="3" operator="lessThan">
      <formula>0</formula>
    </cfRule>
    <cfRule type="cellIs" dxfId="118" priority="4" operator="greaterThan">
      <formula>0</formula>
    </cfRule>
  </conditionalFormatting>
  <conditionalFormatting sqref="M40:M43">
    <cfRule type="cellIs" dxfId="117" priority="5" operator="lessThan">
      <formula>0</formula>
    </cfRule>
    <cfRule type="cellIs" dxfId="116" priority="6" operator="greaterThan">
      <formula>0</formula>
    </cfRule>
  </conditionalFormatting>
  <printOptions horizontalCentered="1" verticalCentered="1"/>
  <pageMargins left="0" right="0" top="0.19685039370078741" bottom="0.19685039370078741" header="0" footer="0"/>
  <pageSetup paperSize="134" scale="64" orientation="landscape" r:id="rId1"/>
  <headerFooter alignWithMargins="0"/>
  <ignoredErrors>
    <ignoredError sqref="N47:S57"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C46:C54 D46:E46</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D46:D54</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D47:D54</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E46:E54</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E47:E54</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E55:E58 G55:G58 I55:I58</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F46:F54</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G46:G54</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H21</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H27 H29 H31</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H46:H54</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I46:I54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B1:Y131"/>
  <sheetViews>
    <sheetView showGridLines="0" zoomScale="85" zoomScaleNormal="85" workbookViewId="0">
      <selection activeCell="B74" sqref="B74:G74"/>
    </sheetView>
  </sheetViews>
  <sheetFormatPr defaultColWidth="11.42578125" defaultRowHeight="12.75"/>
  <cols>
    <col min="1" max="1" width="2.140625" customWidth="1"/>
    <col min="2" max="2" width="13.5703125" bestFit="1" customWidth="1"/>
    <col min="3" max="3" width="42.85546875" customWidth="1"/>
    <col min="4" max="4" width="15.42578125" style="2" customWidth="1"/>
    <col min="5" max="9" width="15.42578125" customWidth="1"/>
    <col min="10" max="10" width="11.42578125" bestFit="1" customWidth="1"/>
    <col min="11" max="11" width="14.140625" customWidth="1"/>
    <col min="12" max="12" width="14.42578125" customWidth="1"/>
    <col min="17" max="17" width="23.42578125" customWidth="1"/>
  </cols>
  <sheetData>
    <row r="1" spans="2:25" ht="7.5" customHeight="1" thickBot="1"/>
    <row r="2" spans="2:25" ht="21" thickBot="1">
      <c r="B2" s="1549" t="str">
        <f>"Regions "&amp;"("&amp;OP!$J$20&amp;")"</f>
        <v>Regions (2023)</v>
      </c>
      <c r="C2" s="1550"/>
      <c r="D2" s="1550"/>
      <c r="E2" s="1550"/>
      <c r="F2" s="1550"/>
      <c r="G2" s="1550"/>
      <c r="H2" s="1550"/>
      <c r="I2" s="1550"/>
      <c r="J2" s="1550"/>
      <c r="K2" s="1550"/>
      <c r="L2" s="1550"/>
      <c r="M2" s="1550"/>
      <c r="N2" s="1550"/>
      <c r="O2" s="1550"/>
      <c r="P2" s="1550"/>
      <c r="Q2" s="1544" t="s">
        <v>179</v>
      </c>
      <c r="R2" s="1545"/>
      <c r="S2" s="1545"/>
      <c r="T2" s="1545"/>
      <c r="U2" s="1545"/>
      <c r="V2" s="1545"/>
      <c r="W2" s="1545"/>
      <c r="X2" s="1545"/>
      <c r="Y2" s="1546"/>
    </row>
    <row r="3" spans="2:25" ht="18" thickBot="1">
      <c r="B3" s="158"/>
      <c r="C3" s="159"/>
      <c r="D3" s="1553" t="s">
        <v>180</v>
      </c>
      <c r="E3" s="1554"/>
      <c r="F3" s="1554"/>
      <c r="G3" s="1554"/>
      <c r="H3" s="1554"/>
      <c r="I3" s="1555"/>
      <c r="J3" s="139"/>
      <c r="K3" s="1547" t="s">
        <v>181</v>
      </c>
      <c r="L3" s="1548"/>
      <c r="M3" s="1548"/>
      <c r="N3" s="1548"/>
      <c r="O3" s="1548"/>
      <c r="P3" s="1548"/>
      <c r="Q3" s="890"/>
      <c r="Y3" s="891"/>
    </row>
    <row r="4" spans="2:25" ht="13.5" thickBot="1">
      <c r="B4" s="145" t="s">
        <v>182</v>
      </c>
      <c r="C4" s="146" t="s">
        <v>183</v>
      </c>
      <c r="D4" s="147">
        <f>OP!J20</f>
        <v>2023</v>
      </c>
      <c r="E4" s="147">
        <f>D4-1</f>
        <v>2022</v>
      </c>
      <c r="F4" s="147">
        <f>E4-1</f>
        <v>2021</v>
      </c>
      <c r="G4" s="147">
        <f>F4-1</f>
        <v>2020</v>
      </c>
      <c r="H4" s="147">
        <f>G4-1</f>
        <v>2019</v>
      </c>
      <c r="I4" s="147">
        <f>H4-1</f>
        <v>2018</v>
      </c>
      <c r="J4" s="140"/>
      <c r="K4" s="147">
        <f>OP!J20</f>
        <v>2023</v>
      </c>
      <c r="L4" s="147">
        <f t="shared" ref="L4:P4" si="0">K4-1</f>
        <v>2022</v>
      </c>
      <c r="M4" s="147">
        <f t="shared" si="0"/>
        <v>2021</v>
      </c>
      <c r="N4" s="147">
        <f t="shared" si="0"/>
        <v>2020</v>
      </c>
      <c r="O4" s="147">
        <f t="shared" si="0"/>
        <v>2019</v>
      </c>
      <c r="P4" s="160">
        <f t="shared" si="0"/>
        <v>2018</v>
      </c>
      <c r="Q4" s="890"/>
      <c r="Y4" s="891"/>
    </row>
    <row r="5" spans="2:25" ht="13.5" thickBot="1">
      <c r="B5" s="1558" t="s">
        <v>184</v>
      </c>
      <c r="C5" s="888" t="s">
        <v>184</v>
      </c>
      <c r="D5" s="148" t="s">
        <v>184</v>
      </c>
      <c r="E5" s="148" t="s">
        <v>184</v>
      </c>
      <c r="F5" s="148" t="s">
        <v>184</v>
      </c>
      <c r="G5" s="148" t="s">
        <v>184</v>
      </c>
      <c r="H5" s="148" t="s">
        <v>184</v>
      </c>
      <c r="I5" s="148" t="s">
        <v>184</v>
      </c>
      <c r="J5" s="141"/>
      <c r="K5" s="279" t="s">
        <v>184</v>
      </c>
      <c r="L5" s="279" t="s">
        <v>184</v>
      </c>
      <c r="M5" s="279" t="s">
        <v>184</v>
      </c>
      <c r="N5" s="279" t="s">
        <v>184</v>
      </c>
      <c r="O5" s="279" t="s">
        <v>184</v>
      </c>
      <c r="P5" s="889" t="s">
        <v>184</v>
      </c>
      <c r="Q5" s="890"/>
      <c r="Y5" s="891"/>
    </row>
    <row r="6" spans="2:25" ht="13.5" hidden="1" customHeight="1" thickBot="1">
      <c r="B6" s="1559"/>
      <c r="C6" s="144"/>
      <c r="D6" s="148"/>
      <c r="E6" s="148"/>
      <c r="F6" s="148"/>
      <c r="G6" s="148"/>
      <c r="H6" s="148"/>
      <c r="I6" s="148"/>
      <c r="J6" s="141"/>
      <c r="K6" s="279"/>
      <c r="L6" s="279"/>
      <c r="M6" s="279"/>
      <c r="N6" s="279"/>
      <c r="O6" s="279"/>
      <c r="P6" s="889" t="s">
        <v>70</v>
      </c>
      <c r="Q6" s="890"/>
      <c r="Y6" s="891"/>
    </row>
    <row r="7" spans="2:25" ht="13.5" hidden="1" customHeight="1" thickBot="1">
      <c r="B7" s="1559"/>
      <c r="C7" s="144"/>
      <c r="D7" s="148"/>
      <c r="E7" s="148"/>
      <c r="F7" s="148"/>
      <c r="G7" s="148"/>
      <c r="H7" s="148"/>
      <c r="I7" s="148"/>
      <c r="J7" s="141"/>
      <c r="K7" s="279"/>
      <c r="L7" s="279"/>
      <c r="M7" s="279"/>
      <c r="N7" s="279"/>
      <c r="O7" s="279"/>
      <c r="P7" s="889" t="s">
        <v>70</v>
      </c>
      <c r="Q7" s="890"/>
      <c r="Y7" s="891"/>
    </row>
    <row r="8" spans="2:25" ht="13.5" hidden="1" customHeight="1" thickBot="1">
      <c r="B8" s="1559"/>
      <c r="C8" s="144"/>
      <c r="D8" s="148"/>
      <c r="E8" s="148"/>
      <c r="F8" s="148"/>
      <c r="G8" s="148"/>
      <c r="H8" s="148"/>
      <c r="I8" s="148"/>
      <c r="J8" s="141"/>
      <c r="K8" s="279"/>
      <c r="L8" s="279"/>
      <c r="M8" s="279"/>
      <c r="N8" s="279"/>
      <c r="O8" s="279"/>
      <c r="P8" s="889" t="s">
        <v>70</v>
      </c>
      <c r="Q8" s="890"/>
      <c r="Y8" s="891"/>
    </row>
    <row r="9" spans="2:25" ht="13.5" hidden="1" customHeight="1" thickBot="1">
      <c r="B9" s="1559"/>
      <c r="C9" s="144"/>
      <c r="D9" s="148"/>
      <c r="E9" s="148"/>
      <c r="F9" s="148"/>
      <c r="G9" s="148"/>
      <c r="H9" s="148"/>
      <c r="I9" s="148"/>
      <c r="J9" s="141"/>
      <c r="K9" s="279"/>
      <c r="L9" s="279"/>
      <c r="M9" s="279"/>
      <c r="N9" s="279"/>
      <c r="O9" s="279"/>
      <c r="P9" s="889" t="s">
        <v>70</v>
      </c>
      <c r="Q9" s="890"/>
      <c r="Y9" s="891"/>
    </row>
    <row r="10" spans="2:25" ht="13.5" hidden="1" customHeight="1" thickBot="1">
      <c r="B10" s="1559"/>
      <c r="C10" s="135"/>
      <c r="D10" s="137"/>
      <c r="E10" s="137"/>
      <c r="F10" s="137"/>
      <c r="G10" s="137"/>
      <c r="H10" s="137"/>
      <c r="I10" s="137"/>
      <c r="J10" s="141"/>
      <c r="K10" s="279"/>
      <c r="L10" s="279"/>
      <c r="M10" s="279"/>
      <c r="N10" s="279"/>
      <c r="O10" s="279"/>
      <c r="P10" s="889" t="s">
        <v>70</v>
      </c>
      <c r="Q10" s="890"/>
      <c r="Y10" s="891"/>
    </row>
    <row r="11" spans="2:25" ht="12.75" hidden="1" customHeight="1">
      <c r="B11" s="1559"/>
      <c r="C11" s="135"/>
      <c r="D11" s="137"/>
      <c r="E11" s="137"/>
      <c r="F11" s="137"/>
      <c r="G11" s="137"/>
      <c r="H11" s="137"/>
      <c r="I11" s="137"/>
      <c r="J11" s="141"/>
      <c r="K11" s="137"/>
      <c r="L11" s="137"/>
      <c r="M11" s="137"/>
      <c r="N11" s="137"/>
      <c r="O11" s="137"/>
      <c r="P11" s="161"/>
      <c r="Q11" s="890"/>
      <c r="Y11" s="891"/>
    </row>
    <row r="12" spans="2:25" ht="12.75" hidden="1" customHeight="1">
      <c r="B12" s="1559"/>
      <c r="C12" s="149"/>
      <c r="D12" s="610"/>
      <c r="E12" s="610"/>
      <c r="F12" s="610"/>
      <c r="G12" s="610"/>
      <c r="H12" s="610"/>
      <c r="I12" s="610"/>
      <c r="J12" s="141"/>
      <c r="K12" s="138"/>
      <c r="L12" s="138"/>
      <c r="M12" s="138"/>
      <c r="N12" s="138"/>
      <c r="O12" s="138"/>
      <c r="P12" s="162"/>
      <c r="Q12" s="890"/>
      <c r="Y12" s="891"/>
    </row>
    <row r="13" spans="2:25" ht="13.5" thickBot="1">
      <c r="B13" s="1560"/>
      <c r="C13" s="608" t="s">
        <v>176</v>
      </c>
      <c r="D13" s="605"/>
      <c r="E13" s="606"/>
      <c r="F13" s="606"/>
      <c r="G13" s="606"/>
      <c r="H13" s="606"/>
      <c r="I13" s="607"/>
      <c r="J13" s="609"/>
      <c r="K13" s="281"/>
      <c r="L13" s="281"/>
      <c r="M13" s="281"/>
      <c r="N13" s="281"/>
      <c r="O13" s="281"/>
      <c r="P13" s="281" t="s">
        <v>70</v>
      </c>
      <c r="Q13" s="890"/>
      <c r="Y13" s="891"/>
    </row>
    <row r="14" spans="2:25" ht="13.15">
      <c r="B14" s="156"/>
      <c r="C14" s="6"/>
      <c r="D14" s="14"/>
      <c r="E14" s="14"/>
      <c r="F14" s="14"/>
      <c r="G14" s="14"/>
      <c r="H14" s="14"/>
      <c r="I14" s="14"/>
      <c r="J14" s="14"/>
      <c r="K14" s="14"/>
      <c r="L14" s="14"/>
      <c r="M14" s="14"/>
      <c r="N14" s="14"/>
      <c r="O14" s="14"/>
      <c r="P14" s="14"/>
      <c r="Q14" s="890"/>
      <c r="Y14" s="891"/>
    </row>
    <row r="15" spans="2:25" ht="21" thickBot="1">
      <c r="B15" s="1556" t="str">
        <f>"Categories "&amp;"("&amp;OP!$J$20&amp;")"</f>
        <v>Categories (2023)</v>
      </c>
      <c r="C15" s="1557"/>
      <c r="D15" s="1557"/>
      <c r="E15" s="1557"/>
      <c r="F15" s="1557"/>
      <c r="G15" s="1557"/>
      <c r="H15" s="1557"/>
      <c r="I15" s="1557"/>
      <c r="J15" s="1557"/>
      <c r="K15" s="1557"/>
      <c r="L15" s="1557"/>
      <c r="M15" s="1557"/>
      <c r="N15" s="1557"/>
      <c r="O15" s="1557"/>
      <c r="P15" s="1557"/>
      <c r="Q15" s="890"/>
      <c r="S15" s="892"/>
      <c r="Y15" s="891"/>
    </row>
    <row r="16" spans="2:25" ht="21" thickBot="1">
      <c r="B16" s="158"/>
      <c r="C16" s="159"/>
      <c r="D16" s="1522" t="s">
        <v>180</v>
      </c>
      <c r="E16" s="1523"/>
      <c r="F16" s="1523"/>
      <c r="G16" s="1523"/>
      <c r="H16" s="1523"/>
      <c r="I16" s="1524"/>
      <c r="J16" s="139"/>
      <c r="K16" s="1551" t="s">
        <v>181</v>
      </c>
      <c r="L16" s="1552"/>
      <c r="M16" s="1552"/>
      <c r="N16" s="1552"/>
      <c r="O16" s="1552"/>
      <c r="P16" s="1552"/>
      <c r="Q16" s="890"/>
      <c r="Y16" s="891"/>
    </row>
    <row r="17" spans="2:25" ht="13.5" thickBot="1">
      <c r="B17" s="157" t="s">
        <v>182</v>
      </c>
      <c r="C17" s="131" t="s">
        <v>185</v>
      </c>
      <c r="D17" s="147">
        <f>OP!J20</f>
        <v>2023</v>
      </c>
      <c r="E17" s="147">
        <f>D17-1</f>
        <v>2022</v>
      </c>
      <c r="F17" s="147">
        <f>E17-1</f>
        <v>2021</v>
      </c>
      <c r="G17" s="147">
        <f>F17-1</f>
        <v>2020</v>
      </c>
      <c r="H17" s="147">
        <f>G17-1</f>
        <v>2019</v>
      </c>
      <c r="I17" s="147">
        <f>H17-1</f>
        <v>2018</v>
      </c>
      <c r="J17" s="140"/>
      <c r="K17" s="142">
        <f>OP!J20</f>
        <v>2023</v>
      </c>
      <c r="L17" s="142">
        <f t="shared" ref="L17:P17" si="1">K17-1</f>
        <v>2022</v>
      </c>
      <c r="M17" s="142">
        <f t="shared" si="1"/>
        <v>2021</v>
      </c>
      <c r="N17" s="142">
        <f t="shared" si="1"/>
        <v>2020</v>
      </c>
      <c r="O17" s="142">
        <f t="shared" si="1"/>
        <v>2019</v>
      </c>
      <c r="P17" s="163">
        <f t="shared" si="1"/>
        <v>2018</v>
      </c>
      <c r="Q17" s="890"/>
      <c r="Y17" s="891"/>
    </row>
    <row r="18" spans="2:25" ht="13.5" thickBot="1">
      <c r="B18" s="143">
        <f>IFERROR(D18/$D$24,"")</f>
        <v>0.5788140470187666</v>
      </c>
      <c r="C18" s="134" t="s">
        <v>186</v>
      </c>
      <c r="D18" s="148">
        <v>20092662</v>
      </c>
      <c r="E18" s="148">
        <v>24189858</v>
      </c>
      <c r="F18" s="148">
        <v>24145396</v>
      </c>
      <c r="G18" s="148">
        <v>20139658</v>
      </c>
      <c r="H18" s="148">
        <v>22588858</v>
      </c>
      <c r="I18" s="148">
        <v>25067279</v>
      </c>
      <c r="J18" s="141"/>
      <c r="K18" s="282">
        <f>(D18-E18)/E18</f>
        <v>-0.16937660402967228</v>
      </c>
      <c r="L18" s="282">
        <f t="shared" ref="L18:O24" si="2">(E18-F18)/F18</f>
        <v>1.8414276576785072E-3</v>
      </c>
      <c r="M18" s="282">
        <f t="shared" si="2"/>
        <v>0.19889801505070245</v>
      </c>
      <c r="N18" s="282">
        <f t="shared" si="2"/>
        <v>-0.10842513596747565</v>
      </c>
      <c r="O18" s="282">
        <f t="shared" si="2"/>
        <v>-9.887076295755913E-2</v>
      </c>
      <c r="P18" s="282" t="s">
        <v>70</v>
      </c>
      <c r="Q18" s="890"/>
      <c r="Y18" s="891"/>
    </row>
    <row r="19" spans="2:25" ht="13.15">
      <c r="B19" s="143">
        <f>IFERROR(D19/$D$24,"")</f>
        <v>0.36754976111455884</v>
      </c>
      <c r="C19" s="514" t="s">
        <v>187</v>
      </c>
      <c r="D19" s="148">
        <v>12758939</v>
      </c>
      <c r="E19" s="148">
        <v>15060328</v>
      </c>
      <c r="F19" s="148">
        <v>9727943</v>
      </c>
      <c r="G19" s="148">
        <v>6623068</v>
      </c>
      <c r="H19" s="148">
        <v>6990064</v>
      </c>
      <c r="I19" s="148">
        <v>6796501</v>
      </c>
      <c r="J19" s="141"/>
      <c r="K19" s="282">
        <f>(D19-E19)/E19</f>
        <v>-0.15281134647266648</v>
      </c>
      <c r="L19" s="282">
        <f t="shared" ref="L19" si="3">(E19-F19)/F19</f>
        <v>0.5481513409361054</v>
      </c>
      <c r="M19" s="282">
        <f t="shared" ref="M19" si="4">(F19-G19)/G19</f>
        <v>0.46879708920397617</v>
      </c>
      <c r="N19" s="282">
        <f t="shared" ref="N19" si="5">(G19-H19)/H19</f>
        <v>-5.2502523582044457E-2</v>
      </c>
      <c r="O19" s="282">
        <f t="shared" ref="O19" si="6">(H19-I19)/I19</f>
        <v>2.8479801592025074E-2</v>
      </c>
      <c r="P19" s="515" t="s">
        <v>70</v>
      </c>
      <c r="Q19" s="890"/>
      <c r="Y19" s="891"/>
    </row>
    <row r="20" spans="2:25" ht="13.5" thickBot="1">
      <c r="B20" s="143">
        <f>IFERROR(D20/$D$24,"")</f>
        <v>5.3636191866674586E-2</v>
      </c>
      <c r="C20" s="135" t="s">
        <v>188</v>
      </c>
      <c r="D20" s="148">
        <v>1861900</v>
      </c>
      <c r="E20" s="148">
        <v>2262281</v>
      </c>
      <c r="F20" s="148">
        <v>2610600</v>
      </c>
      <c r="G20" s="148">
        <v>1407283</v>
      </c>
      <c r="H20" s="148">
        <v>1664844</v>
      </c>
      <c r="I20" s="148">
        <v>2025560</v>
      </c>
      <c r="J20" s="141"/>
      <c r="K20" s="283">
        <f t="shared" ref="K20" si="7">(D20-E20)/E20</f>
        <v>-0.17698110888965607</v>
      </c>
      <c r="L20" s="283">
        <f t="shared" si="2"/>
        <v>-0.13342488316862025</v>
      </c>
      <c r="M20" s="283">
        <f t="shared" si="2"/>
        <v>0.85506397789215105</v>
      </c>
      <c r="N20" s="283">
        <f t="shared" si="2"/>
        <v>-0.15470578624784065</v>
      </c>
      <c r="O20" s="283">
        <f t="shared" si="2"/>
        <v>-0.17808211062619719</v>
      </c>
      <c r="P20" s="283" t="s">
        <v>70</v>
      </c>
      <c r="Q20" s="890"/>
      <c r="Y20" s="891"/>
    </row>
    <row r="21" spans="2:25" ht="13.15" hidden="1">
      <c r="B21" s="143"/>
      <c r="C21" s="135"/>
      <c r="D21" s="148"/>
      <c r="E21" s="148"/>
      <c r="F21" s="148"/>
      <c r="G21" s="148"/>
      <c r="H21" s="148"/>
      <c r="I21" s="148"/>
      <c r="J21" s="141"/>
      <c r="K21" s="283"/>
      <c r="L21" s="283"/>
      <c r="M21" s="283"/>
      <c r="N21" s="283"/>
      <c r="O21" s="283"/>
      <c r="P21" s="283"/>
      <c r="Q21" s="890"/>
      <c r="Y21" s="891"/>
    </row>
    <row r="22" spans="2:25" ht="13.15" hidden="1">
      <c r="B22" s="143"/>
      <c r="C22" s="135"/>
      <c r="D22" s="148"/>
      <c r="E22" s="148"/>
      <c r="F22" s="148"/>
      <c r="G22" s="148"/>
      <c r="H22" s="148"/>
      <c r="I22" s="148"/>
      <c r="J22" s="141"/>
      <c r="K22" s="283"/>
      <c r="L22" s="283"/>
      <c r="M22" s="283"/>
      <c r="N22" s="283"/>
      <c r="O22" s="283"/>
      <c r="P22" s="283"/>
      <c r="Q22" s="890"/>
      <c r="Y22" s="891"/>
    </row>
    <row r="23" spans="2:25" ht="13.5" hidden="1" thickBot="1">
      <c r="B23" s="143"/>
      <c r="C23" s="149"/>
      <c r="D23" s="611"/>
      <c r="E23" s="611"/>
      <c r="F23" s="611"/>
      <c r="G23" s="611"/>
      <c r="H23" s="611"/>
      <c r="I23" s="611"/>
      <c r="J23" s="141"/>
      <c r="K23" s="284"/>
      <c r="L23" s="284"/>
      <c r="M23" s="284"/>
      <c r="N23" s="284"/>
      <c r="O23" s="284"/>
      <c r="P23" s="284"/>
      <c r="Q23" s="890"/>
      <c r="Y23" s="891"/>
    </row>
    <row r="24" spans="2:25" ht="13.5" thickBot="1">
      <c r="B24" s="136">
        <f>SUM(B18:B23)</f>
        <v>1</v>
      </c>
      <c r="C24" s="608" t="s">
        <v>176</v>
      </c>
      <c r="D24" s="605">
        <f>SUM(D18:D23)</f>
        <v>34713501</v>
      </c>
      <c r="E24" s="606">
        <f t="shared" ref="E24:I24" si="8">SUM(E18:E23)</f>
        <v>41512467</v>
      </c>
      <c r="F24" s="606">
        <f t="shared" si="8"/>
        <v>36483939</v>
      </c>
      <c r="G24" s="606">
        <f t="shared" si="8"/>
        <v>28170009</v>
      </c>
      <c r="H24" s="606">
        <f t="shared" si="8"/>
        <v>31243766</v>
      </c>
      <c r="I24" s="607">
        <f t="shared" si="8"/>
        <v>33889340</v>
      </c>
      <c r="J24" s="609"/>
      <c r="K24" s="280">
        <f>(D24-E24)/E24</f>
        <v>-0.16378130454159712</v>
      </c>
      <c r="L24" s="281">
        <f t="shared" si="2"/>
        <v>0.13782853874413067</v>
      </c>
      <c r="M24" s="281">
        <f t="shared" ref="M24" si="9">(F24-G24)/G24</f>
        <v>0.29513409101147253</v>
      </c>
      <c r="N24" s="281">
        <f t="shared" ref="N24" si="10">(G24-H24)/H24</f>
        <v>-9.8379849599436894E-2</v>
      </c>
      <c r="O24" s="281">
        <f t="shared" ref="O24" si="11">(H24-I24)/I24</f>
        <v>-7.8065078871409121E-2</v>
      </c>
      <c r="P24" s="281" t="s">
        <v>70</v>
      </c>
      <c r="Q24" s="890"/>
      <c r="Y24" s="891"/>
    </row>
    <row r="25" spans="2:25" ht="13.5" thickBot="1">
      <c r="B25" s="156"/>
      <c r="C25" s="6"/>
      <c r="D25" s="14"/>
      <c r="E25" s="14"/>
      <c r="F25" s="14"/>
      <c r="G25" s="14"/>
      <c r="H25" s="14"/>
      <c r="I25" s="14"/>
      <c r="K25" s="717"/>
      <c r="L25" s="717"/>
      <c r="M25" s="717"/>
      <c r="N25" s="717"/>
      <c r="O25" s="717"/>
      <c r="Q25" s="890"/>
      <c r="Y25" s="891"/>
    </row>
    <row r="26" spans="2:25" ht="21" thickBot="1">
      <c r="B26" s="1579" t="str">
        <f>"Categories "&amp;"("&amp;OP!$J$20&amp;")"</f>
        <v>Categories (2023)</v>
      </c>
      <c r="C26" s="1580"/>
      <c r="D26" s="1580"/>
      <c r="E26" s="1580"/>
      <c r="F26" s="1580"/>
      <c r="G26" s="1580"/>
      <c r="H26" s="1581"/>
      <c r="I26" s="1582" t="s">
        <v>189</v>
      </c>
      <c r="J26" s="1583"/>
      <c r="K26" s="1583"/>
      <c r="L26" s="1583"/>
      <c r="M26" s="1583"/>
      <c r="N26" s="1583"/>
      <c r="O26" s="1583"/>
      <c r="P26" s="1583"/>
      <c r="Q26" s="890"/>
      <c r="Y26" s="891"/>
    </row>
    <row r="27" spans="2:25" ht="21" thickBot="1">
      <c r="B27" s="879"/>
      <c r="C27" s="1522" t="s">
        <v>190</v>
      </c>
      <c r="D27" s="1523"/>
      <c r="E27" s="1523"/>
      <c r="F27" s="1523"/>
      <c r="G27" s="1523"/>
      <c r="H27" s="1523"/>
      <c r="I27" s="1570"/>
      <c r="J27" s="1571"/>
      <c r="K27" s="1571"/>
      <c r="L27" s="1571"/>
      <c r="M27" s="1571"/>
      <c r="N27" s="1571"/>
      <c r="O27" s="1571"/>
      <c r="P27" s="1572"/>
      <c r="Y27" s="891"/>
    </row>
    <row r="28" spans="2:25" ht="13.5" thickBot="1">
      <c r="B28" s="880" t="s">
        <v>185</v>
      </c>
      <c r="C28" s="147">
        <v>2023</v>
      </c>
      <c r="D28" s="147">
        <v>2022</v>
      </c>
      <c r="E28" s="147">
        <v>2021</v>
      </c>
      <c r="F28" s="147">
        <v>2020</v>
      </c>
      <c r="G28" s="147">
        <v>2019</v>
      </c>
      <c r="H28" s="160">
        <v>2018</v>
      </c>
      <c r="I28" s="1573"/>
      <c r="J28" s="1574"/>
      <c r="K28" s="1574"/>
      <c r="L28" s="1574"/>
      <c r="M28" s="1574"/>
      <c r="N28" s="1574"/>
      <c r="O28" s="1574"/>
      <c r="P28" s="1575"/>
      <c r="Y28" s="891"/>
    </row>
    <row r="29" spans="2:25" ht="13.15">
      <c r="B29" s="881" t="s">
        <v>186</v>
      </c>
      <c r="C29" s="718">
        <f>D18/$D$24</f>
        <v>0.5788140470187666</v>
      </c>
      <c r="D29" s="718">
        <f>E18/$E$24</f>
        <v>0.58271309194898002</v>
      </c>
      <c r="E29" s="718">
        <f>F18/$F$24</f>
        <v>0.66180891268346875</v>
      </c>
      <c r="F29" s="718">
        <f>G18/$G$24</f>
        <v>0.71493260793775393</v>
      </c>
      <c r="G29" s="718">
        <f>H18/$H$24</f>
        <v>0.72298768336697949</v>
      </c>
      <c r="H29" s="1123">
        <f>I18/$I$24</f>
        <v>0.73968035376315977</v>
      </c>
      <c r="I29" s="1573"/>
      <c r="J29" s="1574"/>
      <c r="K29" s="1574"/>
      <c r="L29" s="1574"/>
      <c r="M29" s="1574"/>
      <c r="N29" s="1574"/>
      <c r="O29" s="1574"/>
      <c r="P29" s="1575"/>
      <c r="Y29" s="891"/>
    </row>
    <row r="30" spans="2:25" ht="13.15">
      <c r="B30" s="882" t="s">
        <v>187</v>
      </c>
      <c r="C30" s="718">
        <f>D19/$D$24</f>
        <v>0.36754976111455884</v>
      </c>
      <c r="D30" s="718">
        <f>E19/$E$24</f>
        <v>0.36279048412131226</v>
      </c>
      <c r="E30" s="718">
        <f>F19/$F$24</f>
        <v>0.2666363135844515</v>
      </c>
      <c r="F30" s="718">
        <f>G19/$G$24</f>
        <v>0.23511061001080971</v>
      </c>
      <c r="G30" s="718">
        <f>H19/$H$24</f>
        <v>0.223726678787698</v>
      </c>
      <c r="H30" s="1123">
        <f>I19/$I$24</f>
        <v>0.20054981891060727</v>
      </c>
      <c r="I30" s="1573"/>
      <c r="J30" s="1574"/>
      <c r="K30" s="1574"/>
      <c r="L30" s="1574"/>
      <c r="M30" s="1574"/>
      <c r="N30" s="1574"/>
      <c r="O30" s="1574"/>
      <c r="P30" s="1575"/>
      <c r="Y30" s="891"/>
    </row>
    <row r="31" spans="2:25" ht="13.15">
      <c r="B31" s="883" t="s">
        <v>188</v>
      </c>
      <c r="C31" s="718">
        <f>D20/$D$24</f>
        <v>5.3636191866674586E-2</v>
      </c>
      <c r="D31" s="718">
        <f>E20/$E$24</f>
        <v>5.4496423929707674E-2</v>
      </c>
      <c r="E31" s="718">
        <f>F20/$F$24</f>
        <v>7.1554773732079746E-2</v>
      </c>
      <c r="F31" s="718">
        <f>G20/$G$24</f>
        <v>4.9956782051436333E-2</v>
      </c>
      <c r="G31" s="718">
        <f>H20/$H$24</f>
        <v>5.3285637845322489E-2</v>
      </c>
      <c r="H31" s="1123">
        <f>I20/$I$24</f>
        <v>5.9769827326232969E-2</v>
      </c>
      <c r="I31" s="1573"/>
      <c r="J31" s="1574"/>
      <c r="K31" s="1574"/>
      <c r="L31" s="1574"/>
      <c r="M31" s="1574"/>
      <c r="N31" s="1574"/>
      <c r="O31" s="1574"/>
      <c r="P31" s="1575"/>
      <c r="Y31" s="891"/>
    </row>
    <row r="32" spans="2:25" ht="13.15">
      <c r="B32" s="883"/>
      <c r="C32" s="148"/>
      <c r="D32" s="148"/>
      <c r="E32" s="148"/>
      <c r="F32" s="148"/>
      <c r="G32" s="148"/>
      <c r="H32" s="1124"/>
      <c r="I32" s="1573"/>
      <c r="J32" s="1574"/>
      <c r="K32" s="1574"/>
      <c r="L32" s="1574"/>
      <c r="M32" s="1574"/>
      <c r="N32" s="1574"/>
      <c r="O32" s="1574"/>
      <c r="P32" s="1575"/>
      <c r="Y32" s="891"/>
    </row>
    <row r="33" spans="2:25" ht="13.15">
      <c r="B33" s="883"/>
      <c r="C33" s="148"/>
      <c r="D33" s="148"/>
      <c r="E33" s="148"/>
      <c r="F33" s="148"/>
      <c r="G33" s="148"/>
      <c r="H33" s="1124"/>
      <c r="I33" s="1573"/>
      <c r="J33" s="1574"/>
      <c r="K33" s="1574"/>
      <c r="L33" s="1574"/>
      <c r="M33" s="1574"/>
      <c r="N33" s="1574"/>
      <c r="O33" s="1574"/>
      <c r="P33" s="1575"/>
      <c r="Y33" s="891"/>
    </row>
    <row r="34" spans="2:25" ht="13.5" thickBot="1">
      <c r="B34" s="884"/>
      <c r="C34" s="611"/>
      <c r="D34" s="611"/>
      <c r="E34" s="611"/>
      <c r="F34" s="611"/>
      <c r="G34" s="611"/>
      <c r="H34" s="1125"/>
      <c r="I34" s="1573"/>
      <c r="J34" s="1574"/>
      <c r="K34" s="1574"/>
      <c r="L34" s="1574"/>
      <c r="M34" s="1574"/>
      <c r="N34" s="1574"/>
      <c r="O34" s="1574"/>
      <c r="P34" s="1575"/>
      <c r="Y34" s="891"/>
    </row>
    <row r="35" spans="2:25" ht="13.5" thickBot="1">
      <c r="B35" s="885" t="s">
        <v>176</v>
      </c>
      <c r="C35" s="886">
        <f>SUM(C29:C34)</f>
        <v>1</v>
      </c>
      <c r="D35" s="887">
        <f t="shared" ref="D35:H35" si="12">SUM(D29:D34)</f>
        <v>1</v>
      </c>
      <c r="E35" s="887">
        <f t="shared" si="12"/>
        <v>1</v>
      </c>
      <c r="F35" s="887">
        <f t="shared" si="12"/>
        <v>1</v>
      </c>
      <c r="G35" s="887">
        <f t="shared" si="12"/>
        <v>1</v>
      </c>
      <c r="H35" s="887">
        <f t="shared" si="12"/>
        <v>1</v>
      </c>
      <c r="I35" s="1573"/>
      <c r="J35" s="1574"/>
      <c r="K35" s="1574"/>
      <c r="L35" s="1574"/>
      <c r="M35" s="1574"/>
      <c r="N35" s="1574"/>
      <c r="O35" s="1574"/>
      <c r="P35" s="1575"/>
      <c r="Y35" s="891"/>
    </row>
    <row r="36" spans="2:25" ht="13.5" thickBot="1">
      <c r="C36" s="13"/>
      <c r="D36"/>
      <c r="I36" s="1573"/>
      <c r="J36" s="1574"/>
      <c r="K36" s="1574"/>
      <c r="L36" s="1574"/>
      <c r="M36" s="1574"/>
      <c r="N36" s="1574"/>
      <c r="O36" s="1574"/>
      <c r="P36" s="1575"/>
      <c r="Y36" s="891"/>
    </row>
    <row r="37" spans="2:25" ht="21" thickBot="1">
      <c r="B37" s="1522" t="s">
        <v>72</v>
      </c>
      <c r="C37" s="1524"/>
      <c r="D37" s="1522" t="s">
        <v>191</v>
      </c>
      <c r="E37" s="1523"/>
      <c r="F37" s="1523"/>
      <c r="G37" s="1523"/>
      <c r="H37" s="1523"/>
      <c r="I37" s="1573"/>
      <c r="J37" s="1574"/>
      <c r="K37" s="1574"/>
      <c r="L37" s="1574"/>
      <c r="M37" s="1574"/>
      <c r="N37" s="1574"/>
      <c r="O37" s="1574"/>
      <c r="P37" s="1575"/>
      <c r="Y37" s="891"/>
    </row>
    <row r="38" spans="2:25" ht="30.75" customHeight="1" thickBot="1">
      <c r="B38" s="1495" t="s">
        <v>186</v>
      </c>
      <c r="C38" s="1496"/>
      <c r="D38" s="1584" t="s">
        <v>192</v>
      </c>
      <c r="E38" s="1585"/>
      <c r="F38" s="1585"/>
      <c r="G38" s="1585"/>
      <c r="H38" s="1585"/>
      <c r="I38" s="1573"/>
      <c r="J38" s="1574"/>
      <c r="K38" s="1574"/>
      <c r="L38" s="1574"/>
      <c r="M38" s="1574"/>
      <c r="N38" s="1574"/>
      <c r="O38" s="1574"/>
      <c r="P38" s="1575"/>
      <c r="Y38" s="891"/>
    </row>
    <row r="39" spans="2:25" ht="41.25" customHeight="1" thickBot="1">
      <c r="B39" s="1495" t="s">
        <v>187</v>
      </c>
      <c r="C39" s="1496"/>
      <c r="D39" s="1586" t="s">
        <v>193</v>
      </c>
      <c r="E39" s="1587"/>
      <c r="F39" s="1587"/>
      <c r="G39" s="1587"/>
      <c r="H39" s="1587"/>
      <c r="I39" s="1573"/>
      <c r="J39" s="1574"/>
      <c r="K39" s="1574"/>
      <c r="L39" s="1574"/>
      <c r="M39" s="1574"/>
      <c r="N39" s="1574"/>
      <c r="O39" s="1574"/>
      <c r="P39" s="1575"/>
      <c r="Y39" s="891"/>
    </row>
    <row r="40" spans="2:25" ht="28.5" customHeight="1" thickBot="1">
      <c r="B40" s="1495" t="s">
        <v>194</v>
      </c>
      <c r="C40" s="1496"/>
      <c r="D40" s="1588" t="s">
        <v>195</v>
      </c>
      <c r="E40" s="1589"/>
      <c r="F40" s="1589"/>
      <c r="G40" s="1589"/>
      <c r="H40" s="1589"/>
      <c r="I40" s="1576"/>
      <c r="J40" s="1577"/>
      <c r="K40" s="1577"/>
      <c r="L40" s="1577"/>
      <c r="M40" s="1577"/>
      <c r="N40" s="1577"/>
      <c r="O40" s="1577"/>
      <c r="P40" s="1578"/>
      <c r="Y40" s="891"/>
    </row>
    <row r="41" spans="2:25" ht="30.75" customHeight="1">
      <c r="D41"/>
      <c r="Q41" s="890"/>
      <c r="Y41" s="891"/>
    </row>
    <row r="42" spans="2:25" ht="41.25" customHeight="1">
      <c r="D42"/>
      <c r="Q42" s="890"/>
      <c r="Y42" s="891"/>
    </row>
    <row r="43" spans="2:25" ht="28.5" hidden="1" customHeight="1">
      <c r="B43" s="1495"/>
      <c r="C43" s="1496"/>
      <c r="D43" s="1497"/>
      <c r="E43" s="1498"/>
      <c r="F43" s="1498"/>
      <c r="G43" s="1498"/>
      <c r="H43" s="1499"/>
      <c r="Q43" s="890"/>
      <c r="Y43" s="891"/>
    </row>
    <row r="44" spans="2:25" ht="56.25" customHeight="1" thickBot="1">
      <c r="Q44" s="893"/>
      <c r="R44" s="894"/>
      <c r="S44" s="894"/>
      <c r="T44" s="894"/>
      <c r="U44" s="894"/>
      <c r="V44" s="894"/>
      <c r="W44" s="894"/>
      <c r="X44" s="894"/>
      <c r="Y44" s="895"/>
    </row>
    <row r="45" spans="2:25" ht="21" thickBot="1">
      <c r="B45" s="1522" t="s">
        <v>196</v>
      </c>
      <c r="C45" s="1523"/>
      <c r="D45" s="1523"/>
      <c r="E45" s="1523"/>
      <c r="F45" s="1523"/>
      <c r="G45" s="1523"/>
      <c r="H45" s="1523"/>
      <c r="I45" s="1524"/>
      <c r="J45" s="1500" t="s">
        <v>197</v>
      </c>
      <c r="K45" s="1501"/>
      <c r="L45" s="1501"/>
      <c r="M45" s="1501"/>
      <c r="N45" s="1501"/>
      <c r="O45" s="1501"/>
      <c r="P45" s="1501"/>
      <c r="Q45" s="1502"/>
    </row>
    <row r="46" spans="2:25" ht="13.5" thickBot="1">
      <c r="B46" s="1515" t="s">
        <v>198</v>
      </c>
      <c r="C46" s="1517"/>
      <c r="D46" s="1515" t="s">
        <v>191</v>
      </c>
      <c r="E46" s="1516"/>
      <c r="F46" s="1516"/>
      <c r="G46" s="1516"/>
      <c r="H46" s="1516"/>
      <c r="I46" s="1517"/>
      <c r="J46" s="150"/>
      <c r="K46" s="151"/>
      <c r="L46" s="151"/>
      <c r="M46" s="151"/>
      <c r="N46" s="151"/>
      <c r="O46" s="151"/>
      <c r="P46" s="151"/>
      <c r="Q46" s="152"/>
    </row>
    <row r="47" spans="2:25">
      <c r="B47" s="1590" t="s">
        <v>199</v>
      </c>
      <c r="C47" s="1591"/>
      <c r="D47" s="1532" t="s">
        <v>200</v>
      </c>
      <c r="E47" s="1533"/>
      <c r="F47" s="1533"/>
      <c r="G47" s="1533"/>
      <c r="H47" s="1533"/>
      <c r="I47" s="1534"/>
      <c r="J47" s="132"/>
      <c r="Q47" s="153"/>
    </row>
    <row r="48" spans="2:25" ht="13.15" thickBot="1">
      <c r="B48" s="1542" t="s">
        <v>201</v>
      </c>
      <c r="C48" s="1543"/>
      <c r="D48" s="1535" t="s">
        <v>202</v>
      </c>
      <c r="E48" s="1536"/>
      <c r="F48" s="1536"/>
      <c r="G48" s="1536"/>
      <c r="H48" s="1536"/>
      <c r="I48" s="1537"/>
      <c r="J48" s="132"/>
      <c r="Q48" s="153"/>
    </row>
    <row r="49" spans="2:21" ht="13.5" thickBot="1">
      <c r="B49" s="1515" t="s">
        <v>203</v>
      </c>
      <c r="C49" s="1516"/>
      <c r="D49" s="1516"/>
      <c r="E49" s="1516"/>
      <c r="F49" s="1516"/>
      <c r="G49" s="1516"/>
      <c r="H49" s="1516"/>
      <c r="I49" s="1517"/>
      <c r="J49" s="132"/>
      <c r="Q49" s="153"/>
    </row>
    <row r="50" spans="2:21" ht="13.5" customHeight="1">
      <c r="B50" s="1518" t="s">
        <v>204</v>
      </c>
      <c r="C50" s="1519"/>
      <c r="D50" s="1518" t="s">
        <v>205</v>
      </c>
      <c r="E50" s="1541"/>
      <c r="F50" s="1519"/>
      <c r="G50" s="1518" t="s">
        <v>206</v>
      </c>
      <c r="H50" s="1541"/>
      <c r="I50" s="1519"/>
      <c r="J50" s="132"/>
      <c r="Q50" s="153"/>
      <c r="T50" s="10"/>
      <c r="U50" s="10"/>
    </row>
    <row r="51" spans="2:21" ht="13.15">
      <c r="B51" s="1520" t="s">
        <v>207</v>
      </c>
      <c r="C51" s="1521"/>
      <c r="D51" s="1509">
        <v>2.9000000000000001E-2</v>
      </c>
      <c r="E51" s="1510"/>
      <c r="F51" s="1511"/>
      <c r="G51" s="1503" t="s">
        <v>208</v>
      </c>
      <c r="H51" s="1504"/>
      <c r="I51" s="1505"/>
      <c r="J51" s="132"/>
      <c r="Q51" s="153"/>
      <c r="T51" s="10"/>
      <c r="U51" s="10"/>
    </row>
    <row r="52" spans="2:21" ht="13.15">
      <c r="B52" s="1520" t="s">
        <v>209</v>
      </c>
      <c r="C52" s="1521"/>
      <c r="D52" s="1509">
        <v>3.3000000000000002E-2</v>
      </c>
      <c r="E52" s="1510"/>
      <c r="F52" s="1511"/>
      <c r="G52" s="1503" t="s">
        <v>210</v>
      </c>
      <c r="H52" s="1504"/>
      <c r="I52" s="1505"/>
      <c r="J52" s="132"/>
      <c r="Q52" s="153"/>
      <c r="T52" s="10"/>
      <c r="U52" s="10"/>
    </row>
    <row r="53" spans="2:21" ht="13.5" thickBot="1">
      <c r="B53" s="1528" t="s">
        <v>211</v>
      </c>
      <c r="C53" s="1529"/>
      <c r="D53" s="1512">
        <v>3.7999999999999999E-2</v>
      </c>
      <c r="E53" s="1513"/>
      <c r="F53" s="1514"/>
      <c r="G53" s="1506" t="s">
        <v>212</v>
      </c>
      <c r="H53" s="1507"/>
      <c r="I53" s="1508"/>
      <c r="J53" s="132"/>
      <c r="Q53" s="153"/>
      <c r="T53" s="10"/>
      <c r="U53" s="10"/>
    </row>
    <row r="54" spans="2:21" ht="12.75" customHeight="1" thickBot="1">
      <c r="B54" s="1530" t="s">
        <v>213</v>
      </c>
      <c r="C54" s="1531"/>
      <c r="D54" s="1538">
        <f>AVERAGE(D51:F53)</f>
        <v>3.3333333333333333E-2</v>
      </c>
      <c r="E54" s="1539"/>
      <c r="F54" s="1539"/>
      <c r="G54" s="1539"/>
      <c r="H54" s="1539"/>
      <c r="I54" s="1540"/>
      <c r="Q54" s="153"/>
      <c r="T54" s="10"/>
      <c r="U54" s="10"/>
    </row>
    <row r="55" spans="2:21" ht="21" thickBot="1">
      <c r="B55" s="1525" t="s">
        <v>214</v>
      </c>
      <c r="C55" s="1526"/>
      <c r="D55" s="1526"/>
      <c r="E55" s="1526"/>
      <c r="F55" s="1526"/>
      <c r="G55" s="1526"/>
      <c r="H55" s="1526"/>
      <c r="I55" s="1527"/>
      <c r="J55" s="132"/>
      <c r="Q55" s="153"/>
      <c r="T55" s="10"/>
      <c r="U55" s="10"/>
    </row>
    <row r="56" spans="2:21" ht="18.75" customHeight="1">
      <c r="B56" s="1561" t="s">
        <v>215</v>
      </c>
      <c r="C56" s="1561"/>
      <c r="D56" s="1561"/>
      <c r="E56" s="1561"/>
      <c r="F56" s="1561"/>
      <c r="G56" s="1561"/>
      <c r="H56" s="1561"/>
      <c r="I56" s="1562"/>
      <c r="J56" s="132"/>
      <c r="Q56" s="153"/>
      <c r="T56" s="10"/>
      <c r="U56" s="10"/>
    </row>
    <row r="57" spans="2:21">
      <c r="B57" s="1563"/>
      <c r="C57" s="1563"/>
      <c r="D57" s="1563"/>
      <c r="E57" s="1563"/>
      <c r="F57" s="1563"/>
      <c r="G57" s="1563"/>
      <c r="H57" s="1563"/>
      <c r="I57" s="1564"/>
      <c r="J57" s="132"/>
      <c r="Q57" s="153"/>
      <c r="T57" s="10"/>
      <c r="U57" s="10"/>
    </row>
    <row r="58" spans="2:21" ht="12.75" customHeight="1">
      <c r="B58" s="1563"/>
      <c r="C58" s="1563"/>
      <c r="D58" s="1563"/>
      <c r="E58" s="1563"/>
      <c r="F58" s="1563"/>
      <c r="G58" s="1563"/>
      <c r="H58" s="1563"/>
      <c r="I58" s="1564"/>
      <c r="J58" s="132"/>
      <c r="Q58" s="153"/>
      <c r="T58" s="10"/>
      <c r="U58" s="10"/>
    </row>
    <row r="59" spans="2:21">
      <c r="B59" s="1563"/>
      <c r="C59" s="1563"/>
      <c r="D59" s="1563"/>
      <c r="E59" s="1563"/>
      <c r="F59" s="1563"/>
      <c r="G59" s="1563"/>
      <c r="H59" s="1563"/>
      <c r="I59" s="1564"/>
      <c r="J59" s="132"/>
      <c r="Q59" s="153"/>
      <c r="T59" s="10"/>
      <c r="U59" s="10"/>
    </row>
    <row r="60" spans="2:21">
      <c r="B60" s="1563"/>
      <c r="C60" s="1563"/>
      <c r="D60" s="1563"/>
      <c r="E60" s="1563"/>
      <c r="F60" s="1563"/>
      <c r="G60" s="1563"/>
      <c r="H60" s="1563"/>
      <c r="I60" s="1564"/>
      <c r="J60" s="132"/>
      <c r="Q60" s="153"/>
      <c r="T60" s="10"/>
      <c r="U60" s="10"/>
    </row>
    <row r="61" spans="2:21">
      <c r="B61" s="1563"/>
      <c r="C61" s="1563"/>
      <c r="D61" s="1563"/>
      <c r="E61" s="1563"/>
      <c r="F61" s="1563"/>
      <c r="G61" s="1563"/>
      <c r="H61" s="1563"/>
      <c r="I61" s="1564"/>
      <c r="J61" s="132"/>
      <c r="Q61" s="153"/>
      <c r="T61" s="10"/>
      <c r="U61" s="10"/>
    </row>
    <row r="62" spans="2:21">
      <c r="B62" s="1563"/>
      <c r="C62" s="1563"/>
      <c r="D62" s="1563"/>
      <c r="E62" s="1563"/>
      <c r="F62" s="1563"/>
      <c r="G62" s="1563"/>
      <c r="H62" s="1563"/>
      <c r="I62" s="1564"/>
      <c r="J62" s="132"/>
      <c r="Q62" s="153"/>
      <c r="T62" s="10"/>
      <c r="U62" s="10"/>
    </row>
    <row r="63" spans="2:21">
      <c r="B63" s="1563"/>
      <c r="C63" s="1563"/>
      <c r="D63" s="1563"/>
      <c r="E63" s="1563"/>
      <c r="F63" s="1563"/>
      <c r="G63" s="1563"/>
      <c r="H63" s="1563"/>
      <c r="I63" s="1564"/>
      <c r="J63" s="132"/>
      <c r="Q63" s="153"/>
      <c r="T63" s="10"/>
      <c r="U63" s="10"/>
    </row>
    <row r="64" spans="2:21">
      <c r="B64" s="1563"/>
      <c r="C64" s="1563"/>
      <c r="D64" s="1563"/>
      <c r="E64" s="1563"/>
      <c r="F64" s="1563"/>
      <c r="G64" s="1563"/>
      <c r="H64" s="1563"/>
      <c r="I64" s="1564"/>
      <c r="J64" s="132"/>
      <c r="Q64" s="153"/>
      <c r="T64" s="10"/>
      <c r="U64" s="10"/>
    </row>
    <row r="65" spans="2:21">
      <c r="B65" s="1563"/>
      <c r="C65" s="1563"/>
      <c r="D65" s="1563"/>
      <c r="E65" s="1563"/>
      <c r="F65" s="1563"/>
      <c r="G65" s="1563"/>
      <c r="H65" s="1563"/>
      <c r="I65" s="1564"/>
      <c r="J65" s="132"/>
      <c r="Q65" s="153"/>
      <c r="T65" s="10"/>
      <c r="U65" s="10"/>
    </row>
    <row r="66" spans="2:21">
      <c r="B66" s="1563"/>
      <c r="C66" s="1563"/>
      <c r="D66" s="1563"/>
      <c r="E66" s="1563"/>
      <c r="F66" s="1563"/>
      <c r="G66" s="1563"/>
      <c r="H66" s="1563"/>
      <c r="I66" s="1564"/>
      <c r="J66" s="132"/>
      <c r="Q66" s="153"/>
      <c r="T66" s="10"/>
      <c r="U66" s="10"/>
    </row>
    <row r="67" spans="2:21">
      <c r="B67" s="1563"/>
      <c r="C67" s="1563"/>
      <c r="D67" s="1563"/>
      <c r="E67" s="1563"/>
      <c r="F67" s="1563"/>
      <c r="G67" s="1563"/>
      <c r="H67" s="1563"/>
      <c r="I67" s="1564"/>
      <c r="J67" s="132"/>
      <c r="Q67" s="153"/>
      <c r="T67" s="10"/>
      <c r="U67" s="10"/>
    </row>
    <row r="68" spans="2:21">
      <c r="B68" s="1563"/>
      <c r="C68" s="1563"/>
      <c r="D68" s="1563"/>
      <c r="E68" s="1563"/>
      <c r="F68" s="1563"/>
      <c r="G68" s="1563"/>
      <c r="H68" s="1563"/>
      <c r="I68" s="1564"/>
      <c r="J68" s="132"/>
      <c r="Q68" s="153"/>
      <c r="T68" s="10"/>
      <c r="U68" s="10"/>
    </row>
    <row r="69" spans="2:21">
      <c r="B69" s="1563"/>
      <c r="C69" s="1563"/>
      <c r="D69" s="1563"/>
      <c r="E69" s="1563"/>
      <c r="F69" s="1563"/>
      <c r="G69" s="1563"/>
      <c r="H69" s="1563"/>
      <c r="I69" s="1564"/>
      <c r="J69" s="132"/>
      <c r="Q69" s="153"/>
      <c r="T69" s="10"/>
      <c r="U69" s="10"/>
    </row>
    <row r="70" spans="2:21">
      <c r="B70" s="1563"/>
      <c r="C70" s="1563"/>
      <c r="D70" s="1563"/>
      <c r="E70" s="1563"/>
      <c r="F70" s="1563"/>
      <c r="G70" s="1563"/>
      <c r="H70" s="1563"/>
      <c r="I70" s="1564"/>
      <c r="J70" s="132"/>
      <c r="Q70" s="153"/>
      <c r="T70" s="10"/>
      <c r="U70" s="10"/>
    </row>
    <row r="71" spans="2:21">
      <c r="B71" s="1563"/>
      <c r="C71" s="1563"/>
      <c r="D71" s="1563"/>
      <c r="E71" s="1563"/>
      <c r="F71" s="1563"/>
      <c r="G71" s="1563"/>
      <c r="H71" s="1563"/>
      <c r="I71" s="1564"/>
      <c r="J71" s="132"/>
      <c r="Q71" s="153"/>
      <c r="T71" s="10"/>
      <c r="U71" s="10"/>
    </row>
    <row r="72" spans="2:21" ht="13.15" thickBot="1">
      <c r="B72" s="1565"/>
      <c r="C72" s="1565"/>
      <c r="D72" s="1565"/>
      <c r="E72" s="1565"/>
      <c r="F72" s="1565"/>
      <c r="G72" s="1565"/>
      <c r="H72" s="1565"/>
      <c r="I72" s="1566"/>
      <c r="J72" s="133"/>
      <c r="K72" s="154"/>
      <c r="L72" s="154"/>
      <c r="M72" s="154"/>
      <c r="N72" s="154"/>
      <c r="O72" s="154"/>
      <c r="P72" s="154"/>
      <c r="Q72" s="155"/>
      <c r="T72" s="10"/>
      <c r="U72" s="10"/>
    </row>
    <row r="73" spans="2:21">
      <c r="T73" s="10"/>
      <c r="U73" s="10"/>
    </row>
    <row r="74" spans="2:21" ht="13.15">
      <c r="B74" s="1567" t="s">
        <v>216</v>
      </c>
      <c r="C74" s="1568"/>
      <c r="D74" s="1568"/>
      <c r="E74" s="1568"/>
      <c r="F74" s="1568"/>
      <c r="G74" s="1569"/>
      <c r="T74" s="10"/>
      <c r="U74" s="10"/>
    </row>
    <row r="75" spans="2:21">
      <c r="T75" s="10"/>
      <c r="U75" s="10"/>
    </row>
    <row r="76" spans="2:21" ht="13.15" thickBot="1">
      <c r="T76" s="10"/>
      <c r="U76" s="10"/>
    </row>
    <row r="77" spans="2:21" ht="21" thickBot="1">
      <c r="B77" s="681"/>
      <c r="C77" s="699" t="s">
        <v>217</v>
      </c>
      <c r="D77" s="1489" t="s">
        <v>180</v>
      </c>
      <c r="E77" s="1490"/>
      <c r="F77" s="1490"/>
      <c r="G77" s="1490"/>
      <c r="H77" s="1490"/>
      <c r="I77" s="1491"/>
      <c r="J77" s="682"/>
      <c r="K77" s="1492" t="s">
        <v>181</v>
      </c>
      <c r="L77" s="1493"/>
      <c r="M77" s="1493"/>
      <c r="N77" s="1493"/>
      <c r="O77" s="1493"/>
      <c r="P77" s="1494"/>
      <c r="T77" s="10"/>
      <c r="U77" s="10"/>
    </row>
    <row r="78" spans="2:21" ht="13.5" thickBot="1">
      <c r="B78" s="683" t="s">
        <v>182</v>
      </c>
      <c r="C78" s="131" t="s">
        <v>185</v>
      </c>
      <c r="D78" s="147">
        <v>2023</v>
      </c>
      <c r="E78" s="147">
        <v>2022</v>
      </c>
      <c r="F78" s="147">
        <v>2021</v>
      </c>
      <c r="G78" s="147">
        <v>2020</v>
      </c>
      <c r="H78" s="147">
        <v>2019</v>
      </c>
      <c r="I78" s="147">
        <v>2018</v>
      </c>
      <c r="J78" s="140"/>
      <c r="K78" s="142">
        <v>2023</v>
      </c>
      <c r="L78" s="142">
        <v>2022</v>
      </c>
      <c r="M78" s="142">
        <v>2021</v>
      </c>
      <c r="N78" s="142">
        <v>2020</v>
      </c>
      <c r="O78" s="142">
        <v>2019</v>
      </c>
      <c r="P78" s="684">
        <v>2018</v>
      </c>
      <c r="T78" s="10"/>
      <c r="U78" s="10"/>
    </row>
    <row r="79" spans="2:21" ht="13.5" thickBot="1">
      <c r="B79" s="685">
        <f>IFERROR(D79/$D$24,"")</f>
        <v>0.44384074081147851</v>
      </c>
      <c r="C79" s="134" t="s">
        <v>186</v>
      </c>
      <c r="D79" s="148">
        <v>15407266</v>
      </c>
      <c r="E79" s="148">
        <v>14157229</v>
      </c>
      <c r="F79" s="148">
        <v>13235463</v>
      </c>
      <c r="G79" s="148">
        <v>9708260</v>
      </c>
      <c r="H79" s="148">
        <v>9283216</v>
      </c>
      <c r="I79" s="148">
        <v>9244086</v>
      </c>
      <c r="J79" s="141"/>
      <c r="K79" s="282">
        <f>(D79-E79)/E79</f>
        <v>8.8296728123844009E-2</v>
      </c>
      <c r="L79" s="282">
        <f t="shared" ref="L79:L81" si="13">(E79-F79)/F79</f>
        <v>6.9643653569202685E-2</v>
      </c>
      <c r="M79" s="282">
        <f t="shared" ref="M79:M81" si="14">(F79-G79)/G79</f>
        <v>0.36331979160014255</v>
      </c>
      <c r="N79" s="282">
        <f t="shared" ref="N79:N81" si="15">(G79-H79)/H79</f>
        <v>4.5786287855415622E-2</v>
      </c>
      <c r="O79" s="282">
        <f t="shared" ref="O79:O81" si="16">(H79-I79)/I79</f>
        <v>4.2329766295986426E-3</v>
      </c>
      <c r="P79" s="686" t="s">
        <v>70</v>
      </c>
      <c r="T79" s="10"/>
      <c r="U79" s="10"/>
    </row>
    <row r="80" spans="2:21" ht="13.15">
      <c r="B80" s="685">
        <f>IFERROR(D80/$D$24,"")</f>
        <v>0.31442723106493925</v>
      </c>
      <c r="C80" s="514" t="s">
        <v>187</v>
      </c>
      <c r="D80" s="148">
        <v>10914870</v>
      </c>
      <c r="E80" s="148">
        <v>12087145</v>
      </c>
      <c r="F80" s="148">
        <v>7845010</v>
      </c>
      <c r="G80" s="148">
        <v>4461042</v>
      </c>
      <c r="H80" s="148">
        <v>4610628</v>
      </c>
      <c r="I80" s="148">
        <v>4734636</v>
      </c>
      <c r="J80" s="141"/>
      <c r="K80" s="282">
        <f>(D80-E80)/E80</f>
        <v>-9.6985268233317296E-2</v>
      </c>
      <c r="L80" s="282">
        <f t="shared" si="13"/>
        <v>0.54074309656711717</v>
      </c>
      <c r="M80" s="282">
        <f t="shared" si="14"/>
        <v>0.75855999562434073</v>
      </c>
      <c r="N80" s="282">
        <f t="shared" si="15"/>
        <v>-3.2443736514852203E-2</v>
      </c>
      <c r="O80" s="282">
        <f t="shared" si="16"/>
        <v>-2.6191664998111788E-2</v>
      </c>
      <c r="P80" s="687" t="s">
        <v>70</v>
      </c>
      <c r="T80" s="10"/>
      <c r="U80" s="10"/>
    </row>
    <row r="81" spans="2:21" ht="13.15">
      <c r="B81" s="685">
        <f>IFERROR(D81/$D$24,"")</f>
        <v>0.10217232194470964</v>
      </c>
      <c r="C81" s="135" t="s">
        <v>188</v>
      </c>
      <c r="D81" s="148">
        <v>3546759</v>
      </c>
      <c r="E81" s="148">
        <v>3383114</v>
      </c>
      <c r="F81" s="148">
        <v>3870806</v>
      </c>
      <c r="G81" s="148">
        <v>3324489</v>
      </c>
      <c r="H81" s="148">
        <v>3316479</v>
      </c>
      <c r="I81" s="148">
        <v>3492126</v>
      </c>
      <c r="J81" s="141"/>
      <c r="K81" s="283">
        <f t="shared" ref="K81" si="17">(D81-E81)/E81</f>
        <v>4.8371116078263991E-2</v>
      </c>
      <c r="L81" s="283">
        <f t="shared" si="13"/>
        <v>-0.12599236438095837</v>
      </c>
      <c r="M81" s="283">
        <f t="shared" si="14"/>
        <v>0.16433111976005937</v>
      </c>
      <c r="N81" s="283">
        <f t="shared" si="15"/>
        <v>2.4152120366207654E-3</v>
      </c>
      <c r="O81" s="283">
        <f t="shared" si="16"/>
        <v>-5.0298013301925529E-2</v>
      </c>
      <c r="P81" s="688" t="s">
        <v>70</v>
      </c>
      <c r="T81" s="10"/>
      <c r="U81" s="10"/>
    </row>
    <row r="82" spans="2:21" ht="13.15">
      <c r="B82" s="685"/>
      <c r="C82" s="135"/>
      <c r="D82" s="148"/>
      <c r="E82" s="148"/>
      <c r="F82" s="148"/>
      <c r="G82" s="148"/>
      <c r="H82" s="148"/>
      <c r="I82" s="148"/>
      <c r="J82" s="141"/>
      <c r="K82" s="283"/>
      <c r="L82" s="283"/>
      <c r="M82" s="283"/>
      <c r="N82" s="283"/>
      <c r="O82" s="283"/>
      <c r="P82" s="688"/>
      <c r="T82" s="10"/>
      <c r="U82" s="10"/>
    </row>
    <row r="83" spans="2:21" ht="13.15">
      <c r="B83" s="685"/>
      <c r="C83" s="135"/>
      <c r="D83" s="148"/>
      <c r="E83" s="148"/>
      <c r="F83" s="148"/>
      <c r="G83" s="148"/>
      <c r="H83" s="148"/>
      <c r="I83" s="148"/>
      <c r="J83" s="141"/>
      <c r="K83" s="283"/>
      <c r="L83" s="283"/>
      <c r="M83" s="283"/>
      <c r="N83" s="283"/>
      <c r="O83" s="283"/>
      <c r="P83" s="688"/>
      <c r="T83" s="10"/>
      <c r="U83" s="10"/>
    </row>
    <row r="84" spans="2:21" ht="13.5" thickBot="1">
      <c r="B84" s="685"/>
      <c r="C84" s="149"/>
      <c r="D84" s="611"/>
      <c r="E84" s="611"/>
      <c r="F84" s="611"/>
      <c r="G84" s="611"/>
      <c r="H84" s="611"/>
      <c r="I84" s="611"/>
      <c r="J84" s="141"/>
      <c r="K84" s="284"/>
      <c r="L84" s="284"/>
      <c r="M84" s="284"/>
      <c r="N84" s="284"/>
      <c r="O84" s="284"/>
      <c r="P84" s="689"/>
      <c r="T84" s="10"/>
      <c r="U84" s="10"/>
    </row>
    <row r="85" spans="2:21" ht="13.5" thickBot="1">
      <c r="B85" s="690">
        <f>SUM(B79:B84)</f>
        <v>0.86044029382112741</v>
      </c>
      <c r="C85" s="691" t="s">
        <v>176</v>
      </c>
      <c r="D85" s="692">
        <f>SUM(D79:D84)</f>
        <v>29868895</v>
      </c>
      <c r="E85" s="693">
        <f t="shared" ref="E85:I85" si="18">SUM(E79:E84)</f>
        <v>29627488</v>
      </c>
      <c r="F85" s="693">
        <f t="shared" si="18"/>
        <v>24951279</v>
      </c>
      <c r="G85" s="693">
        <f t="shared" si="18"/>
        <v>17493791</v>
      </c>
      <c r="H85" s="693">
        <f t="shared" si="18"/>
        <v>17210323</v>
      </c>
      <c r="I85" s="694">
        <f t="shared" si="18"/>
        <v>17470848</v>
      </c>
      <c r="J85" s="695"/>
      <c r="K85" s="696">
        <f>(D85-E85)/E85</f>
        <v>8.1480751928749411E-3</v>
      </c>
      <c r="L85" s="697">
        <f t="shared" ref="L85" si="19">(E85-F85)/F85</f>
        <v>0.18741359911850611</v>
      </c>
      <c r="M85" s="697">
        <f t="shared" ref="M85" si="20">(F85-G85)/G85</f>
        <v>0.42629342033410594</v>
      </c>
      <c r="N85" s="697">
        <f t="shared" ref="N85" si="21">(G85-H85)/H85</f>
        <v>1.6470812314213976E-2</v>
      </c>
      <c r="O85" s="697">
        <f t="shared" ref="O85" si="22">(H85-I85)/I85</f>
        <v>-1.4911983665589672E-2</v>
      </c>
      <c r="P85" s="698" t="s">
        <v>70</v>
      </c>
      <c r="T85" s="10"/>
      <c r="U85" s="10"/>
    </row>
    <row r="86" spans="2:21">
      <c r="T86" s="10"/>
      <c r="U86" s="10"/>
    </row>
    <row r="88" spans="2:21" ht="13.15" thickBot="1"/>
    <row r="89" spans="2:21" ht="21" thickBot="1">
      <c r="B89" s="681"/>
      <c r="C89" s="699" t="s">
        <v>218</v>
      </c>
      <c r="D89" s="1489" t="s">
        <v>180</v>
      </c>
      <c r="E89" s="1490"/>
      <c r="F89" s="1490"/>
      <c r="G89" s="1490"/>
      <c r="H89" s="1490"/>
      <c r="I89" s="1491"/>
      <c r="J89" s="682"/>
      <c r="K89" s="1492" t="s">
        <v>181</v>
      </c>
      <c r="L89" s="1493"/>
      <c r="M89" s="1493"/>
      <c r="N89" s="1493"/>
      <c r="O89" s="1493"/>
      <c r="P89" s="1494"/>
    </row>
    <row r="90" spans="2:21" ht="13.5" thickBot="1">
      <c r="B90" s="683"/>
      <c r="C90" s="131" t="s">
        <v>185</v>
      </c>
      <c r="D90" s="147">
        <v>2023</v>
      </c>
      <c r="E90" s="147">
        <v>2022</v>
      </c>
      <c r="F90" s="147">
        <v>2021</v>
      </c>
      <c r="G90" s="147">
        <v>2020</v>
      </c>
      <c r="H90" s="147">
        <v>2019</v>
      </c>
      <c r="I90" s="147">
        <v>2018</v>
      </c>
      <c r="J90" s="140"/>
      <c r="K90" s="142">
        <v>2023</v>
      </c>
      <c r="L90" s="142">
        <v>2022</v>
      </c>
      <c r="M90" s="142">
        <v>2021</v>
      </c>
      <c r="N90" s="142">
        <v>2020</v>
      </c>
      <c r="O90" s="142">
        <v>2019</v>
      </c>
      <c r="P90" s="684">
        <v>2018</v>
      </c>
    </row>
    <row r="91" spans="2:21" ht="13.5" thickBot="1">
      <c r="B91" s="685"/>
      <c r="C91" s="134" t="s">
        <v>186</v>
      </c>
      <c r="D91" s="700">
        <f t="shared" ref="D91:I93" si="23">D18/D79</f>
        <v>1.3041030121762032</v>
      </c>
      <c r="E91" s="700">
        <f t="shared" si="23"/>
        <v>1.7086576758771084</v>
      </c>
      <c r="F91" s="700">
        <f t="shared" si="23"/>
        <v>1.824295530877915</v>
      </c>
      <c r="G91" s="700">
        <f t="shared" si="23"/>
        <v>2.0744868802442458</v>
      </c>
      <c r="H91" s="700">
        <f t="shared" si="23"/>
        <v>2.4333009164065555</v>
      </c>
      <c r="I91" s="700">
        <f t="shared" si="23"/>
        <v>2.7117098434609979</v>
      </c>
      <c r="J91" s="141"/>
      <c r="K91" s="282">
        <f>(D91-E91)/E91</f>
        <v>-0.23676753360981709</v>
      </c>
      <c r="L91" s="282">
        <f t="shared" ref="L91:L93" si="24">(E91-F91)/F91</f>
        <v>-6.3387676526926312E-2</v>
      </c>
      <c r="M91" s="282">
        <f t="shared" ref="M91:M93" si="25">(F91-G91)/G91</f>
        <v>-0.12060396802166028</v>
      </c>
      <c r="N91" s="282">
        <f t="shared" ref="N91:N93" si="26">(G91-H91)/H91</f>
        <v>-0.14745978754333366</v>
      </c>
      <c r="O91" s="282">
        <f t="shared" ref="O91:O93" si="27">(H91-I91)/I91</f>
        <v>-0.10266914350213245</v>
      </c>
      <c r="P91" s="686" t="s">
        <v>70</v>
      </c>
    </row>
    <row r="92" spans="2:21" ht="13.15">
      <c r="B92" s="685"/>
      <c r="C92" s="514" t="s">
        <v>187</v>
      </c>
      <c r="D92" s="700">
        <f t="shared" si="23"/>
        <v>1.168950156987669</v>
      </c>
      <c r="E92" s="700">
        <f t="shared" si="23"/>
        <v>1.2459789305084037</v>
      </c>
      <c r="F92" s="700">
        <f t="shared" si="23"/>
        <v>1.2400166475249872</v>
      </c>
      <c r="G92" s="700">
        <f t="shared" si="23"/>
        <v>1.4846459638801877</v>
      </c>
      <c r="H92" s="700">
        <f t="shared" si="23"/>
        <v>1.5160763349374533</v>
      </c>
      <c r="I92" s="700">
        <f t="shared" si="23"/>
        <v>1.4354854311925986</v>
      </c>
      <c r="J92" s="141"/>
      <c r="K92" s="282">
        <f>(D92-E92)/E92</f>
        <v>-6.1821890912155467E-2</v>
      </c>
      <c r="L92" s="282">
        <f t="shared" si="24"/>
        <v>4.8082281760627376E-3</v>
      </c>
      <c r="M92" s="282">
        <f t="shared" si="25"/>
        <v>-0.16477282955449593</v>
      </c>
      <c r="N92" s="282">
        <f t="shared" si="26"/>
        <v>-2.0731390849499889E-2</v>
      </c>
      <c r="O92" s="282">
        <f t="shared" si="27"/>
        <v>5.6141916869124821E-2</v>
      </c>
      <c r="P92" s="687" t="s">
        <v>70</v>
      </c>
    </row>
    <row r="93" spans="2:21" ht="13.15">
      <c r="B93" s="685"/>
      <c r="C93" s="135" t="s">
        <v>188</v>
      </c>
      <c r="D93" s="700">
        <f t="shared" si="23"/>
        <v>0.52495813783795287</v>
      </c>
      <c r="E93" s="700">
        <f t="shared" si="23"/>
        <v>0.66869783282502449</v>
      </c>
      <c r="F93" s="700">
        <f t="shared" si="23"/>
        <v>0.67443318006637376</v>
      </c>
      <c r="G93" s="700">
        <f t="shared" si="23"/>
        <v>0.42330806328431225</v>
      </c>
      <c r="H93" s="700">
        <f t="shared" si="23"/>
        <v>0.50199141921296653</v>
      </c>
      <c r="I93" s="700">
        <f t="shared" si="23"/>
        <v>0.58003634462215858</v>
      </c>
      <c r="J93" s="141"/>
      <c r="K93" s="283">
        <f t="shared" ref="K93" si="28">(D93-E93)/E93</f>
        <v>-0.21495462962668732</v>
      </c>
      <c r="L93" s="283">
        <f t="shared" si="24"/>
        <v>-8.5039517788624164E-3</v>
      </c>
      <c r="M93" s="283">
        <f t="shared" si="25"/>
        <v>0.59324434983274787</v>
      </c>
      <c r="N93" s="283">
        <f t="shared" si="26"/>
        <v>-0.15674243207586261</v>
      </c>
      <c r="O93" s="283">
        <f t="shared" si="27"/>
        <v>-0.13455178478519531</v>
      </c>
      <c r="P93" s="688" t="s">
        <v>70</v>
      </c>
    </row>
    <row r="94" spans="2:21" ht="13.15">
      <c r="B94" s="685"/>
      <c r="C94" s="135"/>
      <c r="D94" s="148"/>
      <c r="E94" s="148"/>
      <c r="F94" s="148"/>
      <c r="G94" s="148"/>
      <c r="H94" s="148"/>
      <c r="I94" s="148"/>
      <c r="J94" s="141"/>
      <c r="K94" s="283"/>
      <c r="L94" s="283"/>
      <c r="M94" s="283"/>
      <c r="N94" s="283"/>
      <c r="O94" s="283"/>
      <c r="P94" s="688"/>
    </row>
    <row r="95" spans="2:21" ht="13.15">
      <c r="B95" s="685"/>
      <c r="C95" s="135"/>
      <c r="D95" s="148"/>
      <c r="E95" s="148"/>
      <c r="F95" s="148"/>
      <c r="G95" s="148"/>
      <c r="H95" s="148"/>
      <c r="I95" s="148"/>
      <c r="J95" s="141"/>
      <c r="K95" s="283"/>
      <c r="L95" s="283"/>
      <c r="M95" s="283"/>
      <c r="N95" s="283"/>
      <c r="O95" s="283"/>
      <c r="P95" s="688"/>
    </row>
    <row r="96" spans="2:21" ht="13.5" thickBot="1">
      <c r="B96" s="685"/>
      <c r="C96" s="149"/>
      <c r="D96" s="611"/>
      <c r="E96" s="611"/>
      <c r="F96" s="611"/>
      <c r="G96" s="611"/>
      <c r="H96" s="611"/>
      <c r="I96" s="611"/>
      <c r="J96" s="141"/>
      <c r="K96" s="284"/>
      <c r="L96" s="284"/>
      <c r="M96" s="284"/>
      <c r="N96" s="284"/>
      <c r="O96" s="284"/>
      <c r="P96" s="689"/>
    </row>
    <row r="97" spans="2:16" ht="13.5" thickBot="1">
      <c r="B97" s="690"/>
      <c r="C97" s="691" t="s">
        <v>213</v>
      </c>
      <c r="D97" s="701">
        <f>AVERAGE(D91:D93)</f>
        <v>0.9993371023339418</v>
      </c>
      <c r="E97" s="702">
        <f t="shared" ref="E97:I97" si="29">AVERAGE(E91:E93)</f>
        <v>1.2077781464035122</v>
      </c>
      <c r="F97" s="702">
        <f t="shared" si="29"/>
        <v>1.2462484528230922</v>
      </c>
      <c r="G97" s="702">
        <f t="shared" si="29"/>
        <v>1.327480302469582</v>
      </c>
      <c r="H97" s="702">
        <f t="shared" si="29"/>
        <v>1.4837895568523252</v>
      </c>
      <c r="I97" s="703">
        <f t="shared" si="29"/>
        <v>1.5757438730919187</v>
      </c>
      <c r="J97" s="695"/>
      <c r="K97" s="696">
        <f>(D97-E97)/E97</f>
        <v>-0.17258222852455171</v>
      </c>
      <c r="L97" s="697">
        <f t="shared" ref="L97" si="30">(E97-F97)/F97</f>
        <v>-3.0868890013411223E-2</v>
      </c>
      <c r="M97" s="697">
        <f t="shared" ref="M97" si="31">(F97-G97)/G97</f>
        <v>-6.1192508465376071E-2</v>
      </c>
      <c r="N97" s="697">
        <f t="shared" ref="N97" si="32">(G97-H97)/H97</f>
        <v>-0.10534462495768858</v>
      </c>
      <c r="O97" s="697">
        <f t="shared" ref="O97" si="33">(H97-I97)/I97</f>
        <v>-5.8356131227825167E-2</v>
      </c>
      <c r="P97" s="698" t="s">
        <v>70</v>
      </c>
    </row>
    <row r="99" spans="2:16" ht="13.15" thickBot="1"/>
    <row r="100" spans="2:16" ht="21" thickBot="1">
      <c r="B100" s="681"/>
      <c r="C100" s="699" t="s">
        <v>219</v>
      </c>
      <c r="D100" s="1489" t="s">
        <v>180</v>
      </c>
      <c r="E100" s="1490"/>
      <c r="F100" s="1490"/>
      <c r="G100" s="1490"/>
      <c r="H100" s="1490"/>
      <c r="I100" s="1491"/>
      <c r="J100" s="682"/>
      <c r="K100" s="1492" t="s">
        <v>181</v>
      </c>
      <c r="L100" s="1493"/>
      <c r="M100" s="1493"/>
      <c r="N100" s="1493"/>
      <c r="O100" s="1493"/>
      <c r="P100" s="1494"/>
    </row>
    <row r="101" spans="2:16" ht="13.5" thickBot="1">
      <c r="B101" s="683"/>
      <c r="C101" s="131" t="s">
        <v>185</v>
      </c>
      <c r="D101" s="147">
        <v>2023</v>
      </c>
      <c r="E101" s="147">
        <v>2022</v>
      </c>
      <c r="F101" s="147">
        <v>2021</v>
      </c>
      <c r="G101" s="147">
        <v>2020</v>
      </c>
      <c r="H101" s="147">
        <v>2019</v>
      </c>
      <c r="I101" s="147">
        <v>2018</v>
      </c>
      <c r="J101" s="140"/>
      <c r="K101" s="142">
        <v>2023</v>
      </c>
      <c r="L101" s="142">
        <v>2022</v>
      </c>
      <c r="M101" s="142">
        <v>2021</v>
      </c>
      <c r="N101" s="142">
        <v>2020</v>
      </c>
      <c r="O101" s="142">
        <v>2019</v>
      </c>
      <c r="P101" s="684">
        <v>2018</v>
      </c>
    </row>
    <row r="102" spans="2:16" ht="13.5" thickBot="1">
      <c r="B102" s="685"/>
      <c r="C102" s="134" t="s">
        <v>186</v>
      </c>
      <c r="D102" s="700">
        <v>610510</v>
      </c>
      <c r="E102" s="700">
        <v>529005</v>
      </c>
      <c r="F102" s="700">
        <v>465733</v>
      </c>
      <c r="G102" s="700">
        <v>449290</v>
      </c>
      <c r="H102" s="700">
        <v>401609</v>
      </c>
      <c r="I102" s="700">
        <v>378146</v>
      </c>
      <c r="J102" s="141"/>
      <c r="K102" s="282">
        <f>(D102-E102)/E102</f>
        <v>0.15407226774794189</v>
      </c>
      <c r="L102" s="282">
        <f t="shared" ref="L102:L104" si="34">(E102-F102)/F102</f>
        <v>0.13585466350892034</v>
      </c>
      <c r="M102" s="282">
        <f t="shared" ref="M102:M104" si="35">(F102-G102)/G102</f>
        <v>3.6597743105789136E-2</v>
      </c>
      <c r="N102" s="282">
        <f t="shared" ref="N102:N104" si="36">(G102-H102)/H102</f>
        <v>0.11872492897320529</v>
      </c>
      <c r="O102" s="282">
        <f t="shared" ref="O102:O104" si="37">(H102-I102)/I102</f>
        <v>6.2047463149154033E-2</v>
      </c>
      <c r="P102" s="686" t="s">
        <v>70</v>
      </c>
    </row>
    <row r="103" spans="2:16" ht="13.15">
      <c r="B103" s="685"/>
      <c r="C103" s="514" t="s">
        <v>187</v>
      </c>
      <c r="D103" s="700">
        <v>131189</v>
      </c>
      <c r="E103" s="700">
        <v>115501</v>
      </c>
      <c r="F103" s="700">
        <v>99248</v>
      </c>
      <c r="G103" s="700">
        <v>93184</v>
      </c>
      <c r="H103" s="700">
        <v>85276</v>
      </c>
      <c r="I103" s="700">
        <v>80681</v>
      </c>
      <c r="J103" s="141"/>
      <c r="K103" s="282">
        <f>(D103-E103)/E103</f>
        <v>0.13582566384706626</v>
      </c>
      <c r="L103" s="282">
        <f t="shared" si="34"/>
        <v>0.16376148637755925</v>
      </c>
      <c r="M103" s="282">
        <f t="shared" si="35"/>
        <v>6.5075549450549455E-2</v>
      </c>
      <c r="N103" s="282">
        <f t="shared" si="36"/>
        <v>9.2734180777710021E-2</v>
      </c>
      <c r="O103" s="282">
        <f t="shared" si="37"/>
        <v>5.6952690224464246E-2</v>
      </c>
      <c r="P103" s="687" t="s">
        <v>70</v>
      </c>
    </row>
    <row r="104" spans="2:16" ht="13.15">
      <c r="B104" s="685"/>
      <c r="C104" s="135" t="s">
        <v>188</v>
      </c>
      <c r="D104" s="700">
        <v>173657</v>
      </c>
      <c r="E104" s="700">
        <v>171060</v>
      </c>
      <c r="F104" s="700">
        <v>159886</v>
      </c>
      <c r="G104" s="700">
        <v>150474</v>
      </c>
      <c r="H104" s="700">
        <v>151124</v>
      </c>
      <c r="I104" s="700">
        <v>161666</v>
      </c>
      <c r="J104" s="141"/>
      <c r="K104" s="283">
        <f t="shared" ref="K104" si="38">(D104-E104)/E104</f>
        <v>1.5181807552905413E-2</v>
      </c>
      <c r="L104" s="283">
        <f t="shared" si="34"/>
        <v>6.9887294697471944E-2</v>
      </c>
      <c r="M104" s="283">
        <f t="shared" si="35"/>
        <v>6.2549011789412121E-2</v>
      </c>
      <c r="N104" s="283">
        <f t="shared" si="36"/>
        <v>-4.3011037293877877E-3</v>
      </c>
      <c r="O104" s="283">
        <f t="shared" si="37"/>
        <v>-6.5208516323778651E-2</v>
      </c>
      <c r="P104" s="688" t="s">
        <v>70</v>
      </c>
    </row>
    <row r="105" spans="2:16" ht="13.15">
      <c r="B105" s="685"/>
      <c r="C105" s="135" t="s">
        <v>220</v>
      </c>
      <c r="D105" s="148">
        <v>15229</v>
      </c>
      <c r="E105" s="148">
        <v>11126</v>
      </c>
      <c r="F105" s="148">
        <v>10539</v>
      </c>
      <c r="G105" s="148">
        <v>9163</v>
      </c>
      <c r="H105" s="148">
        <v>10902</v>
      </c>
      <c r="I105" s="148">
        <v>10386</v>
      </c>
      <c r="J105" s="141"/>
      <c r="K105" s="283"/>
      <c r="L105" s="283"/>
      <c r="M105" s="283"/>
      <c r="N105" s="283"/>
      <c r="O105" s="283"/>
      <c r="P105" s="688"/>
    </row>
    <row r="106" spans="2:16" ht="13.15">
      <c r="B106" s="685"/>
      <c r="C106" s="135"/>
      <c r="D106" s="148"/>
      <c r="E106" s="148"/>
      <c r="F106" s="148"/>
      <c r="G106" s="148"/>
      <c r="H106" s="148"/>
      <c r="I106" s="148"/>
      <c r="J106" s="141"/>
      <c r="K106" s="283"/>
      <c r="L106" s="283"/>
      <c r="M106" s="283"/>
      <c r="N106" s="283"/>
      <c r="O106" s="283"/>
      <c r="P106" s="688"/>
    </row>
    <row r="107" spans="2:16" ht="13.5" thickBot="1">
      <c r="B107" s="685"/>
      <c r="C107" s="149"/>
      <c r="D107" s="611"/>
      <c r="E107" s="611"/>
      <c r="F107" s="611"/>
      <c r="G107" s="611"/>
      <c r="H107" s="611"/>
      <c r="I107" s="611"/>
      <c r="J107" s="141"/>
      <c r="K107" s="284"/>
      <c r="L107" s="284"/>
      <c r="M107" s="284"/>
      <c r="N107" s="284"/>
      <c r="O107" s="284"/>
      <c r="P107" s="689"/>
    </row>
    <row r="108" spans="2:16" ht="13.5" thickBot="1">
      <c r="B108" s="690"/>
      <c r="C108" s="691" t="s">
        <v>213</v>
      </c>
      <c r="D108" s="701">
        <f>SUM(D102:D105)</f>
        <v>930585</v>
      </c>
      <c r="E108" s="701">
        <f t="shared" ref="E108:I108" si="39">SUM(E102:E105)</f>
        <v>826692</v>
      </c>
      <c r="F108" s="701">
        <f t="shared" si="39"/>
        <v>735406</v>
      </c>
      <c r="G108" s="701">
        <f t="shared" si="39"/>
        <v>702111</v>
      </c>
      <c r="H108" s="701">
        <f t="shared" si="39"/>
        <v>648911</v>
      </c>
      <c r="I108" s="701">
        <f t="shared" si="39"/>
        <v>630879</v>
      </c>
      <c r="J108" s="695"/>
      <c r="K108" s="696">
        <f>(D108-E108)/E108</f>
        <v>0.12567316485462543</v>
      </c>
      <c r="L108" s="697">
        <f t="shared" ref="L108" si="40">(E108-F108)/F108</f>
        <v>0.12413007236818846</v>
      </c>
      <c r="M108" s="697">
        <f t="shared" ref="M108" si="41">(F108-G108)/G108</f>
        <v>4.7421276692716681E-2</v>
      </c>
      <c r="N108" s="697">
        <f t="shared" ref="N108" si="42">(G108-H108)/H108</f>
        <v>8.198350775375976E-2</v>
      </c>
      <c r="O108" s="697">
        <f t="shared" ref="O108" si="43">(H108-I108)/I108</f>
        <v>2.8582343048350001E-2</v>
      </c>
      <c r="P108" s="698" t="s">
        <v>70</v>
      </c>
    </row>
    <row r="110" spans="2:16" ht="13.15" thickBot="1"/>
    <row r="111" spans="2:16" ht="21" thickBot="1">
      <c r="B111" s="681"/>
      <c r="C111" s="699" t="s">
        <v>221</v>
      </c>
      <c r="D111" s="1489" t="s">
        <v>180</v>
      </c>
      <c r="E111" s="1490"/>
      <c r="F111" s="1490"/>
      <c r="G111" s="1490"/>
      <c r="H111" s="1490"/>
      <c r="I111" s="1491"/>
      <c r="J111" s="682"/>
      <c r="K111" s="1492" t="s">
        <v>181</v>
      </c>
      <c r="L111" s="1493"/>
      <c r="M111" s="1493"/>
      <c r="N111" s="1493"/>
      <c r="O111" s="1493"/>
      <c r="P111" s="1494"/>
    </row>
    <row r="112" spans="2:16" ht="13.5" thickBot="1">
      <c r="B112" s="683"/>
      <c r="C112" s="131" t="s">
        <v>185</v>
      </c>
      <c r="D112" s="147">
        <v>2023</v>
      </c>
      <c r="E112" s="147">
        <v>2022</v>
      </c>
      <c r="F112" s="147">
        <v>2021</v>
      </c>
      <c r="G112" s="147">
        <v>2020</v>
      </c>
      <c r="H112" s="147">
        <v>2019</v>
      </c>
      <c r="I112" s="147">
        <v>2018</v>
      </c>
      <c r="J112" s="140"/>
      <c r="K112" s="142">
        <v>2023</v>
      </c>
      <c r="L112" s="142">
        <v>2022</v>
      </c>
      <c r="M112" s="142">
        <v>2021</v>
      </c>
      <c r="N112" s="142">
        <v>2020</v>
      </c>
      <c r="O112" s="142">
        <v>2019</v>
      </c>
      <c r="P112" s="684">
        <v>2018</v>
      </c>
    </row>
    <row r="113" spans="2:16" ht="13.5" thickBot="1">
      <c r="B113" s="685"/>
      <c r="C113" s="134" t="s">
        <v>186</v>
      </c>
      <c r="D113" s="700">
        <v>7829</v>
      </c>
      <c r="E113" s="700">
        <v>7829</v>
      </c>
      <c r="F113" s="700">
        <v>7829</v>
      </c>
      <c r="G113" s="700">
        <v>7334</v>
      </c>
      <c r="H113" s="700">
        <v>8624</v>
      </c>
      <c r="I113" s="700">
        <v>9400</v>
      </c>
      <c r="J113" s="141"/>
      <c r="K113" s="282">
        <f>(D113-E113)/E113</f>
        <v>0</v>
      </c>
      <c r="L113" s="282">
        <f t="shared" ref="L113:L115" si="44">(E113-F113)/F113</f>
        <v>0</v>
      </c>
      <c r="M113" s="282">
        <f t="shared" ref="M113:M115" si="45">(F113-G113)/G113</f>
        <v>6.7493864194164171E-2</v>
      </c>
      <c r="N113" s="282">
        <f t="shared" ref="N113:N115" si="46">(G113-H113)/H113</f>
        <v>-0.14958256029684602</v>
      </c>
      <c r="O113" s="282">
        <f t="shared" ref="O113:O115" si="47">(H113-I113)/I113</f>
        <v>-8.2553191489361702E-2</v>
      </c>
      <c r="P113" s="686" t="s">
        <v>70</v>
      </c>
    </row>
    <row r="114" spans="2:16" ht="13.15">
      <c r="B114" s="685"/>
      <c r="C114" s="514" t="s">
        <v>187</v>
      </c>
      <c r="D114" s="700">
        <v>202129</v>
      </c>
      <c r="E114" s="700">
        <v>199379</v>
      </c>
      <c r="F114" s="700">
        <v>93160</v>
      </c>
      <c r="G114" s="700">
        <v>47773</v>
      </c>
      <c r="H114" s="700">
        <v>49914</v>
      </c>
      <c r="I114" s="700">
        <v>51997</v>
      </c>
      <c r="J114" s="141"/>
      <c r="K114" s="282">
        <f>(D114-E114)/E114</f>
        <v>1.3792826726987296E-2</v>
      </c>
      <c r="L114" s="282">
        <f t="shared" si="44"/>
        <v>1.1401781880635466</v>
      </c>
      <c r="M114" s="282">
        <f t="shared" si="45"/>
        <v>0.95005547066334539</v>
      </c>
      <c r="N114" s="282">
        <f t="shared" si="46"/>
        <v>-4.2893777296950757E-2</v>
      </c>
      <c r="O114" s="282">
        <f t="shared" si="47"/>
        <v>-4.0060003461738179E-2</v>
      </c>
      <c r="P114" s="687" t="s">
        <v>70</v>
      </c>
    </row>
    <row r="115" spans="2:16" ht="13.15">
      <c r="B115" s="685"/>
      <c r="C115" s="135" t="s">
        <v>188</v>
      </c>
      <c r="D115" s="700">
        <v>27772</v>
      </c>
      <c r="E115" s="700">
        <v>27734</v>
      </c>
      <c r="F115" s="700">
        <v>28168</v>
      </c>
      <c r="G115" s="700">
        <v>28249</v>
      </c>
      <c r="H115" s="700">
        <v>27204</v>
      </c>
      <c r="I115" s="700">
        <v>27361</v>
      </c>
      <c r="J115" s="141"/>
      <c r="K115" s="283">
        <f t="shared" ref="K115" si="48">(D115-E115)/E115</f>
        <v>1.3701593711689622E-3</v>
      </c>
      <c r="L115" s="283">
        <f t="shared" si="44"/>
        <v>-1.5407554671968192E-2</v>
      </c>
      <c r="M115" s="283">
        <f t="shared" si="45"/>
        <v>-2.8673581365712061E-3</v>
      </c>
      <c r="N115" s="283">
        <f t="shared" si="46"/>
        <v>3.8413468607557712E-2</v>
      </c>
      <c r="O115" s="283">
        <f t="shared" si="47"/>
        <v>-5.7380943678959099E-3</v>
      </c>
      <c r="P115" s="688" t="s">
        <v>70</v>
      </c>
    </row>
    <row r="116" spans="2:16" ht="13.15">
      <c r="B116" s="685"/>
      <c r="C116" s="135"/>
      <c r="D116" s="148"/>
      <c r="E116" s="148"/>
      <c r="F116" s="148"/>
      <c r="G116" s="148"/>
      <c r="H116" s="148"/>
      <c r="I116" s="148"/>
      <c r="J116" s="141"/>
      <c r="K116" s="283"/>
      <c r="L116" s="283"/>
      <c r="M116" s="283"/>
      <c r="N116" s="283"/>
      <c r="O116" s="283"/>
      <c r="P116" s="688"/>
    </row>
    <row r="117" spans="2:16" ht="13.15">
      <c r="B117" s="685"/>
      <c r="C117" s="135"/>
      <c r="D117" s="148"/>
      <c r="E117" s="148"/>
      <c r="F117" s="148"/>
      <c r="G117" s="148"/>
      <c r="H117" s="148"/>
      <c r="I117" s="148"/>
      <c r="J117" s="141"/>
      <c r="K117" s="283"/>
      <c r="L117" s="283"/>
      <c r="M117" s="283"/>
      <c r="N117" s="283"/>
      <c r="O117" s="283"/>
      <c r="P117" s="688"/>
    </row>
    <row r="118" spans="2:16" ht="13.5" thickBot="1">
      <c r="B118" s="685"/>
      <c r="C118" s="149"/>
      <c r="D118" s="611"/>
      <c r="E118" s="611"/>
      <c r="F118" s="611"/>
      <c r="G118" s="611"/>
      <c r="H118" s="611"/>
      <c r="I118" s="611"/>
      <c r="J118" s="141"/>
      <c r="K118" s="284"/>
      <c r="L118" s="284"/>
      <c r="M118" s="284"/>
      <c r="N118" s="284"/>
      <c r="O118" s="284"/>
      <c r="P118" s="689"/>
    </row>
    <row r="119" spans="2:16" ht="13.5" thickBot="1">
      <c r="B119" s="690"/>
      <c r="C119" s="691" t="s">
        <v>213</v>
      </c>
      <c r="D119" s="701">
        <f>SUM(D113:D115)</f>
        <v>237730</v>
      </c>
      <c r="E119" s="702">
        <f t="shared" ref="E119:I119" si="49">SUM(E113:E115)</f>
        <v>234942</v>
      </c>
      <c r="F119" s="702">
        <f t="shared" si="49"/>
        <v>129157</v>
      </c>
      <c r="G119" s="702">
        <f t="shared" si="49"/>
        <v>83356</v>
      </c>
      <c r="H119" s="702">
        <f t="shared" si="49"/>
        <v>85742</v>
      </c>
      <c r="I119" s="703">
        <f t="shared" si="49"/>
        <v>88758</v>
      </c>
      <c r="J119" s="695"/>
      <c r="K119" s="696">
        <f>(D119-E119)/E119</f>
        <v>1.1866758604251262E-2</v>
      </c>
      <c r="L119" s="697">
        <f>(E119-F119)/F119</f>
        <v>0.81904194120334162</v>
      </c>
      <c r="M119" s="697">
        <f>(F119-G119)/G119</f>
        <v>0.54946254618743706</v>
      </c>
      <c r="N119" s="697">
        <f>(G119-H119)/H119</f>
        <v>-2.7827669053672646E-2</v>
      </c>
      <c r="O119" s="697">
        <f>(H119-I119)/I119</f>
        <v>-3.3980035602424567E-2</v>
      </c>
      <c r="P119" s="698" t="s">
        <v>70</v>
      </c>
    </row>
    <row r="124" spans="2:16">
      <c r="C124" t="s">
        <v>222</v>
      </c>
    </row>
    <row r="126" spans="2:16">
      <c r="C126" t="s">
        <v>223</v>
      </c>
    </row>
    <row r="127" spans="2:16">
      <c r="C127" t="s">
        <v>224</v>
      </c>
    </row>
    <row r="130" spans="3:3" ht="13.15">
      <c r="C130" s="10" t="s">
        <v>225</v>
      </c>
    </row>
    <row r="131" spans="3:3">
      <c r="C131" t="s">
        <v>226</v>
      </c>
    </row>
  </sheetData>
  <mergeCells count="56">
    <mergeCell ref="B56:I72"/>
    <mergeCell ref="B74:G74"/>
    <mergeCell ref="I27:P40"/>
    <mergeCell ref="B26:H26"/>
    <mergeCell ref="C27:H27"/>
    <mergeCell ref="I26:P26"/>
    <mergeCell ref="B37:C37"/>
    <mergeCell ref="B40:C40"/>
    <mergeCell ref="B39:C39"/>
    <mergeCell ref="D37:H37"/>
    <mergeCell ref="D38:H38"/>
    <mergeCell ref="D39:H39"/>
    <mergeCell ref="D40:H40"/>
    <mergeCell ref="B38:C38"/>
    <mergeCell ref="B46:C46"/>
    <mergeCell ref="B47:C47"/>
    <mergeCell ref="Q2:Y2"/>
    <mergeCell ref="K3:P3"/>
    <mergeCell ref="B2:P2"/>
    <mergeCell ref="K16:P16"/>
    <mergeCell ref="D3:I3"/>
    <mergeCell ref="B15:P15"/>
    <mergeCell ref="D16:I16"/>
    <mergeCell ref="B5:B13"/>
    <mergeCell ref="D46:I46"/>
    <mergeCell ref="B53:C53"/>
    <mergeCell ref="B54:C54"/>
    <mergeCell ref="D47:I47"/>
    <mergeCell ref="D48:I48"/>
    <mergeCell ref="D54:I54"/>
    <mergeCell ref="D50:F50"/>
    <mergeCell ref="G50:I50"/>
    <mergeCell ref="B48:C48"/>
    <mergeCell ref="B52:C52"/>
    <mergeCell ref="B43:C43"/>
    <mergeCell ref="D43:H43"/>
    <mergeCell ref="D100:I100"/>
    <mergeCell ref="K100:P100"/>
    <mergeCell ref="J45:Q45"/>
    <mergeCell ref="G52:I52"/>
    <mergeCell ref="G53:I53"/>
    <mergeCell ref="D51:F51"/>
    <mergeCell ref="D52:F52"/>
    <mergeCell ref="D53:F53"/>
    <mergeCell ref="B49:I49"/>
    <mergeCell ref="B50:C50"/>
    <mergeCell ref="B51:C51"/>
    <mergeCell ref="G51:I51"/>
    <mergeCell ref="B45:I45"/>
    <mergeCell ref="B55:I55"/>
    <mergeCell ref="D111:I111"/>
    <mergeCell ref="K111:P111"/>
    <mergeCell ref="D77:I77"/>
    <mergeCell ref="K77:P77"/>
    <mergeCell ref="D89:I89"/>
    <mergeCell ref="K89:P89"/>
  </mergeCells>
  <phoneticPr fontId="0" type="noConversion"/>
  <conditionalFormatting sqref="B5">
    <cfRule type="dataBar" priority="234">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8:B23">
    <cfRule type="dataBar" priority="205">
      <dataBar>
        <cfvo type="min"/>
        <cfvo type="max"/>
        <color rgb="FF638EC6"/>
      </dataBar>
      <extLst>
        <ext xmlns:x14="http://schemas.microsoft.com/office/spreadsheetml/2009/9/main" uri="{B025F937-C7B1-47D3-B67F-A62EFF666E3E}">
          <x14:id>{070902CC-8EB6-43DB-B9AD-5811F17D394B}</x14:id>
        </ext>
      </extLst>
    </cfRule>
  </conditionalFormatting>
  <conditionalFormatting sqref="B79:B84">
    <cfRule type="dataBar" priority="158">
      <dataBar>
        <cfvo type="min"/>
        <cfvo type="max"/>
        <color rgb="FF638EC6"/>
      </dataBar>
      <extLst>
        <ext xmlns:x14="http://schemas.microsoft.com/office/spreadsheetml/2009/9/main" uri="{B025F937-C7B1-47D3-B67F-A62EFF666E3E}">
          <x14:id>{00F07389-461C-41B3-8F6D-C8618C983D59}</x14:id>
        </ext>
      </extLst>
    </cfRule>
  </conditionalFormatting>
  <conditionalFormatting sqref="B91:B96">
    <cfRule type="dataBar" priority="126">
      <dataBar>
        <cfvo type="min"/>
        <cfvo type="max"/>
        <color rgb="FF638EC6"/>
      </dataBar>
      <extLst>
        <ext xmlns:x14="http://schemas.microsoft.com/office/spreadsheetml/2009/9/main" uri="{B025F937-C7B1-47D3-B67F-A62EFF666E3E}">
          <x14:id>{87F742E3-C2F0-4B04-9893-BDC679CE5999}</x14:id>
        </ext>
      </extLst>
    </cfRule>
  </conditionalFormatting>
  <conditionalFormatting sqref="B102:B107">
    <cfRule type="dataBar" priority="62">
      <dataBar>
        <cfvo type="min"/>
        <cfvo type="max"/>
        <color rgb="FF638EC6"/>
      </dataBar>
      <extLst>
        <ext xmlns:x14="http://schemas.microsoft.com/office/spreadsheetml/2009/9/main" uri="{B025F937-C7B1-47D3-B67F-A62EFF666E3E}">
          <x14:id>{C816E053-1C18-475C-B3BA-49C4C01EBCB9}</x14:id>
        </ext>
      </extLst>
    </cfRule>
  </conditionalFormatting>
  <conditionalFormatting sqref="B113:B118">
    <cfRule type="dataBar" priority="30">
      <dataBar>
        <cfvo type="min"/>
        <cfvo type="max"/>
        <color rgb="FF638EC6"/>
      </dataBar>
      <extLst>
        <ext xmlns:x14="http://schemas.microsoft.com/office/spreadsheetml/2009/9/main" uri="{B025F937-C7B1-47D3-B67F-A62EFF666E3E}">
          <x14:id>{07D4F49B-7D62-42E2-9AF9-F95341AC3DB7}</x14:id>
        </ext>
      </extLst>
    </cfRule>
  </conditionalFormatting>
  <conditionalFormatting sqref="C29:C34 C29:H31">
    <cfRule type="dataBar" priority="71">
      <dataBar>
        <cfvo type="min"/>
        <cfvo type="max"/>
        <color rgb="FF63C384"/>
      </dataBar>
      <extLst>
        <ext xmlns:x14="http://schemas.microsoft.com/office/spreadsheetml/2009/9/main" uri="{B025F937-C7B1-47D3-B67F-A62EFF666E3E}">
          <x14:id>{0AD68DE3-B32C-496B-80EB-51BE224EEBF4}</x14:id>
        </ext>
      </extLst>
    </cfRule>
  </conditionalFormatting>
  <conditionalFormatting sqref="C29:H34">
    <cfRule type="dataBar" priority="65">
      <dataBar>
        <cfvo type="min"/>
        <cfvo type="max"/>
        <color rgb="FF63C384"/>
      </dataBar>
      <extLst>
        <ext xmlns:x14="http://schemas.microsoft.com/office/spreadsheetml/2009/9/main" uri="{B025F937-C7B1-47D3-B67F-A62EFF666E3E}">
          <x14:id>{CECB1E95-E699-4808-8421-B9FD5765C431}</x14:id>
        </ext>
      </extLst>
    </cfRule>
  </conditionalFormatting>
  <conditionalFormatting sqref="D5:D12">
    <cfRule type="dataBar" priority="217">
      <dataBar>
        <cfvo type="min"/>
        <cfvo type="max"/>
        <color rgb="FF63C384"/>
      </dataBar>
      <extLst>
        <ext xmlns:x14="http://schemas.microsoft.com/office/spreadsheetml/2009/9/main" uri="{B025F937-C7B1-47D3-B67F-A62EFF666E3E}">
          <x14:id>{767D33FE-8570-4B26-81B7-5505E2A08A62}</x14:id>
        </ext>
      </extLst>
    </cfRule>
  </conditionalFormatting>
  <conditionalFormatting sqref="D18:D23">
    <cfRule type="dataBar" priority="175">
      <dataBar>
        <cfvo type="min"/>
        <cfvo type="max"/>
        <color rgb="FF63C384"/>
      </dataBar>
      <extLst>
        <ext xmlns:x14="http://schemas.microsoft.com/office/spreadsheetml/2009/9/main" uri="{B025F937-C7B1-47D3-B67F-A62EFF666E3E}">
          <x14:id>{3F107DCC-63A1-497B-B919-528218A545C1}</x14:id>
        </ext>
      </extLst>
    </cfRule>
  </conditionalFormatting>
  <conditionalFormatting sqref="D29:D34">
    <cfRule type="dataBar" priority="70">
      <dataBar>
        <cfvo type="min"/>
        <cfvo type="max"/>
        <color rgb="FF63C384"/>
      </dataBar>
      <extLst>
        <ext xmlns:x14="http://schemas.microsoft.com/office/spreadsheetml/2009/9/main" uri="{B025F937-C7B1-47D3-B67F-A62EFF666E3E}">
          <x14:id>{A65ECB21-EB61-493F-8CEC-943FA77EDA1D}</x14:id>
        </ext>
      </extLst>
    </cfRule>
  </conditionalFormatting>
  <conditionalFormatting sqref="D79:D84">
    <cfRule type="dataBar" priority="135">
      <dataBar>
        <cfvo type="min"/>
        <cfvo type="max"/>
        <color rgb="FF63C384"/>
      </dataBar>
      <extLst>
        <ext xmlns:x14="http://schemas.microsoft.com/office/spreadsheetml/2009/9/main" uri="{B025F937-C7B1-47D3-B67F-A62EFF666E3E}">
          <x14:id>{80EA1248-A466-4594-988A-68A31956B312}</x14:id>
        </ext>
      </extLst>
    </cfRule>
  </conditionalFormatting>
  <conditionalFormatting sqref="D91:D96">
    <cfRule type="dataBar" priority="103">
      <dataBar>
        <cfvo type="min"/>
        <cfvo type="max"/>
        <color rgb="FF63C384"/>
      </dataBar>
      <extLst>
        <ext xmlns:x14="http://schemas.microsoft.com/office/spreadsheetml/2009/9/main" uri="{B025F937-C7B1-47D3-B67F-A62EFF666E3E}">
          <x14:id>{181D615C-2E3A-4CC0-9190-FFC67B0A6053}</x14:id>
        </ext>
      </extLst>
    </cfRule>
  </conditionalFormatting>
  <conditionalFormatting sqref="D102:D107">
    <cfRule type="dataBar" priority="39">
      <dataBar>
        <cfvo type="min"/>
        <cfvo type="max"/>
        <color rgb="FF63C384"/>
      </dataBar>
      <extLst>
        <ext xmlns:x14="http://schemas.microsoft.com/office/spreadsheetml/2009/9/main" uri="{B025F937-C7B1-47D3-B67F-A62EFF666E3E}">
          <x14:id>{EC1F3748-4CA2-4D58-85C1-95C49C45A996}</x14:id>
        </ext>
      </extLst>
    </cfRule>
  </conditionalFormatting>
  <conditionalFormatting sqref="D113:D118">
    <cfRule type="dataBar" priority="7">
      <dataBar>
        <cfvo type="min"/>
        <cfvo type="max"/>
        <color rgb="FF63C384"/>
      </dataBar>
      <extLst>
        <ext xmlns:x14="http://schemas.microsoft.com/office/spreadsheetml/2009/9/main" uri="{B025F937-C7B1-47D3-B67F-A62EFF666E3E}">
          <x14:id>{44648701-D9F3-4849-A619-F5ECC451BEDB}</x14:id>
        </ext>
      </extLst>
    </cfRule>
  </conditionalFormatting>
  <conditionalFormatting sqref="D5:I10">
    <cfRule type="dataBar" priority="191">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8:I23">
    <cfRule type="dataBar" priority="169">
      <dataBar>
        <cfvo type="min"/>
        <cfvo type="max"/>
        <color rgb="FF63C384"/>
      </dataBar>
      <extLst>
        <ext xmlns:x14="http://schemas.microsoft.com/office/spreadsheetml/2009/9/main" uri="{B025F937-C7B1-47D3-B67F-A62EFF666E3E}">
          <x14:id>{5BBC426E-7FA9-4F5C-AC78-B3996BA8F931}</x14:id>
        </ext>
      </extLst>
    </cfRule>
  </conditionalFormatting>
  <conditionalFormatting sqref="D79:I84">
    <cfRule type="dataBar" priority="129">
      <dataBar>
        <cfvo type="min"/>
        <cfvo type="max"/>
        <color rgb="FF63C384"/>
      </dataBar>
      <extLst>
        <ext xmlns:x14="http://schemas.microsoft.com/office/spreadsheetml/2009/9/main" uri="{B025F937-C7B1-47D3-B67F-A62EFF666E3E}">
          <x14:id>{A354E625-C2D6-437B-B839-3CC7206A7152}</x14:id>
        </ext>
      </extLst>
    </cfRule>
  </conditionalFormatting>
  <conditionalFormatting sqref="D91:I96">
    <cfRule type="dataBar" priority="97">
      <dataBar>
        <cfvo type="min"/>
        <cfvo type="max"/>
        <color rgb="FF63C384"/>
      </dataBar>
      <extLst>
        <ext xmlns:x14="http://schemas.microsoft.com/office/spreadsheetml/2009/9/main" uri="{B025F937-C7B1-47D3-B67F-A62EFF666E3E}">
          <x14:id>{5E589869-6479-4B91-BB07-928E8F822B6F}</x14:id>
        </ext>
      </extLst>
    </cfRule>
  </conditionalFormatting>
  <conditionalFormatting sqref="D102:I107">
    <cfRule type="dataBar" priority="33">
      <dataBar>
        <cfvo type="min"/>
        <cfvo type="max"/>
        <color rgb="FF63C384"/>
      </dataBar>
      <extLst>
        <ext xmlns:x14="http://schemas.microsoft.com/office/spreadsheetml/2009/9/main" uri="{B025F937-C7B1-47D3-B67F-A62EFF666E3E}">
          <x14:id>{9E6B22DE-4450-48BF-B1E0-2F434942B141}</x14:id>
        </ext>
      </extLst>
    </cfRule>
  </conditionalFormatting>
  <conditionalFormatting sqref="D113:I118">
    <cfRule type="dataBar" priority="1">
      <dataBar>
        <cfvo type="min"/>
        <cfvo type="max"/>
        <color rgb="FF63C384"/>
      </dataBar>
      <extLst>
        <ext xmlns:x14="http://schemas.microsoft.com/office/spreadsheetml/2009/9/main" uri="{B025F937-C7B1-47D3-B67F-A62EFF666E3E}">
          <x14:id>{5B34FE4B-4D38-44AE-9B33-E8CBBA88A7F5}</x14:id>
        </ext>
      </extLst>
    </cfRule>
  </conditionalFormatting>
  <conditionalFormatting sqref="E5:E12">
    <cfRule type="dataBar" priority="216">
      <dataBar>
        <cfvo type="min"/>
        <cfvo type="max"/>
        <color rgb="FF63C384"/>
      </dataBar>
      <extLst>
        <ext xmlns:x14="http://schemas.microsoft.com/office/spreadsheetml/2009/9/main" uri="{B025F937-C7B1-47D3-B67F-A62EFF666E3E}">
          <x14:id>{740A2B96-C6E5-4177-AC04-9573B81E30EC}</x14:id>
        </ext>
      </extLst>
    </cfRule>
  </conditionalFormatting>
  <conditionalFormatting sqref="E18:E23">
    <cfRule type="dataBar" priority="174">
      <dataBar>
        <cfvo type="min"/>
        <cfvo type="max"/>
        <color rgb="FF63C384"/>
      </dataBar>
      <extLst>
        <ext xmlns:x14="http://schemas.microsoft.com/office/spreadsheetml/2009/9/main" uri="{B025F937-C7B1-47D3-B67F-A62EFF666E3E}">
          <x14:id>{5AA7A103-2149-42E1-9BBB-48A01258D43D}</x14:id>
        </ext>
      </extLst>
    </cfRule>
  </conditionalFormatting>
  <conditionalFormatting sqref="E29:E34">
    <cfRule type="dataBar" priority="69">
      <dataBar>
        <cfvo type="min"/>
        <cfvo type="max"/>
        <color rgb="FF63C384"/>
      </dataBar>
      <extLst>
        <ext xmlns:x14="http://schemas.microsoft.com/office/spreadsheetml/2009/9/main" uri="{B025F937-C7B1-47D3-B67F-A62EFF666E3E}">
          <x14:id>{805498FA-7598-4F01-8DC3-3F5C3CD52A74}</x14:id>
        </ext>
      </extLst>
    </cfRule>
  </conditionalFormatting>
  <conditionalFormatting sqref="E79:E84">
    <cfRule type="dataBar" priority="134">
      <dataBar>
        <cfvo type="min"/>
        <cfvo type="max"/>
        <color rgb="FF63C384"/>
      </dataBar>
      <extLst>
        <ext xmlns:x14="http://schemas.microsoft.com/office/spreadsheetml/2009/9/main" uri="{B025F937-C7B1-47D3-B67F-A62EFF666E3E}">
          <x14:id>{D4FD6980-3D4B-4272-9F36-FEB782A4AC21}</x14:id>
        </ext>
      </extLst>
    </cfRule>
  </conditionalFormatting>
  <conditionalFormatting sqref="E91:E96">
    <cfRule type="dataBar" priority="102">
      <dataBar>
        <cfvo type="min"/>
        <cfvo type="max"/>
        <color rgb="FF63C384"/>
      </dataBar>
      <extLst>
        <ext xmlns:x14="http://schemas.microsoft.com/office/spreadsheetml/2009/9/main" uri="{B025F937-C7B1-47D3-B67F-A62EFF666E3E}">
          <x14:id>{6E7377DD-46CC-4559-85DA-9362FF8EF7B4}</x14:id>
        </ext>
      </extLst>
    </cfRule>
  </conditionalFormatting>
  <conditionalFormatting sqref="E102:E107">
    <cfRule type="dataBar" priority="38">
      <dataBar>
        <cfvo type="min"/>
        <cfvo type="max"/>
        <color rgb="FF63C384"/>
      </dataBar>
      <extLst>
        <ext xmlns:x14="http://schemas.microsoft.com/office/spreadsheetml/2009/9/main" uri="{B025F937-C7B1-47D3-B67F-A62EFF666E3E}">
          <x14:id>{8AA30705-56EC-4804-A33D-BBC2279C10DE}</x14:id>
        </ext>
      </extLst>
    </cfRule>
  </conditionalFormatting>
  <conditionalFormatting sqref="E113:E118">
    <cfRule type="dataBar" priority="6">
      <dataBar>
        <cfvo type="min"/>
        <cfvo type="max"/>
        <color rgb="FF63C384"/>
      </dataBar>
      <extLst>
        <ext xmlns:x14="http://schemas.microsoft.com/office/spreadsheetml/2009/9/main" uri="{B025F937-C7B1-47D3-B67F-A62EFF666E3E}">
          <x14:id>{3E98B143-09D8-4B1F-9F73-A2122B3A54C8}</x14:id>
        </ext>
      </extLst>
    </cfRule>
  </conditionalFormatting>
  <conditionalFormatting sqref="F5:F12">
    <cfRule type="dataBar" priority="215">
      <dataBar>
        <cfvo type="min"/>
        <cfvo type="max"/>
        <color rgb="FF63C384"/>
      </dataBar>
      <extLst>
        <ext xmlns:x14="http://schemas.microsoft.com/office/spreadsheetml/2009/9/main" uri="{B025F937-C7B1-47D3-B67F-A62EFF666E3E}">
          <x14:id>{5EFE30C4-0901-404E-9108-731E3BE4821E}</x14:id>
        </ext>
      </extLst>
    </cfRule>
  </conditionalFormatting>
  <conditionalFormatting sqref="F18:F23">
    <cfRule type="dataBar" priority="173">
      <dataBar>
        <cfvo type="min"/>
        <cfvo type="max"/>
        <color rgb="FF63C384"/>
      </dataBar>
      <extLst>
        <ext xmlns:x14="http://schemas.microsoft.com/office/spreadsheetml/2009/9/main" uri="{B025F937-C7B1-47D3-B67F-A62EFF666E3E}">
          <x14:id>{5EE1521A-2483-44CA-9CCA-E5FC63E6246F}</x14:id>
        </ext>
      </extLst>
    </cfRule>
  </conditionalFormatting>
  <conditionalFormatting sqref="F29:F34">
    <cfRule type="dataBar" priority="68">
      <dataBar>
        <cfvo type="min"/>
        <cfvo type="max"/>
        <color rgb="FF63C384"/>
      </dataBar>
      <extLst>
        <ext xmlns:x14="http://schemas.microsoft.com/office/spreadsheetml/2009/9/main" uri="{B025F937-C7B1-47D3-B67F-A62EFF666E3E}">
          <x14:id>{E2F87644-1D51-4B68-A9E8-C13BF36E4EFB}</x14:id>
        </ext>
      </extLst>
    </cfRule>
  </conditionalFormatting>
  <conditionalFormatting sqref="F79:F84">
    <cfRule type="dataBar" priority="133">
      <dataBar>
        <cfvo type="min"/>
        <cfvo type="max"/>
        <color rgb="FF63C384"/>
      </dataBar>
      <extLst>
        <ext xmlns:x14="http://schemas.microsoft.com/office/spreadsheetml/2009/9/main" uri="{B025F937-C7B1-47D3-B67F-A62EFF666E3E}">
          <x14:id>{E64AD030-5412-4F31-BAD0-25844F2BFEA9}</x14:id>
        </ext>
      </extLst>
    </cfRule>
  </conditionalFormatting>
  <conditionalFormatting sqref="F91:F96">
    <cfRule type="dataBar" priority="101">
      <dataBar>
        <cfvo type="min"/>
        <cfvo type="max"/>
        <color rgb="FF63C384"/>
      </dataBar>
      <extLst>
        <ext xmlns:x14="http://schemas.microsoft.com/office/spreadsheetml/2009/9/main" uri="{B025F937-C7B1-47D3-B67F-A62EFF666E3E}">
          <x14:id>{BE16BF9F-859A-44BD-910F-389E136D4B33}</x14:id>
        </ext>
      </extLst>
    </cfRule>
  </conditionalFormatting>
  <conditionalFormatting sqref="F102:F107">
    <cfRule type="dataBar" priority="37">
      <dataBar>
        <cfvo type="min"/>
        <cfvo type="max"/>
        <color rgb="FF63C384"/>
      </dataBar>
      <extLst>
        <ext xmlns:x14="http://schemas.microsoft.com/office/spreadsheetml/2009/9/main" uri="{B025F937-C7B1-47D3-B67F-A62EFF666E3E}">
          <x14:id>{D606644D-EFD4-4AC5-A6B3-B53C9AE9A2CA}</x14:id>
        </ext>
      </extLst>
    </cfRule>
  </conditionalFormatting>
  <conditionalFormatting sqref="F113:F118">
    <cfRule type="dataBar" priority="5">
      <dataBar>
        <cfvo type="min"/>
        <cfvo type="max"/>
        <color rgb="FF63C384"/>
      </dataBar>
      <extLst>
        <ext xmlns:x14="http://schemas.microsoft.com/office/spreadsheetml/2009/9/main" uri="{B025F937-C7B1-47D3-B67F-A62EFF666E3E}">
          <x14:id>{D1BD1AD6-CC05-45F0-903B-0D080D79FD49}</x14:id>
        </ext>
      </extLst>
    </cfRule>
  </conditionalFormatting>
  <conditionalFormatting sqref="G5:G12">
    <cfRule type="dataBar" priority="214">
      <dataBar>
        <cfvo type="min"/>
        <cfvo type="max"/>
        <color rgb="FF63C384"/>
      </dataBar>
      <extLst>
        <ext xmlns:x14="http://schemas.microsoft.com/office/spreadsheetml/2009/9/main" uri="{B025F937-C7B1-47D3-B67F-A62EFF666E3E}">
          <x14:id>{A1F44ECC-EF2B-4606-87E9-B7F443AC18BF}</x14:id>
        </ext>
      </extLst>
    </cfRule>
  </conditionalFormatting>
  <conditionalFormatting sqref="G18:G23">
    <cfRule type="dataBar" priority="172">
      <dataBar>
        <cfvo type="min"/>
        <cfvo type="max"/>
        <color rgb="FF63C384"/>
      </dataBar>
      <extLst>
        <ext xmlns:x14="http://schemas.microsoft.com/office/spreadsheetml/2009/9/main" uri="{B025F937-C7B1-47D3-B67F-A62EFF666E3E}">
          <x14:id>{00DC50B7-1706-4DFB-A90F-9F95CB19CA6D}</x14:id>
        </ext>
      </extLst>
    </cfRule>
  </conditionalFormatting>
  <conditionalFormatting sqref="G29:G34">
    <cfRule type="dataBar" priority="67">
      <dataBar>
        <cfvo type="min"/>
        <cfvo type="max"/>
        <color rgb="FF63C384"/>
      </dataBar>
      <extLst>
        <ext xmlns:x14="http://schemas.microsoft.com/office/spreadsheetml/2009/9/main" uri="{B025F937-C7B1-47D3-B67F-A62EFF666E3E}">
          <x14:id>{D3C8EFDB-8EC0-46D8-B02F-659EFEA615AD}</x14:id>
        </ext>
      </extLst>
    </cfRule>
  </conditionalFormatting>
  <conditionalFormatting sqref="G79:G84">
    <cfRule type="dataBar" priority="132">
      <dataBar>
        <cfvo type="min"/>
        <cfvo type="max"/>
        <color rgb="FF63C384"/>
      </dataBar>
      <extLst>
        <ext xmlns:x14="http://schemas.microsoft.com/office/spreadsheetml/2009/9/main" uri="{B025F937-C7B1-47D3-B67F-A62EFF666E3E}">
          <x14:id>{0C8253CE-EFF5-4F19-B465-AA66B2C378D7}</x14:id>
        </ext>
      </extLst>
    </cfRule>
  </conditionalFormatting>
  <conditionalFormatting sqref="G91:G96">
    <cfRule type="dataBar" priority="100">
      <dataBar>
        <cfvo type="min"/>
        <cfvo type="max"/>
        <color rgb="FF63C384"/>
      </dataBar>
      <extLst>
        <ext xmlns:x14="http://schemas.microsoft.com/office/spreadsheetml/2009/9/main" uri="{B025F937-C7B1-47D3-B67F-A62EFF666E3E}">
          <x14:id>{5C39DC32-35E6-40B9-A1BE-41478653B78A}</x14:id>
        </ext>
      </extLst>
    </cfRule>
  </conditionalFormatting>
  <conditionalFormatting sqref="G102:G107">
    <cfRule type="dataBar" priority="36">
      <dataBar>
        <cfvo type="min"/>
        <cfvo type="max"/>
        <color rgb="FF63C384"/>
      </dataBar>
      <extLst>
        <ext xmlns:x14="http://schemas.microsoft.com/office/spreadsheetml/2009/9/main" uri="{B025F937-C7B1-47D3-B67F-A62EFF666E3E}">
          <x14:id>{3097F730-684C-4042-931C-CD67457AFCE4}</x14:id>
        </ext>
      </extLst>
    </cfRule>
  </conditionalFormatting>
  <conditionalFormatting sqref="G113:G118">
    <cfRule type="dataBar" priority="4">
      <dataBar>
        <cfvo type="min"/>
        <cfvo type="max"/>
        <color rgb="FF63C384"/>
      </dataBar>
      <extLst>
        <ext xmlns:x14="http://schemas.microsoft.com/office/spreadsheetml/2009/9/main" uri="{B025F937-C7B1-47D3-B67F-A62EFF666E3E}">
          <x14:id>{BB2DFBE2-3548-41F3-87B2-C7D11E1904DB}</x14:id>
        </ext>
      </extLst>
    </cfRule>
  </conditionalFormatting>
  <conditionalFormatting sqref="H5:H12">
    <cfRule type="dataBar" priority="213">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8:H23">
    <cfRule type="dataBar" priority="171">
      <dataBar>
        <cfvo type="min"/>
        <cfvo type="max"/>
        <color rgb="FF63C384"/>
      </dataBar>
      <extLst>
        <ext xmlns:x14="http://schemas.microsoft.com/office/spreadsheetml/2009/9/main" uri="{B025F937-C7B1-47D3-B67F-A62EFF666E3E}">
          <x14:id>{EED505F4-1AE5-4E85-A25F-1DAC1EADC97D}</x14:id>
        </ext>
      </extLst>
    </cfRule>
  </conditionalFormatting>
  <conditionalFormatting sqref="H29:H34">
    <cfRule type="dataBar" priority="66">
      <dataBar>
        <cfvo type="min"/>
        <cfvo type="max"/>
        <color rgb="FF63C384"/>
      </dataBar>
      <extLst>
        <ext xmlns:x14="http://schemas.microsoft.com/office/spreadsheetml/2009/9/main" uri="{B025F937-C7B1-47D3-B67F-A62EFF666E3E}">
          <x14:id>{450F46C1-2D84-4867-A8F8-B3A6787E6999}</x14:id>
        </ext>
      </extLst>
    </cfRule>
  </conditionalFormatting>
  <conditionalFormatting sqref="H79:H84">
    <cfRule type="dataBar" priority="131">
      <dataBar>
        <cfvo type="min"/>
        <cfvo type="max"/>
        <color rgb="FF63C384"/>
      </dataBar>
      <extLst>
        <ext xmlns:x14="http://schemas.microsoft.com/office/spreadsheetml/2009/9/main" uri="{B025F937-C7B1-47D3-B67F-A62EFF666E3E}">
          <x14:id>{B38339B2-31A7-4D02-AE41-291DB57FACA7}</x14:id>
        </ext>
      </extLst>
    </cfRule>
  </conditionalFormatting>
  <conditionalFormatting sqref="H91:H96">
    <cfRule type="dataBar" priority="99">
      <dataBar>
        <cfvo type="min"/>
        <cfvo type="max"/>
        <color rgb="FF63C384"/>
      </dataBar>
      <extLst>
        <ext xmlns:x14="http://schemas.microsoft.com/office/spreadsheetml/2009/9/main" uri="{B025F937-C7B1-47D3-B67F-A62EFF666E3E}">
          <x14:id>{734BD356-8A91-4794-87B5-5AC53299C4BB}</x14:id>
        </ext>
      </extLst>
    </cfRule>
  </conditionalFormatting>
  <conditionalFormatting sqref="H102:H107">
    <cfRule type="dataBar" priority="35">
      <dataBar>
        <cfvo type="min"/>
        <cfvo type="max"/>
        <color rgb="FF63C384"/>
      </dataBar>
      <extLst>
        <ext xmlns:x14="http://schemas.microsoft.com/office/spreadsheetml/2009/9/main" uri="{B025F937-C7B1-47D3-B67F-A62EFF666E3E}">
          <x14:id>{52FDAAA8-FF29-4698-9F47-28ED4E09BEA3}</x14:id>
        </ext>
      </extLst>
    </cfRule>
  </conditionalFormatting>
  <conditionalFormatting sqref="H113:H118">
    <cfRule type="dataBar" priority="3">
      <dataBar>
        <cfvo type="min"/>
        <cfvo type="max"/>
        <color rgb="FF63C384"/>
      </dataBar>
      <extLst>
        <ext xmlns:x14="http://schemas.microsoft.com/office/spreadsheetml/2009/9/main" uri="{B025F937-C7B1-47D3-B67F-A62EFF666E3E}">
          <x14:id>{2EA76FAB-5197-453A-B88F-8F09B8368E43}</x14:id>
        </ext>
      </extLst>
    </cfRule>
  </conditionalFormatting>
  <conditionalFormatting sqref="I5:I12">
    <cfRule type="dataBar" priority="212">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8:I23">
    <cfRule type="dataBar" priority="170">
      <dataBar>
        <cfvo type="min"/>
        <cfvo type="max"/>
        <color rgb="FF63C384"/>
      </dataBar>
      <extLst>
        <ext xmlns:x14="http://schemas.microsoft.com/office/spreadsheetml/2009/9/main" uri="{B025F937-C7B1-47D3-B67F-A62EFF666E3E}">
          <x14:id>{A192D211-7CF8-4DE2-A7D7-7E84CEAE76AC}</x14:id>
        </ext>
      </extLst>
    </cfRule>
  </conditionalFormatting>
  <conditionalFormatting sqref="I79:I84">
    <cfRule type="dataBar" priority="130">
      <dataBar>
        <cfvo type="min"/>
        <cfvo type="max"/>
        <color rgb="FF63C384"/>
      </dataBar>
      <extLst>
        <ext xmlns:x14="http://schemas.microsoft.com/office/spreadsheetml/2009/9/main" uri="{B025F937-C7B1-47D3-B67F-A62EFF666E3E}">
          <x14:id>{F894FDA8-F071-4F19-9B0C-DA34A43CACE2}</x14:id>
        </ext>
      </extLst>
    </cfRule>
  </conditionalFormatting>
  <conditionalFormatting sqref="I91:I96">
    <cfRule type="dataBar" priority="98">
      <dataBar>
        <cfvo type="min"/>
        <cfvo type="max"/>
        <color rgb="FF63C384"/>
      </dataBar>
      <extLst>
        <ext xmlns:x14="http://schemas.microsoft.com/office/spreadsheetml/2009/9/main" uri="{B025F937-C7B1-47D3-B67F-A62EFF666E3E}">
          <x14:id>{EBEC2EAB-AE3C-444F-8AAD-FE56AB2F7F90}</x14:id>
        </ext>
      </extLst>
    </cfRule>
  </conditionalFormatting>
  <conditionalFormatting sqref="I102:I107">
    <cfRule type="dataBar" priority="34">
      <dataBar>
        <cfvo type="min"/>
        <cfvo type="max"/>
        <color rgb="FF63C384"/>
      </dataBar>
      <extLst>
        <ext xmlns:x14="http://schemas.microsoft.com/office/spreadsheetml/2009/9/main" uri="{B025F937-C7B1-47D3-B67F-A62EFF666E3E}">
          <x14:id>{ADCA2AC8-7D95-4E86-957C-461CAADED9E5}</x14:id>
        </ext>
      </extLst>
    </cfRule>
  </conditionalFormatting>
  <conditionalFormatting sqref="I113:I118">
    <cfRule type="dataBar" priority="2">
      <dataBar>
        <cfvo type="min"/>
        <cfvo type="max"/>
        <color rgb="FF63C384"/>
      </dataBar>
      <extLst>
        <ext xmlns:x14="http://schemas.microsoft.com/office/spreadsheetml/2009/9/main" uri="{B025F937-C7B1-47D3-B67F-A62EFF666E3E}">
          <x14:id>{2DD61234-96C5-4820-9AA0-EC3EB2C8E431}</x14:id>
        </ext>
      </extLst>
    </cfRule>
  </conditionalFormatting>
  <conditionalFormatting sqref="K5:K12">
    <cfRule type="dataBar" priority="224">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8:K22">
    <cfRule type="dataBar" priority="182">
      <dataBar>
        <cfvo type="min"/>
        <cfvo type="max"/>
        <color rgb="FF63C384"/>
      </dataBar>
      <extLst>
        <ext xmlns:x14="http://schemas.microsoft.com/office/spreadsheetml/2009/9/main" uri="{B025F937-C7B1-47D3-B67F-A62EFF666E3E}">
          <x14:id>{60785AC6-7D44-400D-A2D8-9BBBDC5C548B}</x14:id>
        </ext>
      </extLst>
    </cfRule>
  </conditionalFormatting>
  <conditionalFormatting sqref="K79:K83">
    <cfRule type="dataBar" priority="142">
      <dataBar>
        <cfvo type="min"/>
        <cfvo type="max"/>
        <color rgb="FF63C384"/>
      </dataBar>
      <extLst>
        <ext xmlns:x14="http://schemas.microsoft.com/office/spreadsheetml/2009/9/main" uri="{B025F937-C7B1-47D3-B67F-A62EFF666E3E}">
          <x14:id>{E357481B-D725-4D92-A918-377F664FDAF4}</x14:id>
        </ext>
      </extLst>
    </cfRule>
  </conditionalFormatting>
  <conditionalFormatting sqref="K91:K95">
    <cfRule type="dataBar" priority="110">
      <dataBar>
        <cfvo type="min"/>
        <cfvo type="max"/>
        <color rgb="FF63C384"/>
      </dataBar>
      <extLst>
        <ext xmlns:x14="http://schemas.microsoft.com/office/spreadsheetml/2009/9/main" uri="{B025F937-C7B1-47D3-B67F-A62EFF666E3E}">
          <x14:id>{AB909660-BDA2-4086-8DC2-65CBA8C434EB}</x14:id>
        </ext>
      </extLst>
    </cfRule>
  </conditionalFormatting>
  <conditionalFormatting sqref="K102:K106">
    <cfRule type="dataBar" priority="46">
      <dataBar>
        <cfvo type="min"/>
        <cfvo type="max"/>
        <color rgb="FF63C384"/>
      </dataBar>
      <extLst>
        <ext xmlns:x14="http://schemas.microsoft.com/office/spreadsheetml/2009/9/main" uri="{B025F937-C7B1-47D3-B67F-A62EFF666E3E}">
          <x14:id>{70ADBFC5-ECD6-41C6-9587-2B7FD7D64C54}</x14:id>
        </ext>
      </extLst>
    </cfRule>
  </conditionalFormatting>
  <conditionalFormatting sqref="K113:K117">
    <cfRule type="dataBar" priority="14">
      <dataBar>
        <cfvo type="min"/>
        <cfvo type="max"/>
        <color rgb="FF63C384"/>
      </dataBar>
      <extLst>
        <ext xmlns:x14="http://schemas.microsoft.com/office/spreadsheetml/2009/9/main" uri="{B025F937-C7B1-47D3-B67F-A62EFF666E3E}">
          <x14:id>{675588D1-B280-47CD-A377-B91C6D669F2B}</x14:id>
        </ext>
      </extLst>
    </cfRule>
  </conditionalFormatting>
  <conditionalFormatting sqref="K18:O22">
    <cfRule type="dataBar" priority="202">
      <dataBar>
        <cfvo type="min"/>
        <cfvo type="max"/>
        <color rgb="FF63C384"/>
      </dataBar>
      <extLst>
        <ext xmlns:x14="http://schemas.microsoft.com/office/spreadsheetml/2009/9/main" uri="{B025F937-C7B1-47D3-B67F-A62EFF666E3E}">
          <x14:id>{BE9D279A-ADD8-46F4-B26E-577DEFFA037B}</x14:id>
        </ext>
      </extLst>
    </cfRule>
  </conditionalFormatting>
  <conditionalFormatting sqref="K18:O23">
    <cfRule type="dataBar" priority="194">
      <dataBar>
        <cfvo type="min"/>
        <cfvo type="max"/>
        <color rgb="FF63C384"/>
      </dataBar>
      <extLst>
        <ext xmlns:x14="http://schemas.microsoft.com/office/spreadsheetml/2009/9/main" uri="{B025F937-C7B1-47D3-B67F-A62EFF666E3E}">
          <x14:id>{CBC457F7-3DB8-46A0-988B-11CCF8FF31E5}</x14:id>
        </ext>
      </extLst>
    </cfRule>
    <cfRule type="dataBar" priority="230">
      <dataBar>
        <cfvo type="min"/>
        <cfvo type="max"/>
        <color rgb="FF63C384"/>
      </dataBar>
      <extLst>
        <ext xmlns:x14="http://schemas.microsoft.com/office/spreadsheetml/2009/9/main" uri="{B025F937-C7B1-47D3-B67F-A62EFF666E3E}">
          <x14:id>{589E11FE-E342-4D21-9EB3-CB0F15AE87A6}</x14:id>
        </ext>
      </extLst>
    </cfRule>
  </conditionalFormatting>
  <conditionalFormatting sqref="K79:O83">
    <cfRule type="dataBar" priority="157">
      <dataBar>
        <cfvo type="min"/>
        <cfvo type="max"/>
        <color rgb="FF63C384"/>
      </dataBar>
      <extLst>
        <ext xmlns:x14="http://schemas.microsoft.com/office/spreadsheetml/2009/9/main" uri="{B025F937-C7B1-47D3-B67F-A62EFF666E3E}">
          <x14:id>{DBE3F2EF-D33B-422A-BA0C-C46A7B07E5BB}</x14:id>
        </ext>
      </extLst>
    </cfRule>
  </conditionalFormatting>
  <conditionalFormatting sqref="K79:O84">
    <cfRule type="dataBar" priority="151">
      <dataBar>
        <cfvo type="min"/>
        <cfvo type="max"/>
        <color rgb="FF63C384"/>
      </dataBar>
      <extLst>
        <ext xmlns:x14="http://schemas.microsoft.com/office/spreadsheetml/2009/9/main" uri="{B025F937-C7B1-47D3-B67F-A62EFF666E3E}">
          <x14:id>{A4D3FE26-9BD2-4725-8DAF-5CD77C54AE52}</x14:id>
        </ext>
      </extLst>
    </cfRule>
    <cfRule type="dataBar" priority="160">
      <dataBar>
        <cfvo type="min"/>
        <cfvo type="max"/>
        <color rgb="FF63C384"/>
      </dataBar>
      <extLst>
        <ext xmlns:x14="http://schemas.microsoft.com/office/spreadsheetml/2009/9/main" uri="{B025F937-C7B1-47D3-B67F-A62EFF666E3E}">
          <x14:id>{7BA86BD7-3C4F-4236-B385-BED3307B7EEB}</x14:id>
        </ext>
      </extLst>
    </cfRule>
  </conditionalFormatting>
  <conditionalFormatting sqref="K91:O95">
    <cfRule type="dataBar" priority="125">
      <dataBar>
        <cfvo type="min"/>
        <cfvo type="max"/>
        <color rgb="FF63C384"/>
      </dataBar>
      <extLst>
        <ext xmlns:x14="http://schemas.microsoft.com/office/spreadsheetml/2009/9/main" uri="{B025F937-C7B1-47D3-B67F-A62EFF666E3E}">
          <x14:id>{63019673-A4DB-4043-954D-B447043A54B3}</x14:id>
        </ext>
      </extLst>
    </cfRule>
  </conditionalFormatting>
  <conditionalFormatting sqref="K91:O96">
    <cfRule type="dataBar" priority="119">
      <dataBar>
        <cfvo type="min"/>
        <cfvo type="max"/>
        <color rgb="FF63C384"/>
      </dataBar>
      <extLst>
        <ext xmlns:x14="http://schemas.microsoft.com/office/spreadsheetml/2009/9/main" uri="{B025F937-C7B1-47D3-B67F-A62EFF666E3E}">
          <x14:id>{5C4B9244-5DD6-47AE-B632-E68E38CCBBB3}</x14:id>
        </ext>
      </extLst>
    </cfRule>
    <cfRule type="dataBar" priority="128">
      <dataBar>
        <cfvo type="min"/>
        <cfvo type="max"/>
        <color rgb="FF63C384"/>
      </dataBar>
      <extLst>
        <ext xmlns:x14="http://schemas.microsoft.com/office/spreadsheetml/2009/9/main" uri="{B025F937-C7B1-47D3-B67F-A62EFF666E3E}">
          <x14:id>{04A1F9C2-BC89-4BE0-A546-02454B855AF8}</x14:id>
        </ext>
      </extLst>
    </cfRule>
  </conditionalFormatting>
  <conditionalFormatting sqref="K102:O106">
    <cfRule type="dataBar" priority="61">
      <dataBar>
        <cfvo type="min"/>
        <cfvo type="max"/>
        <color rgb="FF63C384"/>
      </dataBar>
      <extLst>
        <ext xmlns:x14="http://schemas.microsoft.com/office/spreadsheetml/2009/9/main" uri="{B025F937-C7B1-47D3-B67F-A62EFF666E3E}">
          <x14:id>{84EFE161-5925-415F-82CC-DF85ACA15E1A}</x14:id>
        </ext>
      </extLst>
    </cfRule>
  </conditionalFormatting>
  <conditionalFormatting sqref="K102:O107">
    <cfRule type="dataBar" priority="64">
      <dataBar>
        <cfvo type="min"/>
        <cfvo type="max"/>
        <color rgb="FF63C384"/>
      </dataBar>
      <extLst>
        <ext xmlns:x14="http://schemas.microsoft.com/office/spreadsheetml/2009/9/main" uri="{B025F937-C7B1-47D3-B67F-A62EFF666E3E}">
          <x14:id>{28A81759-83AA-4175-9740-935049D50F21}</x14:id>
        </ext>
      </extLst>
    </cfRule>
    <cfRule type="dataBar" priority="55">
      <dataBar>
        <cfvo type="min"/>
        <cfvo type="max"/>
        <color rgb="FF63C384"/>
      </dataBar>
      <extLst>
        <ext xmlns:x14="http://schemas.microsoft.com/office/spreadsheetml/2009/9/main" uri="{B025F937-C7B1-47D3-B67F-A62EFF666E3E}">
          <x14:id>{41020664-FB00-4938-8BFE-E3E2A4F67417}</x14:id>
        </ext>
      </extLst>
    </cfRule>
  </conditionalFormatting>
  <conditionalFormatting sqref="K113:O117">
    <cfRule type="dataBar" priority="29">
      <dataBar>
        <cfvo type="min"/>
        <cfvo type="max"/>
        <color rgb="FF63C384"/>
      </dataBar>
      <extLst>
        <ext xmlns:x14="http://schemas.microsoft.com/office/spreadsheetml/2009/9/main" uri="{B025F937-C7B1-47D3-B67F-A62EFF666E3E}">
          <x14:id>{E6C2D380-96B0-4468-B187-2A5B0EDAE044}</x14:id>
        </ext>
      </extLst>
    </cfRule>
  </conditionalFormatting>
  <conditionalFormatting sqref="K113:O118">
    <cfRule type="dataBar" priority="32">
      <dataBar>
        <cfvo type="min"/>
        <cfvo type="max"/>
        <color rgb="FF63C384"/>
      </dataBar>
      <extLst>
        <ext xmlns:x14="http://schemas.microsoft.com/office/spreadsheetml/2009/9/main" uri="{B025F937-C7B1-47D3-B67F-A62EFF666E3E}">
          <x14:id>{466A4B63-6C12-4734-B282-83FA289F9A70}</x14:id>
        </ext>
      </extLst>
    </cfRule>
    <cfRule type="dataBar" priority="23">
      <dataBar>
        <cfvo type="min"/>
        <cfvo type="max"/>
        <color rgb="FF63C384"/>
      </dataBar>
      <extLst>
        <ext xmlns:x14="http://schemas.microsoft.com/office/spreadsheetml/2009/9/main" uri="{B025F937-C7B1-47D3-B67F-A62EFF666E3E}">
          <x14:id>{7360FC64-49D7-4EF5-9D16-1291E39CF3AD}</x14:id>
        </ext>
      </extLst>
    </cfRule>
  </conditionalFormatting>
  <conditionalFormatting sqref="K5:P10">
    <cfRule type="dataBar" priority="198">
      <dataBar>
        <cfvo type="min"/>
        <cfvo type="max"/>
        <color rgb="FF63C384"/>
      </dataBar>
      <extLst>
        <ext xmlns:x14="http://schemas.microsoft.com/office/spreadsheetml/2009/9/main" uri="{B025F937-C7B1-47D3-B67F-A62EFF666E3E}">
          <x14:id>{5832A442-CC22-41FC-AD17-86122538435B}</x14:id>
        </ext>
      </extLst>
    </cfRule>
    <cfRule type="dataBar" priority="197">
      <dataBar>
        <cfvo type="min"/>
        <cfvo type="max"/>
        <color rgb="FF63C384"/>
      </dataBar>
      <extLst>
        <ext xmlns:x14="http://schemas.microsoft.com/office/spreadsheetml/2009/9/main" uri="{B025F937-C7B1-47D3-B67F-A62EFF666E3E}">
          <x14:id>{1642E512-5328-4DB9-81F4-5A67EFFA2D7A}</x14:id>
        </ext>
      </extLst>
    </cfRule>
  </conditionalFormatting>
  <conditionalFormatting sqref="K18:P22">
    <cfRule type="dataBar" priority="176">
      <dataBar>
        <cfvo type="min"/>
        <cfvo type="max"/>
        <color rgb="FF63C384"/>
      </dataBar>
      <extLst>
        <ext xmlns:x14="http://schemas.microsoft.com/office/spreadsheetml/2009/9/main" uri="{B025F937-C7B1-47D3-B67F-A62EFF666E3E}">
          <x14:id>{A85696C3-3FD4-4347-BBC8-6CEF041D9BC2}</x14:id>
        </ext>
      </extLst>
    </cfRule>
    <cfRule type="dataBar" priority="193">
      <dataBar>
        <cfvo type="min"/>
        <cfvo type="max"/>
        <color rgb="FF63C384"/>
      </dataBar>
      <extLst>
        <ext xmlns:x14="http://schemas.microsoft.com/office/spreadsheetml/2009/9/main" uri="{B025F937-C7B1-47D3-B67F-A62EFF666E3E}">
          <x14:id>{4CBCF4A4-EFBB-41F0-984E-0C4EF2D8C81C}</x14:id>
        </ext>
      </extLst>
    </cfRule>
    <cfRule type="dataBar" priority="200">
      <dataBar>
        <cfvo type="min"/>
        <cfvo type="max"/>
        <color rgb="FF63C384"/>
      </dataBar>
      <extLst>
        <ext xmlns:x14="http://schemas.microsoft.com/office/spreadsheetml/2009/9/main" uri="{B025F937-C7B1-47D3-B67F-A62EFF666E3E}">
          <x14:id>{00030478-9DDE-4C48-B970-8BFEEA7887D7}</x14:id>
        </ext>
      </extLst>
    </cfRule>
    <cfRule type="dataBar" priority="195">
      <dataBar>
        <cfvo type="min"/>
        <cfvo type="max"/>
        <color rgb="FF63C384"/>
      </dataBar>
      <extLst>
        <ext xmlns:x14="http://schemas.microsoft.com/office/spreadsheetml/2009/9/main" uri="{B025F937-C7B1-47D3-B67F-A62EFF666E3E}">
          <x14:id>{9095667E-69EE-4811-BEDE-AFA010708C3B}</x14:id>
        </ext>
      </extLst>
    </cfRule>
  </conditionalFormatting>
  <conditionalFormatting sqref="K18:P23">
    <cfRule type="dataBar" priority="196">
      <dataBar>
        <cfvo type="min"/>
        <cfvo type="max"/>
        <color rgb="FF63C384"/>
      </dataBar>
      <extLst>
        <ext xmlns:x14="http://schemas.microsoft.com/office/spreadsheetml/2009/9/main" uri="{B025F937-C7B1-47D3-B67F-A62EFF666E3E}">
          <x14:id>{EC7F1560-4E75-4756-AE37-09B82982D1AB}</x14:id>
        </ext>
      </extLst>
    </cfRule>
  </conditionalFormatting>
  <conditionalFormatting sqref="K23:P23">
    <cfRule type="dataBar" priority="183">
      <dataBar>
        <cfvo type="min"/>
        <cfvo type="max"/>
        <color rgb="FF63C384"/>
      </dataBar>
      <extLst>
        <ext xmlns:x14="http://schemas.microsoft.com/office/spreadsheetml/2009/9/main" uri="{B025F937-C7B1-47D3-B67F-A62EFF666E3E}">
          <x14:id>{624EF9E9-FC69-4C57-8B92-4F6320D43BF6}</x14:id>
        </ext>
      </extLst>
    </cfRule>
    <cfRule type="dataBar" priority="192">
      <dataBar>
        <cfvo type="min"/>
        <cfvo type="max"/>
        <color rgb="FF63C384"/>
      </dataBar>
      <extLst>
        <ext xmlns:x14="http://schemas.microsoft.com/office/spreadsheetml/2009/9/main" uri="{B025F937-C7B1-47D3-B67F-A62EFF666E3E}">
          <x14:id>{1C8C07B2-BD7C-4727-B188-3301C366D456}</x14:id>
        </ext>
      </extLst>
    </cfRule>
    <cfRule type="dataBar" priority="199">
      <dataBar>
        <cfvo type="min"/>
        <cfvo type="max"/>
        <color rgb="FF63C384"/>
      </dataBar>
      <extLst>
        <ext xmlns:x14="http://schemas.microsoft.com/office/spreadsheetml/2009/9/main" uri="{B025F937-C7B1-47D3-B67F-A62EFF666E3E}">
          <x14:id>{904D660B-3592-4479-B026-ACD9350A3616}</x14:id>
        </ext>
      </extLst>
    </cfRule>
    <cfRule type="dataBar" priority="201">
      <dataBar>
        <cfvo type="min"/>
        <cfvo type="max"/>
        <color rgb="FF63C384"/>
      </dataBar>
      <extLst>
        <ext xmlns:x14="http://schemas.microsoft.com/office/spreadsheetml/2009/9/main" uri="{B025F937-C7B1-47D3-B67F-A62EFF666E3E}">
          <x14:id>{FE2287FA-B40E-40F5-8AA8-262EA0BD4636}</x14:id>
        </ext>
      </extLst>
    </cfRule>
  </conditionalFormatting>
  <conditionalFormatting sqref="K79:P83">
    <cfRule type="dataBar" priority="150">
      <dataBar>
        <cfvo type="min"/>
        <cfvo type="max"/>
        <color rgb="FF63C384"/>
      </dataBar>
      <extLst>
        <ext xmlns:x14="http://schemas.microsoft.com/office/spreadsheetml/2009/9/main" uri="{B025F937-C7B1-47D3-B67F-A62EFF666E3E}">
          <x14:id>{7FDCF959-9DF8-43C6-A31A-4B49C6AD0523}</x14:id>
        </ext>
      </extLst>
    </cfRule>
    <cfRule type="dataBar" priority="152">
      <dataBar>
        <cfvo type="min"/>
        <cfvo type="max"/>
        <color rgb="FF63C384"/>
      </dataBar>
      <extLst>
        <ext xmlns:x14="http://schemas.microsoft.com/office/spreadsheetml/2009/9/main" uri="{B025F937-C7B1-47D3-B67F-A62EFF666E3E}">
          <x14:id>{30AB8BB7-6795-467F-8212-C7BDF0BAC681}</x14:id>
        </ext>
      </extLst>
    </cfRule>
    <cfRule type="dataBar" priority="136">
      <dataBar>
        <cfvo type="min"/>
        <cfvo type="max"/>
        <color rgb="FF63C384"/>
      </dataBar>
      <extLst>
        <ext xmlns:x14="http://schemas.microsoft.com/office/spreadsheetml/2009/9/main" uri="{B025F937-C7B1-47D3-B67F-A62EFF666E3E}">
          <x14:id>{401DF1B1-B7DD-4F1C-8DC0-1734B4233B5E}</x14:id>
        </ext>
      </extLst>
    </cfRule>
    <cfRule type="dataBar" priority="155">
      <dataBar>
        <cfvo type="min"/>
        <cfvo type="max"/>
        <color rgb="FF63C384"/>
      </dataBar>
      <extLst>
        <ext xmlns:x14="http://schemas.microsoft.com/office/spreadsheetml/2009/9/main" uri="{B025F937-C7B1-47D3-B67F-A62EFF666E3E}">
          <x14:id>{E8CE5637-C4E8-4D84-91FE-81DF6E82C62B}</x14:id>
        </ext>
      </extLst>
    </cfRule>
  </conditionalFormatting>
  <conditionalFormatting sqref="K79:P84">
    <cfRule type="dataBar" priority="153">
      <dataBar>
        <cfvo type="min"/>
        <cfvo type="max"/>
        <color rgb="FF63C384"/>
      </dataBar>
      <extLst>
        <ext xmlns:x14="http://schemas.microsoft.com/office/spreadsheetml/2009/9/main" uri="{B025F937-C7B1-47D3-B67F-A62EFF666E3E}">
          <x14:id>{14487A9E-0908-4110-A96A-56E2FAF0A3A9}</x14:id>
        </ext>
      </extLst>
    </cfRule>
  </conditionalFormatting>
  <conditionalFormatting sqref="K84:P84">
    <cfRule type="dataBar" priority="149">
      <dataBar>
        <cfvo type="min"/>
        <cfvo type="max"/>
        <color rgb="FF63C384"/>
      </dataBar>
      <extLst>
        <ext xmlns:x14="http://schemas.microsoft.com/office/spreadsheetml/2009/9/main" uri="{B025F937-C7B1-47D3-B67F-A62EFF666E3E}">
          <x14:id>{A583670C-0C18-41EF-954D-5B9CBDBACEAD}</x14:id>
        </ext>
      </extLst>
    </cfRule>
    <cfRule type="dataBar" priority="154">
      <dataBar>
        <cfvo type="min"/>
        <cfvo type="max"/>
        <color rgb="FF63C384"/>
      </dataBar>
      <extLst>
        <ext xmlns:x14="http://schemas.microsoft.com/office/spreadsheetml/2009/9/main" uri="{B025F937-C7B1-47D3-B67F-A62EFF666E3E}">
          <x14:id>{ABD13CC5-270F-4F1A-8F12-B8D1D3488C62}</x14:id>
        </ext>
      </extLst>
    </cfRule>
    <cfRule type="dataBar" priority="156">
      <dataBar>
        <cfvo type="min"/>
        <cfvo type="max"/>
        <color rgb="FF63C384"/>
      </dataBar>
      <extLst>
        <ext xmlns:x14="http://schemas.microsoft.com/office/spreadsheetml/2009/9/main" uri="{B025F937-C7B1-47D3-B67F-A62EFF666E3E}">
          <x14:id>{D90382B8-9411-4C2F-BA17-423FD7587BC9}</x14:id>
        </ext>
      </extLst>
    </cfRule>
    <cfRule type="dataBar" priority="143">
      <dataBar>
        <cfvo type="min"/>
        <cfvo type="max"/>
        <color rgb="FF63C384"/>
      </dataBar>
      <extLst>
        <ext xmlns:x14="http://schemas.microsoft.com/office/spreadsheetml/2009/9/main" uri="{B025F937-C7B1-47D3-B67F-A62EFF666E3E}">
          <x14:id>{BACF35A5-4935-4831-ACBD-EEFAC4F5CF9B}</x14:id>
        </ext>
      </extLst>
    </cfRule>
  </conditionalFormatting>
  <conditionalFormatting sqref="K91:P95">
    <cfRule type="dataBar" priority="118">
      <dataBar>
        <cfvo type="min"/>
        <cfvo type="max"/>
        <color rgb="FF63C384"/>
      </dataBar>
      <extLst>
        <ext xmlns:x14="http://schemas.microsoft.com/office/spreadsheetml/2009/9/main" uri="{B025F937-C7B1-47D3-B67F-A62EFF666E3E}">
          <x14:id>{7AF36075-C778-4859-A7F4-756473CFFD44}</x14:id>
        </ext>
      </extLst>
    </cfRule>
    <cfRule type="dataBar" priority="120">
      <dataBar>
        <cfvo type="min"/>
        <cfvo type="max"/>
        <color rgb="FF63C384"/>
      </dataBar>
      <extLst>
        <ext xmlns:x14="http://schemas.microsoft.com/office/spreadsheetml/2009/9/main" uri="{B025F937-C7B1-47D3-B67F-A62EFF666E3E}">
          <x14:id>{1363A0D3-99C2-472C-824E-2D1109BFFB96}</x14:id>
        </ext>
      </extLst>
    </cfRule>
    <cfRule type="dataBar" priority="123">
      <dataBar>
        <cfvo type="min"/>
        <cfvo type="max"/>
        <color rgb="FF63C384"/>
      </dataBar>
      <extLst>
        <ext xmlns:x14="http://schemas.microsoft.com/office/spreadsheetml/2009/9/main" uri="{B025F937-C7B1-47D3-B67F-A62EFF666E3E}">
          <x14:id>{7D9FBA88-781F-41D8-89FA-B64E211994A3}</x14:id>
        </ext>
      </extLst>
    </cfRule>
    <cfRule type="dataBar" priority="104">
      <dataBar>
        <cfvo type="min"/>
        <cfvo type="max"/>
        <color rgb="FF63C384"/>
      </dataBar>
      <extLst>
        <ext xmlns:x14="http://schemas.microsoft.com/office/spreadsheetml/2009/9/main" uri="{B025F937-C7B1-47D3-B67F-A62EFF666E3E}">
          <x14:id>{B77231D2-D994-4274-9DD8-2E59A8C2960B}</x14:id>
        </ext>
      </extLst>
    </cfRule>
  </conditionalFormatting>
  <conditionalFormatting sqref="K91:P96">
    <cfRule type="dataBar" priority="121">
      <dataBar>
        <cfvo type="min"/>
        <cfvo type="max"/>
        <color rgb="FF63C384"/>
      </dataBar>
      <extLst>
        <ext xmlns:x14="http://schemas.microsoft.com/office/spreadsheetml/2009/9/main" uri="{B025F937-C7B1-47D3-B67F-A62EFF666E3E}">
          <x14:id>{EA4A189E-E46C-499A-B8B9-6C3A8E70A77C}</x14:id>
        </ext>
      </extLst>
    </cfRule>
  </conditionalFormatting>
  <conditionalFormatting sqref="K96:P96">
    <cfRule type="dataBar" priority="124">
      <dataBar>
        <cfvo type="min"/>
        <cfvo type="max"/>
        <color rgb="FF63C384"/>
      </dataBar>
      <extLst>
        <ext xmlns:x14="http://schemas.microsoft.com/office/spreadsheetml/2009/9/main" uri="{B025F937-C7B1-47D3-B67F-A62EFF666E3E}">
          <x14:id>{E8D170A6-E021-4723-B916-7860496207A5}</x14:id>
        </ext>
      </extLst>
    </cfRule>
    <cfRule type="dataBar" priority="111">
      <dataBar>
        <cfvo type="min"/>
        <cfvo type="max"/>
        <color rgb="FF63C384"/>
      </dataBar>
      <extLst>
        <ext xmlns:x14="http://schemas.microsoft.com/office/spreadsheetml/2009/9/main" uri="{B025F937-C7B1-47D3-B67F-A62EFF666E3E}">
          <x14:id>{1F9EEB60-D754-4792-99BD-7E99B0629317}</x14:id>
        </ext>
      </extLst>
    </cfRule>
    <cfRule type="dataBar" priority="122">
      <dataBar>
        <cfvo type="min"/>
        <cfvo type="max"/>
        <color rgb="FF63C384"/>
      </dataBar>
      <extLst>
        <ext xmlns:x14="http://schemas.microsoft.com/office/spreadsheetml/2009/9/main" uri="{B025F937-C7B1-47D3-B67F-A62EFF666E3E}">
          <x14:id>{E5AF13D9-EEF8-4C4D-A643-79F926AB291D}</x14:id>
        </ext>
      </extLst>
    </cfRule>
    <cfRule type="dataBar" priority="117">
      <dataBar>
        <cfvo type="min"/>
        <cfvo type="max"/>
        <color rgb="FF63C384"/>
      </dataBar>
      <extLst>
        <ext xmlns:x14="http://schemas.microsoft.com/office/spreadsheetml/2009/9/main" uri="{B025F937-C7B1-47D3-B67F-A62EFF666E3E}">
          <x14:id>{62485B6F-D8D7-4E30-9AA1-22BF9EE1B109}</x14:id>
        </ext>
      </extLst>
    </cfRule>
  </conditionalFormatting>
  <conditionalFormatting sqref="K102:P106">
    <cfRule type="dataBar" priority="54">
      <dataBar>
        <cfvo type="min"/>
        <cfvo type="max"/>
        <color rgb="FF63C384"/>
      </dataBar>
      <extLst>
        <ext xmlns:x14="http://schemas.microsoft.com/office/spreadsheetml/2009/9/main" uri="{B025F937-C7B1-47D3-B67F-A62EFF666E3E}">
          <x14:id>{C66DC9BD-26AA-4D07-A076-12032E264A69}</x14:id>
        </ext>
      </extLst>
    </cfRule>
    <cfRule type="dataBar" priority="56">
      <dataBar>
        <cfvo type="min"/>
        <cfvo type="max"/>
        <color rgb="FF63C384"/>
      </dataBar>
      <extLst>
        <ext xmlns:x14="http://schemas.microsoft.com/office/spreadsheetml/2009/9/main" uri="{B025F937-C7B1-47D3-B67F-A62EFF666E3E}">
          <x14:id>{918BF07C-9A6E-4111-8450-FCAB62BF6B9A}</x14:id>
        </ext>
      </extLst>
    </cfRule>
    <cfRule type="dataBar" priority="59">
      <dataBar>
        <cfvo type="min"/>
        <cfvo type="max"/>
        <color rgb="FF63C384"/>
      </dataBar>
      <extLst>
        <ext xmlns:x14="http://schemas.microsoft.com/office/spreadsheetml/2009/9/main" uri="{B025F937-C7B1-47D3-B67F-A62EFF666E3E}">
          <x14:id>{60778A5E-C2F6-4FC7-9380-C92E34C29A4D}</x14:id>
        </ext>
      </extLst>
    </cfRule>
    <cfRule type="dataBar" priority="40">
      <dataBar>
        <cfvo type="min"/>
        <cfvo type="max"/>
        <color rgb="FF63C384"/>
      </dataBar>
      <extLst>
        <ext xmlns:x14="http://schemas.microsoft.com/office/spreadsheetml/2009/9/main" uri="{B025F937-C7B1-47D3-B67F-A62EFF666E3E}">
          <x14:id>{D08BEF14-FD3B-4DCD-A59F-DA2DF75B5AEA}</x14:id>
        </ext>
      </extLst>
    </cfRule>
  </conditionalFormatting>
  <conditionalFormatting sqref="K102:P107">
    <cfRule type="dataBar" priority="57">
      <dataBar>
        <cfvo type="min"/>
        <cfvo type="max"/>
        <color rgb="FF63C384"/>
      </dataBar>
      <extLst>
        <ext xmlns:x14="http://schemas.microsoft.com/office/spreadsheetml/2009/9/main" uri="{B025F937-C7B1-47D3-B67F-A62EFF666E3E}">
          <x14:id>{9C73C220-8E41-4D16-A2BD-1FE0ACBAB26F}</x14:id>
        </ext>
      </extLst>
    </cfRule>
  </conditionalFormatting>
  <conditionalFormatting sqref="K107:P107">
    <cfRule type="dataBar" priority="58">
      <dataBar>
        <cfvo type="min"/>
        <cfvo type="max"/>
        <color rgb="FF63C384"/>
      </dataBar>
      <extLst>
        <ext xmlns:x14="http://schemas.microsoft.com/office/spreadsheetml/2009/9/main" uri="{B025F937-C7B1-47D3-B67F-A62EFF666E3E}">
          <x14:id>{07DDA2A6-9FB7-420D-9987-D2D37D608044}</x14:id>
        </ext>
      </extLst>
    </cfRule>
    <cfRule type="dataBar" priority="47">
      <dataBar>
        <cfvo type="min"/>
        <cfvo type="max"/>
        <color rgb="FF63C384"/>
      </dataBar>
      <extLst>
        <ext xmlns:x14="http://schemas.microsoft.com/office/spreadsheetml/2009/9/main" uri="{B025F937-C7B1-47D3-B67F-A62EFF666E3E}">
          <x14:id>{6DB45028-4BDE-43E9-83C5-403FA703A275}</x14:id>
        </ext>
      </extLst>
    </cfRule>
    <cfRule type="dataBar" priority="60">
      <dataBar>
        <cfvo type="min"/>
        <cfvo type="max"/>
        <color rgb="FF63C384"/>
      </dataBar>
      <extLst>
        <ext xmlns:x14="http://schemas.microsoft.com/office/spreadsheetml/2009/9/main" uri="{B025F937-C7B1-47D3-B67F-A62EFF666E3E}">
          <x14:id>{7E62E108-FDD1-4435-8B37-2167C20323D8}</x14:id>
        </ext>
      </extLst>
    </cfRule>
    <cfRule type="dataBar" priority="53">
      <dataBar>
        <cfvo type="min"/>
        <cfvo type="max"/>
        <color rgb="FF63C384"/>
      </dataBar>
      <extLst>
        <ext xmlns:x14="http://schemas.microsoft.com/office/spreadsheetml/2009/9/main" uri="{B025F937-C7B1-47D3-B67F-A62EFF666E3E}">
          <x14:id>{C952CDFE-36EE-4839-AF28-F089F9597031}</x14:id>
        </ext>
      </extLst>
    </cfRule>
  </conditionalFormatting>
  <conditionalFormatting sqref="K113:P117">
    <cfRule type="dataBar" priority="27">
      <dataBar>
        <cfvo type="min"/>
        <cfvo type="max"/>
        <color rgb="FF63C384"/>
      </dataBar>
      <extLst>
        <ext xmlns:x14="http://schemas.microsoft.com/office/spreadsheetml/2009/9/main" uri="{B025F937-C7B1-47D3-B67F-A62EFF666E3E}">
          <x14:id>{A72A1509-9597-4668-8B63-272096399DC4}</x14:id>
        </ext>
      </extLst>
    </cfRule>
    <cfRule type="dataBar" priority="22">
      <dataBar>
        <cfvo type="min"/>
        <cfvo type="max"/>
        <color rgb="FF63C384"/>
      </dataBar>
      <extLst>
        <ext xmlns:x14="http://schemas.microsoft.com/office/spreadsheetml/2009/9/main" uri="{B025F937-C7B1-47D3-B67F-A62EFF666E3E}">
          <x14:id>{0367EB00-13BF-4412-82C2-DDC7CDED43B0}</x14:id>
        </ext>
      </extLst>
    </cfRule>
    <cfRule type="dataBar" priority="24">
      <dataBar>
        <cfvo type="min"/>
        <cfvo type="max"/>
        <color rgb="FF63C384"/>
      </dataBar>
      <extLst>
        <ext xmlns:x14="http://schemas.microsoft.com/office/spreadsheetml/2009/9/main" uri="{B025F937-C7B1-47D3-B67F-A62EFF666E3E}">
          <x14:id>{1D8E5373-6353-4DC5-B992-5453C66D6769}</x14:id>
        </ext>
      </extLst>
    </cfRule>
    <cfRule type="dataBar" priority="8">
      <dataBar>
        <cfvo type="min"/>
        <cfvo type="max"/>
        <color rgb="FF63C384"/>
      </dataBar>
      <extLst>
        <ext xmlns:x14="http://schemas.microsoft.com/office/spreadsheetml/2009/9/main" uri="{B025F937-C7B1-47D3-B67F-A62EFF666E3E}">
          <x14:id>{D4095099-8B2A-438F-9E0D-E1883835B73D}</x14:id>
        </ext>
      </extLst>
    </cfRule>
  </conditionalFormatting>
  <conditionalFormatting sqref="K113:P118">
    <cfRule type="dataBar" priority="25">
      <dataBar>
        <cfvo type="min"/>
        <cfvo type="max"/>
        <color rgb="FF63C384"/>
      </dataBar>
      <extLst>
        <ext xmlns:x14="http://schemas.microsoft.com/office/spreadsheetml/2009/9/main" uri="{B025F937-C7B1-47D3-B67F-A62EFF666E3E}">
          <x14:id>{1B01FC60-720C-4B42-9172-44BA096AF76C}</x14:id>
        </ext>
      </extLst>
    </cfRule>
  </conditionalFormatting>
  <conditionalFormatting sqref="K118:P118">
    <cfRule type="dataBar" priority="28">
      <dataBar>
        <cfvo type="min"/>
        <cfvo type="max"/>
        <color rgb="FF63C384"/>
      </dataBar>
      <extLst>
        <ext xmlns:x14="http://schemas.microsoft.com/office/spreadsheetml/2009/9/main" uri="{B025F937-C7B1-47D3-B67F-A62EFF666E3E}">
          <x14:id>{3DC6BFEC-9117-43A2-B0CE-6E70BEB65F4A}</x14:id>
        </ext>
      </extLst>
    </cfRule>
    <cfRule type="dataBar" priority="15">
      <dataBar>
        <cfvo type="min"/>
        <cfvo type="max"/>
        <color rgb="FF63C384"/>
      </dataBar>
      <extLst>
        <ext xmlns:x14="http://schemas.microsoft.com/office/spreadsheetml/2009/9/main" uri="{B025F937-C7B1-47D3-B67F-A62EFF666E3E}">
          <x14:id>{FACE5F2D-C9CD-4690-9FDD-96F9A1BCC0E6}</x14:id>
        </ext>
      </extLst>
    </cfRule>
    <cfRule type="dataBar" priority="21">
      <dataBar>
        <cfvo type="min"/>
        <cfvo type="max"/>
        <color rgb="FF63C384"/>
      </dataBar>
      <extLst>
        <ext xmlns:x14="http://schemas.microsoft.com/office/spreadsheetml/2009/9/main" uri="{B025F937-C7B1-47D3-B67F-A62EFF666E3E}">
          <x14:id>{2407DD32-242A-423D-99FB-22EC7680A28C}</x14:id>
        </ext>
      </extLst>
    </cfRule>
    <cfRule type="dataBar" priority="26">
      <dataBar>
        <cfvo type="min"/>
        <cfvo type="max"/>
        <color rgb="FF63C384"/>
      </dataBar>
      <extLst>
        <ext xmlns:x14="http://schemas.microsoft.com/office/spreadsheetml/2009/9/main" uri="{B025F937-C7B1-47D3-B67F-A62EFF666E3E}">
          <x14:id>{C5B11875-B861-4150-A006-DD03D8C72128}</x14:id>
        </ext>
      </extLst>
    </cfRule>
  </conditionalFormatting>
  <conditionalFormatting sqref="L5:L12">
    <cfRule type="dataBar" priority="222">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8:L22">
    <cfRule type="dataBar" priority="181">
      <dataBar>
        <cfvo type="min"/>
        <cfvo type="max"/>
        <color rgb="FF63C384"/>
      </dataBar>
      <extLst>
        <ext xmlns:x14="http://schemas.microsoft.com/office/spreadsheetml/2009/9/main" uri="{B025F937-C7B1-47D3-B67F-A62EFF666E3E}">
          <x14:id>{4BEF7755-0998-42F9-BE2B-3DDE71DD6879}</x14:id>
        </ext>
      </extLst>
    </cfRule>
  </conditionalFormatting>
  <conditionalFormatting sqref="L79:L83">
    <cfRule type="dataBar" priority="141">
      <dataBar>
        <cfvo type="min"/>
        <cfvo type="max"/>
        <color rgb="FF63C384"/>
      </dataBar>
      <extLst>
        <ext xmlns:x14="http://schemas.microsoft.com/office/spreadsheetml/2009/9/main" uri="{B025F937-C7B1-47D3-B67F-A62EFF666E3E}">
          <x14:id>{3FD5C05E-17C9-4C15-975F-6B3262940C51}</x14:id>
        </ext>
      </extLst>
    </cfRule>
  </conditionalFormatting>
  <conditionalFormatting sqref="L91:L95">
    <cfRule type="dataBar" priority="109">
      <dataBar>
        <cfvo type="min"/>
        <cfvo type="max"/>
        <color rgb="FF63C384"/>
      </dataBar>
      <extLst>
        <ext xmlns:x14="http://schemas.microsoft.com/office/spreadsheetml/2009/9/main" uri="{B025F937-C7B1-47D3-B67F-A62EFF666E3E}">
          <x14:id>{AA48F813-384D-442A-96B9-EBF19CCF737D}</x14:id>
        </ext>
      </extLst>
    </cfRule>
  </conditionalFormatting>
  <conditionalFormatting sqref="L102:L106">
    <cfRule type="dataBar" priority="45">
      <dataBar>
        <cfvo type="min"/>
        <cfvo type="max"/>
        <color rgb="FF63C384"/>
      </dataBar>
      <extLst>
        <ext xmlns:x14="http://schemas.microsoft.com/office/spreadsheetml/2009/9/main" uri="{B025F937-C7B1-47D3-B67F-A62EFF666E3E}">
          <x14:id>{B649032B-13C0-46D1-8992-B7348EC635E3}</x14:id>
        </ext>
      </extLst>
    </cfRule>
  </conditionalFormatting>
  <conditionalFormatting sqref="L113:L117">
    <cfRule type="dataBar" priority="13">
      <dataBar>
        <cfvo type="min"/>
        <cfvo type="max"/>
        <color rgb="FF63C384"/>
      </dataBar>
      <extLst>
        <ext xmlns:x14="http://schemas.microsoft.com/office/spreadsheetml/2009/9/main" uri="{B025F937-C7B1-47D3-B67F-A62EFF666E3E}">
          <x14:id>{E9C21A58-7EBE-40D1-B2C9-7E6A3C89B206}</x14:id>
        </ext>
      </extLst>
    </cfRule>
  </conditionalFormatting>
  <conditionalFormatting sqref="M11:M12">
    <cfRule type="dataBar" priority="221">
      <dataBar>
        <cfvo type="min"/>
        <cfvo type="max"/>
        <color rgb="FF63C384"/>
      </dataBar>
      <extLst>
        <ext xmlns:x14="http://schemas.microsoft.com/office/spreadsheetml/2009/9/main" uri="{B025F937-C7B1-47D3-B67F-A62EFF666E3E}">
          <x14:id>{CF921376-951B-44A1-A35C-F489AA25CABD}</x14:id>
        </ext>
      </extLst>
    </cfRule>
  </conditionalFormatting>
  <conditionalFormatting sqref="M20:M22">
    <cfRule type="dataBar" priority="180">
      <dataBar>
        <cfvo type="min"/>
        <cfvo type="max"/>
        <color rgb="FF63C384"/>
      </dataBar>
      <extLst>
        <ext xmlns:x14="http://schemas.microsoft.com/office/spreadsheetml/2009/9/main" uri="{B025F937-C7B1-47D3-B67F-A62EFF666E3E}">
          <x14:id>{56FDBD16-DDEB-4D7A-98AA-9D8D76CB1BBA}</x14:id>
        </ext>
      </extLst>
    </cfRule>
  </conditionalFormatting>
  <conditionalFormatting sqref="M81:M83">
    <cfRule type="dataBar" priority="140">
      <dataBar>
        <cfvo type="min"/>
        <cfvo type="max"/>
        <color rgb="FF63C384"/>
      </dataBar>
      <extLst>
        <ext xmlns:x14="http://schemas.microsoft.com/office/spreadsheetml/2009/9/main" uri="{B025F937-C7B1-47D3-B67F-A62EFF666E3E}">
          <x14:id>{87CFC5A6-C8D1-4BEC-9BDC-94C0F28EA626}</x14:id>
        </ext>
      </extLst>
    </cfRule>
  </conditionalFormatting>
  <conditionalFormatting sqref="M93:M95">
    <cfRule type="dataBar" priority="108">
      <dataBar>
        <cfvo type="min"/>
        <cfvo type="max"/>
        <color rgb="FF63C384"/>
      </dataBar>
      <extLst>
        <ext xmlns:x14="http://schemas.microsoft.com/office/spreadsheetml/2009/9/main" uri="{B025F937-C7B1-47D3-B67F-A62EFF666E3E}">
          <x14:id>{D20F76C7-9D19-46A4-8AC1-8B8BEA4FF07B}</x14:id>
        </ext>
      </extLst>
    </cfRule>
  </conditionalFormatting>
  <conditionalFormatting sqref="M104:M106">
    <cfRule type="dataBar" priority="44">
      <dataBar>
        <cfvo type="min"/>
        <cfvo type="max"/>
        <color rgb="FF63C384"/>
      </dataBar>
      <extLst>
        <ext xmlns:x14="http://schemas.microsoft.com/office/spreadsheetml/2009/9/main" uri="{B025F937-C7B1-47D3-B67F-A62EFF666E3E}">
          <x14:id>{8B62AE49-6C2A-4E8B-9B29-4BA77A27CC10}</x14:id>
        </ext>
      </extLst>
    </cfRule>
  </conditionalFormatting>
  <conditionalFormatting sqref="M115:M117">
    <cfRule type="dataBar" priority="12">
      <dataBar>
        <cfvo type="min"/>
        <cfvo type="max"/>
        <color rgb="FF63C384"/>
      </dataBar>
      <extLst>
        <ext xmlns:x14="http://schemas.microsoft.com/office/spreadsheetml/2009/9/main" uri="{B025F937-C7B1-47D3-B67F-A62EFF666E3E}">
          <x14:id>{4400607E-6CB6-4A4B-8626-96D3287D2F95}</x14:id>
        </ext>
      </extLst>
    </cfRule>
  </conditionalFormatting>
  <conditionalFormatting sqref="M5:P10">
    <cfRule type="dataBar" priority="203">
      <dataBar>
        <cfvo type="min"/>
        <cfvo type="max"/>
        <color rgb="FF63C384"/>
      </dataBar>
      <extLst>
        <ext xmlns:x14="http://schemas.microsoft.com/office/spreadsheetml/2009/9/main" uri="{B025F937-C7B1-47D3-B67F-A62EFF666E3E}">
          <x14:id>{418255D3-2B96-41A9-9582-87939D7FAE81}</x14:id>
        </ext>
      </extLst>
    </cfRule>
  </conditionalFormatting>
  <conditionalFormatting sqref="N11:N12">
    <cfRule type="dataBar" priority="220">
      <dataBar>
        <cfvo type="min"/>
        <cfvo type="max"/>
        <color rgb="FF63C384"/>
      </dataBar>
      <extLst>
        <ext xmlns:x14="http://schemas.microsoft.com/office/spreadsheetml/2009/9/main" uri="{B025F937-C7B1-47D3-B67F-A62EFF666E3E}">
          <x14:id>{13101FF6-2EA7-4030-B4D6-DA0DA1C2F6A6}</x14:id>
        </ext>
      </extLst>
    </cfRule>
  </conditionalFormatting>
  <conditionalFormatting sqref="N18:N22">
    <cfRule type="dataBar" priority="179">
      <dataBar>
        <cfvo type="min"/>
        <cfvo type="max"/>
        <color rgb="FF63C384"/>
      </dataBar>
      <extLst>
        <ext xmlns:x14="http://schemas.microsoft.com/office/spreadsheetml/2009/9/main" uri="{B025F937-C7B1-47D3-B67F-A62EFF666E3E}">
          <x14:id>{E359D2BF-B4C7-4D3A-9103-4CBEE70A31B4}</x14:id>
        </ext>
      </extLst>
    </cfRule>
  </conditionalFormatting>
  <conditionalFormatting sqref="N79:N83">
    <cfRule type="dataBar" priority="139">
      <dataBar>
        <cfvo type="min"/>
        <cfvo type="max"/>
        <color rgb="FF63C384"/>
      </dataBar>
      <extLst>
        <ext xmlns:x14="http://schemas.microsoft.com/office/spreadsheetml/2009/9/main" uri="{B025F937-C7B1-47D3-B67F-A62EFF666E3E}">
          <x14:id>{1CDC2016-D920-4D11-911E-E448660C0923}</x14:id>
        </ext>
      </extLst>
    </cfRule>
  </conditionalFormatting>
  <conditionalFormatting sqref="N91:N95">
    <cfRule type="dataBar" priority="107">
      <dataBar>
        <cfvo type="min"/>
        <cfvo type="max"/>
        <color rgb="FF63C384"/>
      </dataBar>
      <extLst>
        <ext xmlns:x14="http://schemas.microsoft.com/office/spreadsheetml/2009/9/main" uri="{B025F937-C7B1-47D3-B67F-A62EFF666E3E}">
          <x14:id>{F58FE668-D973-415B-9CBD-3871CDA2203E}</x14:id>
        </ext>
      </extLst>
    </cfRule>
  </conditionalFormatting>
  <conditionalFormatting sqref="N102:N106">
    <cfRule type="dataBar" priority="43">
      <dataBar>
        <cfvo type="min"/>
        <cfvo type="max"/>
        <color rgb="FF63C384"/>
      </dataBar>
      <extLst>
        <ext xmlns:x14="http://schemas.microsoft.com/office/spreadsheetml/2009/9/main" uri="{B025F937-C7B1-47D3-B67F-A62EFF666E3E}">
          <x14:id>{44FA3BEB-09B3-43A9-BB6B-1E93CE07E4F3}</x14:id>
        </ext>
      </extLst>
    </cfRule>
  </conditionalFormatting>
  <conditionalFormatting sqref="N113:N117">
    <cfRule type="dataBar" priority="11">
      <dataBar>
        <cfvo type="min"/>
        <cfvo type="max"/>
        <color rgb="FF63C384"/>
      </dataBar>
      <extLst>
        <ext xmlns:x14="http://schemas.microsoft.com/office/spreadsheetml/2009/9/main" uri="{B025F937-C7B1-47D3-B67F-A62EFF666E3E}">
          <x14:id>{8BE8BC4C-563A-407A-A1D3-0E91CC4C45D2}</x14:id>
        </ext>
      </extLst>
    </cfRule>
  </conditionalFormatting>
  <conditionalFormatting sqref="O11:O12">
    <cfRule type="dataBar" priority="219">
      <dataBar>
        <cfvo type="min"/>
        <cfvo type="max"/>
        <color rgb="FF63C384"/>
      </dataBar>
      <extLst>
        <ext xmlns:x14="http://schemas.microsoft.com/office/spreadsheetml/2009/9/main" uri="{B025F937-C7B1-47D3-B67F-A62EFF666E3E}">
          <x14:id>{1F18C40A-A33A-4D0B-B57F-47D9D6CF0D64}</x14:id>
        </ext>
      </extLst>
    </cfRule>
  </conditionalFormatting>
  <conditionalFormatting sqref="O18:O22">
    <cfRule type="dataBar" priority="178">
      <dataBar>
        <cfvo type="min"/>
        <cfvo type="max"/>
        <color rgb="FF63C384"/>
      </dataBar>
      <extLst>
        <ext xmlns:x14="http://schemas.microsoft.com/office/spreadsheetml/2009/9/main" uri="{B025F937-C7B1-47D3-B67F-A62EFF666E3E}">
          <x14:id>{26AC0999-7FF4-4431-B91F-7A7C0E85B670}</x14:id>
        </ext>
      </extLst>
    </cfRule>
  </conditionalFormatting>
  <conditionalFormatting sqref="O79:O83">
    <cfRule type="dataBar" priority="138">
      <dataBar>
        <cfvo type="min"/>
        <cfvo type="max"/>
        <color rgb="FF63C384"/>
      </dataBar>
      <extLst>
        <ext xmlns:x14="http://schemas.microsoft.com/office/spreadsheetml/2009/9/main" uri="{B025F937-C7B1-47D3-B67F-A62EFF666E3E}">
          <x14:id>{9EB7C27E-4491-452B-B885-D6428E64085F}</x14:id>
        </ext>
      </extLst>
    </cfRule>
  </conditionalFormatting>
  <conditionalFormatting sqref="O91:O95">
    <cfRule type="dataBar" priority="106">
      <dataBar>
        <cfvo type="min"/>
        <cfvo type="max"/>
        <color rgb="FF63C384"/>
      </dataBar>
      <extLst>
        <ext xmlns:x14="http://schemas.microsoft.com/office/spreadsheetml/2009/9/main" uri="{B025F937-C7B1-47D3-B67F-A62EFF666E3E}">
          <x14:id>{BD64FBA5-44BA-4623-A2AF-711E594A47A1}</x14:id>
        </ext>
      </extLst>
    </cfRule>
  </conditionalFormatting>
  <conditionalFormatting sqref="O102:O106">
    <cfRule type="dataBar" priority="42">
      <dataBar>
        <cfvo type="min"/>
        <cfvo type="max"/>
        <color rgb="FF63C384"/>
      </dataBar>
      <extLst>
        <ext xmlns:x14="http://schemas.microsoft.com/office/spreadsheetml/2009/9/main" uri="{B025F937-C7B1-47D3-B67F-A62EFF666E3E}">
          <x14:id>{64FFAEB1-83E3-4A60-92D7-CADBA8CDA42E}</x14:id>
        </ext>
      </extLst>
    </cfRule>
  </conditionalFormatting>
  <conditionalFormatting sqref="O113:O117">
    <cfRule type="dataBar" priority="10">
      <dataBar>
        <cfvo type="min"/>
        <cfvo type="max"/>
        <color rgb="FF63C384"/>
      </dataBar>
      <extLst>
        <ext xmlns:x14="http://schemas.microsoft.com/office/spreadsheetml/2009/9/main" uri="{B025F937-C7B1-47D3-B67F-A62EFF666E3E}">
          <x14:id>{8D769A9F-AB85-4D17-BC66-F70C4DAE617A}</x14:id>
        </ext>
      </extLst>
    </cfRule>
  </conditionalFormatting>
  <conditionalFormatting sqref="P11:P12">
    <cfRule type="dataBar" priority="218">
      <dataBar>
        <cfvo type="min"/>
        <cfvo type="max"/>
        <color rgb="FF63C384"/>
      </dataBar>
      <extLst>
        <ext xmlns:x14="http://schemas.microsoft.com/office/spreadsheetml/2009/9/main" uri="{B025F937-C7B1-47D3-B67F-A62EFF666E3E}">
          <x14:id>{BA11135A-0895-4A01-87D0-A486C9D5843C}</x14:id>
        </ext>
      </extLst>
    </cfRule>
  </conditionalFormatting>
  <conditionalFormatting sqref="P18:P22">
    <cfRule type="dataBar" priority="177">
      <dataBar>
        <cfvo type="min"/>
        <cfvo type="max"/>
        <color rgb="FF63C384"/>
      </dataBar>
      <extLst>
        <ext xmlns:x14="http://schemas.microsoft.com/office/spreadsheetml/2009/9/main" uri="{B025F937-C7B1-47D3-B67F-A62EFF666E3E}">
          <x14:id>{00154FAC-2C70-4EF2-A308-BA8404420986}</x14:id>
        </ext>
      </extLst>
    </cfRule>
  </conditionalFormatting>
  <conditionalFormatting sqref="P18:P23">
    <cfRule type="dataBar" priority="225">
      <dataBar>
        <cfvo type="min"/>
        <cfvo type="max"/>
        <color rgb="FF63C384"/>
      </dataBar>
      <extLst>
        <ext xmlns:x14="http://schemas.microsoft.com/office/spreadsheetml/2009/9/main" uri="{B025F937-C7B1-47D3-B67F-A62EFF666E3E}">
          <x14:id>{A1AE97AD-5647-4F9F-A100-6C15C1895B18}</x14:id>
        </ext>
      </extLst>
    </cfRule>
  </conditionalFormatting>
  <conditionalFormatting sqref="P23">
    <cfRule type="dataBar" priority="185">
      <dataBar>
        <cfvo type="min"/>
        <cfvo type="max"/>
        <color rgb="FF63C384"/>
      </dataBar>
      <extLst>
        <ext xmlns:x14="http://schemas.microsoft.com/office/spreadsheetml/2009/9/main" uri="{B025F937-C7B1-47D3-B67F-A62EFF666E3E}">
          <x14:id>{657DE2C6-03A4-4EDE-99AD-798EB4DDA82C}</x14:id>
        </ext>
      </extLst>
    </cfRule>
    <cfRule type="dataBar" priority="187">
      <dataBar>
        <cfvo type="min"/>
        <cfvo type="max"/>
        <color rgb="FF63C384"/>
      </dataBar>
      <extLst>
        <ext xmlns:x14="http://schemas.microsoft.com/office/spreadsheetml/2009/9/main" uri="{B025F937-C7B1-47D3-B67F-A62EFF666E3E}">
          <x14:id>{CA13E27F-6DDD-451D-9981-58C3F52DF064}</x14:id>
        </ext>
      </extLst>
    </cfRule>
    <cfRule type="dataBar" priority="188">
      <dataBar>
        <cfvo type="min"/>
        <cfvo type="max"/>
        <color rgb="FF63C384"/>
      </dataBar>
      <extLst>
        <ext xmlns:x14="http://schemas.microsoft.com/office/spreadsheetml/2009/9/main" uri="{B025F937-C7B1-47D3-B67F-A62EFF666E3E}">
          <x14:id>{E25FCA19-5187-42DE-ACC0-FA124C432602}</x14:id>
        </ext>
      </extLst>
    </cfRule>
    <cfRule type="dataBar" priority="186">
      <dataBar>
        <cfvo type="min"/>
        <cfvo type="max"/>
        <color rgb="FF63C384"/>
      </dataBar>
      <extLst>
        <ext xmlns:x14="http://schemas.microsoft.com/office/spreadsheetml/2009/9/main" uri="{B025F937-C7B1-47D3-B67F-A62EFF666E3E}">
          <x14:id>{ECB61C77-2C43-48F4-8A50-733EB85A1CEE}</x14:id>
        </ext>
      </extLst>
    </cfRule>
    <cfRule type="dataBar" priority="184">
      <dataBar>
        <cfvo type="min"/>
        <cfvo type="max"/>
        <color rgb="FF63C384"/>
      </dataBar>
      <extLst>
        <ext xmlns:x14="http://schemas.microsoft.com/office/spreadsheetml/2009/9/main" uri="{B025F937-C7B1-47D3-B67F-A62EFF666E3E}">
          <x14:id>{44059659-321E-4F16-A91E-71EB67462F51}</x14:id>
        </ext>
      </extLst>
    </cfRule>
  </conditionalFormatting>
  <conditionalFormatting sqref="P79:P83">
    <cfRule type="dataBar" priority="137">
      <dataBar>
        <cfvo type="min"/>
        <cfvo type="max"/>
        <color rgb="FF63C384"/>
      </dataBar>
      <extLst>
        <ext xmlns:x14="http://schemas.microsoft.com/office/spreadsheetml/2009/9/main" uri="{B025F937-C7B1-47D3-B67F-A62EFF666E3E}">
          <x14:id>{3885E0B0-724D-4B6B-9767-D30679BB46AF}</x14:id>
        </ext>
      </extLst>
    </cfRule>
  </conditionalFormatting>
  <conditionalFormatting sqref="P79:P84">
    <cfRule type="dataBar" priority="159">
      <dataBar>
        <cfvo type="min"/>
        <cfvo type="max"/>
        <color rgb="FF63C384"/>
      </dataBar>
      <extLst>
        <ext xmlns:x14="http://schemas.microsoft.com/office/spreadsheetml/2009/9/main" uri="{B025F937-C7B1-47D3-B67F-A62EFF666E3E}">
          <x14:id>{0DFC5819-59B6-486B-8536-9AA0A9B51E50}</x14:id>
        </ext>
      </extLst>
    </cfRule>
  </conditionalFormatting>
  <conditionalFormatting sqref="P84">
    <cfRule type="dataBar" priority="146">
      <dataBar>
        <cfvo type="min"/>
        <cfvo type="max"/>
        <color rgb="FF63C384"/>
      </dataBar>
      <extLst>
        <ext xmlns:x14="http://schemas.microsoft.com/office/spreadsheetml/2009/9/main" uri="{B025F937-C7B1-47D3-B67F-A62EFF666E3E}">
          <x14:id>{86A31851-BAA0-4C6B-A3EC-E343BD5D7F22}</x14:id>
        </ext>
      </extLst>
    </cfRule>
    <cfRule type="dataBar" priority="148">
      <dataBar>
        <cfvo type="min"/>
        <cfvo type="max"/>
        <color rgb="FF63C384"/>
      </dataBar>
      <extLst>
        <ext xmlns:x14="http://schemas.microsoft.com/office/spreadsheetml/2009/9/main" uri="{B025F937-C7B1-47D3-B67F-A62EFF666E3E}">
          <x14:id>{F6832324-109F-4DBB-9245-289D68C4B713}</x14:id>
        </ext>
      </extLst>
    </cfRule>
    <cfRule type="dataBar" priority="147">
      <dataBar>
        <cfvo type="min"/>
        <cfvo type="max"/>
        <color rgb="FF63C384"/>
      </dataBar>
      <extLst>
        <ext xmlns:x14="http://schemas.microsoft.com/office/spreadsheetml/2009/9/main" uri="{B025F937-C7B1-47D3-B67F-A62EFF666E3E}">
          <x14:id>{CA6C8E00-8D43-4841-847F-8F2A3B300A7A}</x14:id>
        </ext>
      </extLst>
    </cfRule>
    <cfRule type="dataBar" priority="145">
      <dataBar>
        <cfvo type="min"/>
        <cfvo type="max"/>
        <color rgb="FF63C384"/>
      </dataBar>
      <extLst>
        <ext xmlns:x14="http://schemas.microsoft.com/office/spreadsheetml/2009/9/main" uri="{B025F937-C7B1-47D3-B67F-A62EFF666E3E}">
          <x14:id>{9994EF4D-689E-49D3-86FD-0E263AC1DECE}</x14:id>
        </ext>
      </extLst>
    </cfRule>
    <cfRule type="dataBar" priority="144">
      <dataBar>
        <cfvo type="min"/>
        <cfvo type="max"/>
        <color rgb="FF63C384"/>
      </dataBar>
      <extLst>
        <ext xmlns:x14="http://schemas.microsoft.com/office/spreadsheetml/2009/9/main" uri="{B025F937-C7B1-47D3-B67F-A62EFF666E3E}">
          <x14:id>{1B2A451B-0CD0-420B-91AA-F8FD5665E609}</x14:id>
        </ext>
      </extLst>
    </cfRule>
  </conditionalFormatting>
  <conditionalFormatting sqref="P91:P95">
    <cfRule type="dataBar" priority="105">
      <dataBar>
        <cfvo type="min"/>
        <cfvo type="max"/>
        <color rgb="FF63C384"/>
      </dataBar>
      <extLst>
        <ext xmlns:x14="http://schemas.microsoft.com/office/spreadsheetml/2009/9/main" uri="{B025F937-C7B1-47D3-B67F-A62EFF666E3E}">
          <x14:id>{6CDF5691-9E0F-4858-A5E0-E46AFC8ACD1A}</x14:id>
        </ext>
      </extLst>
    </cfRule>
  </conditionalFormatting>
  <conditionalFormatting sqref="P91:P96">
    <cfRule type="dataBar" priority="127">
      <dataBar>
        <cfvo type="min"/>
        <cfvo type="max"/>
        <color rgb="FF63C384"/>
      </dataBar>
      <extLst>
        <ext xmlns:x14="http://schemas.microsoft.com/office/spreadsheetml/2009/9/main" uri="{B025F937-C7B1-47D3-B67F-A62EFF666E3E}">
          <x14:id>{EE5869B2-6E78-429D-A97A-B1FBBFA4A5E7}</x14:id>
        </ext>
      </extLst>
    </cfRule>
  </conditionalFormatting>
  <conditionalFormatting sqref="P96">
    <cfRule type="dataBar" priority="112">
      <dataBar>
        <cfvo type="min"/>
        <cfvo type="max"/>
        <color rgb="FF63C384"/>
      </dataBar>
      <extLst>
        <ext xmlns:x14="http://schemas.microsoft.com/office/spreadsheetml/2009/9/main" uri="{B025F937-C7B1-47D3-B67F-A62EFF666E3E}">
          <x14:id>{BC21C5E9-0BC6-4A05-9F33-FED5BCFC5FA0}</x14:id>
        </ext>
      </extLst>
    </cfRule>
    <cfRule type="dataBar" priority="115">
      <dataBar>
        <cfvo type="min"/>
        <cfvo type="max"/>
        <color rgb="FF63C384"/>
      </dataBar>
      <extLst>
        <ext xmlns:x14="http://schemas.microsoft.com/office/spreadsheetml/2009/9/main" uri="{B025F937-C7B1-47D3-B67F-A62EFF666E3E}">
          <x14:id>{1908CA22-4451-481D-93C2-6A812158CD59}</x14:id>
        </ext>
      </extLst>
    </cfRule>
    <cfRule type="dataBar" priority="116">
      <dataBar>
        <cfvo type="min"/>
        <cfvo type="max"/>
        <color rgb="FF63C384"/>
      </dataBar>
      <extLst>
        <ext xmlns:x14="http://schemas.microsoft.com/office/spreadsheetml/2009/9/main" uri="{B025F937-C7B1-47D3-B67F-A62EFF666E3E}">
          <x14:id>{A8061CF3-96C3-4C44-A974-D8D034FFEDB9}</x14:id>
        </ext>
      </extLst>
    </cfRule>
    <cfRule type="dataBar" priority="114">
      <dataBar>
        <cfvo type="min"/>
        <cfvo type="max"/>
        <color rgb="FF63C384"/>
      </dataBar>
      <extLst>
        <ext xmlns:x14="http://schemas.microsoft.com/office/spreadsheetml/2009/9/main" uri="{B025F937-C7B1-47D3-B67F-A62EFF666E3E}">
          <x14:id>{5DAB6C8B-3689-4E28-91F8-0EA417097206}</x14:id>
        </ext>
      </extLst>
    </cfRule>
    <cfRule type="dataBar" priority="113">
      <dataBar>
        <cfvo type="min"/>
        <cfvo type="max"/>
        <color rgb="FF63C384"/>
      </dataBar>
      <extLst>
        <ext xmlns:x14="http://schemas.microsoft.com/office/spreadsheetml/2009/9/main" uri="{B025F937-C7B1-47D3-B67F-A62EFF666E3E}">
          <x14:id>{32B98C96-5C25-4FC4-9EB4-D201FA6E9BB3}</x14:id>
        </ext>
      </extLst>
    </cfRule>
  </conditionalFormatting>
  <conditionalFormatting sqref="P102:P106">
    <cfRule type="dataBar" priority="41">
      <dataBar>
        <cfvo type="min"/>
        <cfvo type="max"/>
        <color rgb="FF63C384"/>
      </dataBar>
      <extLst>
        <ext xmlns:x14="http://schemas.microsoft.com/office/spreadsheetml/2009/9/main" uri="{B025F937-C7B1-47D3-B67F-A62EFF666E3E}">
          <x14:id>{8AD6B0B5-D046-416E-855F-DF1C046F9866}</x14:id>
        </ext>
      </extLst>
    </cfRule>
  </conditionalFormatting>
  <conditionalFormatting sqref="P102:P107">
    <cfRule type="dataBar" priority="63">
      <dataBar>
        <cfvo type="min"/>
        <cfvo type="max"/>
        <color rgb="FF63C384"/>
      </dataBar>
      <extLst>
        <ext xmlns:x14="http://schemas.microsoft.com/office/spreadsheetml/2009/9/main" uri="{B025F937-C7B1-47D3-B67F-A62EFF666E3E}">
          <x14:id>{B872DBF7-EC88-4A42-AD3F-BA64C336800B}</x14:id>
        </ext>
      </extLst>
    </cfRule>
  </conditionalFormatting>
  <conditionalFormatting sqref="P107">
    <cfRule type="dataBar" priority="49">
      <dataBar>
        <cfvo type="min"/>
        <cfvo type="max"/>
        <color rgb="FF63C384"/>
      </dataBar>
      <extLst>
        <ext xmlns:x14="http://schemas.microsoft.com/office/spreadsheetml/2009/9/main" uri="{B025F937-C7B1-47D3-B67F-A62EFF666E3E}">
          <x14:id>{44C21EFB-467B-4183-B7EC-E374602190E3}</x14:id>
        </ext>
      </extLst>
    </cfRule>
    <cfRule type="dataBar" priority="51">
      <dataBar>
        <cfvo type="min"/>
        <cfvo type="max"/>
        <color rgb="FF63C384"/>
      </dataBar>
      <extLst>
        <ext xmlns:x14="http://schemas.microsoft.com/office/spreadsheetml/2009/9/main" uri="{B025F937-C7B1-47D3-B67F-A62EFF666E3E}">
          <x14:id>{0438EA1E-A315-4F89-9643-E70F65FC8D33}</x14:id>
        </ext>
      </extLst>
    </cfRule>
    <cfRule type="dataBar" priority="52">
      <dataBar>
        <cfvo type="min"/>
        <cfvo type="max"/>
        <color rgb="FF63C384"/>
      </dataBar>
      <extLst>
        <ext xmlns:x14="http://schemas.microsoft.com/office/spreadsheetml/2009/9/main" uri="{B025F937-C7B1-47D3-B67F-A62EFF666E3E}">
          <x14:id>{4FEF2422-9D01-472C-8B22-005FF1903311}</x14:id>
        </ext>
      </extLst>
    </cfRule>
    <cfRule type="dataBar" priority="48">
      <dataBar>
        <cfvo type="min"/>
        <cfvo type="max"/>
        <color rgb="FF63C384"/>
      </dataBar>
      <extLst>
        <ext xmlns:x14="http://schemas.microsoft.com/office/spreadsheetml/2009/9/main" uri="{B025F937-C7B1-47D3-B67F-A62EFF666E3E}">
          <x14:id>{67F3F644-2A93-4A93-8D5D-32DAC5FA698F}</x14:id>
        </ext>
      </extLst>
    </cfRule>
    <cfRule type="dataBar" priority="50">
      <dataBar>
        <cfvo type="min"/>
        <cfvo type="max"/>
        <color rgb="FF63C384"/>
      </dataBar>
      <extLst>
        <ext xmlns:x14="http://schemas.microsoft.com/office/spreadsheetml/2009/9/main" uri="{B025F937-C7B1-47D3-B67F-A62EFF666E3E}">
          <x14:id>{AE63280A-36A1-4E95-995F-6F65F0D3F923}</x14:id>
        </ext>
      </extLst>
    </cfRule>
  </conditionalFormatting>
  <conditionalFormatting sqref="P113:P117">
    <cfRule type="dataBar" priority="9">
      <dataBar>
        <cfvo type="min"/>
        <cfvo type="max"/>
        <color rgb="FF63C384"/>
      </dataBar>
      <extLst>
        <ext xmlns:x14="http://schemas.microsoft.com/office/spreadsheetml/2009/9/main" uri="{B025F937-C7B1-47D3-B67F-A62EFF666E3E}">
          <x14:id>{290E73B1-9F8D-4EDF-8DF0-111020AD8146}</x14:id>
        </ext>
      </extLst>
    </cfRule>
  </conditionalFormatting>
  <conditionalFormatting sqref="P113:P118">
    <cfRule type="dataBar" priority="31">
      <dataBar>
        <cfvo type="min"/>
        <cfvo type="max"/>
        <color rgb="FF63C384"/>
      </dataBar>
      <extLst>
        <ext xmlns:x14="http://schemas.microsoft.com/office/spreadsheetml/2009/9/main" uri="{B025F937-C7B1-47D3-B67F-A62EFF666E3E}">
          <x14:id>{5E59A263-A318-4F0E-BD86-E18E665B435F}</x14:id>
        </ext>
      </extLst>
    </cfRule>
  </conditionalFormatting>
  <conditionalFormatting sqref="P118">
    <cfRule type="dataBar" priority="20">
      <dataBar>
        <cfvo type="min"/>
        <cfvo type="max"/>
        <color rgb="FF63C384"/>
      </dataBar>
      <extLst>
        <ext xmlns:x14="http://schemas.microsoft.com/office/spreadsheetml/2009/9/main" uri="{B025F937-C7B1-47D3-B67F-A62EFF666E3E}">
          <x14:id>{6A5B3564-E2BB-41C2-87F0-B0BA7E35203E}</x14:id>
        </ext>
      </extLst>
    </cfRule>
    <cfRule type="dataBar" priority="19">
      <dataBar>
        <cfvo type="min"/>
        <cfvo type="max"/>
        <color rgb="FF63C384"/>
      </dataBar>
      <extLst>
        <ext xmlns:x14="http://schemas.microsoft.com/office/spreadsheetml/2009/9/main" uri="{B025F937-C7B1-47D3-B67F-A62EFF666E3E}">
          <x14:id>{B1112A5C-2B20-420C-A22A-D7A54D0D2B7F}</x14:id>
        </ext>
      </extLst>
    </cfRule>
    <cfRule type="dataBar" priority="18">
      <dataBar>
        <cfvo type="min"/>
        <cfvo type="max"/>
        <color rgb="FF63C384"/>
      </dataBar>
      <extLst>
        <ext xmlns:x14="http://schemas.microsoft.com/office/spreadsheetml/2009/9/main" uri="{B025F937-C7B1-47D3-B67F-A62EFF666E3E}">
          <x14:id>{563B6F7F-0FEF-4955-AC65-6646A8683B5F}</x14:id>
        </ext>
      </extLst>
    </cfRule>
    <cfRule type="dataBar" priority="16">
      <dataBar>
        <cfvo type="min"/>
        <cfvo type="max"/>
        <color rgb="FF63C384"/>
      </dataBar>
      <extLst>
        <ext xmlns:x14="http://schemas.microsoft.com/office/spreadsheetml/2009/9/main" uri="{B025F937-C7B1-47D3-B67F-A62EFF666E3E}">
          <x14:id>{19FE6244-6050-4E2B-8662-46A4B2C945D0}</x14:id>
        </ext>
      </extLst>
    </cfRule>
    <cfRule type="dataBar" priority="17">
      <dataBar>
        <cfvo type="min"/>
        <cfvo type="max"/>
        <color rgb="FF63C384"/>
      </dataBar>
      <extLst>
        <ext xmlns:x14="http://schemas.microsoft.com/office/spreadsheetml/2009/9/main" uri="{B025F937-C7B1-47D3-B67F-A62EFF666E3E}">
          <x14:id>{AA4F2BFC-D01D-4FFF-A4FB-98F1E61083A1}</x14:id>
        </ext>
      </extLst>
    </cfRule>
  </conditionalFormatting>
  <pageMargins left="0.75" right="0.75" top="1" bottom="1" header="0" footer="0"/>
  <pageSetup orientation="landscape" r:id="rId1"/>
  <headerFooter alignWithMargins="0"/>
  <drawing r:id="rId2"/>
  <legacyDrawing r:id="rId3"/>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B18:B23</xm:sqref>
        </x14:conditionalFormatting>
        <x14:conditionalFormatting xmlns:xm="http://schemas.microsoft.com/office/excel/2006/main">
          <x14:cfRule type="dataBar" id="{00F07389-461C-41B3-8F6D-C8618C983D59}">
            <x14:dataBar minLength="0" maxLength="100" border="1" negativeBarBorderColorSameAsPositive="0">
              <x14:cfvo type="autoMin"/>
              <x14:cfvo type="autoMax"/>
              <x14:borderColor rgb="FF638EC6"/>
              <x14:negativeFillColor rgb="FFFF0000"/>
              <x14:negativeBorderColor rgb="FFFF0000"/>
              <x14:axisColor rgb="FF000000"/>
            </x14:dataBar>
          </x14:cfRule>
          <xm:sqref>B79:B84</xm:sqref>
        </x14:conditionalFormatting>
        <x14:conditionalFormatting xmlns:xm="http://schemas.microsoft.com/office/excel/2006/main">
          <x14:cfRule type="dataBar" id="{87F742E3-C2F0-4B04-9893-BDC679CE5999}">
            <x14:dataBar minLength="0" maxLength="100" border="1" negativeBarBorderColorSameAsPositive="0">
              <x14:cfvo type="autoMin"/>
              <x14:cfvo type="autoMax"/>
              <x14:borderColor rgb="FF638EC6"/>
              <x14:negativeFillColor rgb="FFFF0000"/>
              <x14:negativeBorderColor rgb="FFFF0000"/>
              <x14:axisColor rgb="FF000000"/>
            </x14:dataBar>
          </x14:cfRule>
          <xm:sqref>B91:B96</xm:sqref>
        </x14:conditionalFormatting>
        <x14:conditionalFormatting xmlns:xm="http://schemas.microsoft.com/office/excel/2006/main">
          <x14:cfRule type="dataBar" id="{C816E053-1C18-475C-B3BA-49C4C01EBCB9}">
            <x14:dataBar minLength="0" maxLength="100" border="1" negativeBarBorderColorSameAsPositive="0">
              <x14:cfvo type="autoMin"/>
              <x14:cfvo type="autoMax"/>
              <x14:borderColor rgb="FF638EC6"/>
              <x14:negativeFillColor rgb="FFFF0000"/>
              <x14:negativeBorderColor rgb="FFFF0000"/>
              <x14:axisColor rgb="FF000000"/>
            </x14:dataBar>
          </x14:cfRule>
          <xm:sqref>B102:B107</xm:sqref>
        </x14:conditionalFormatting>
        <x14:conditionalFormatting xmlns:xm="http://schemas.microsoft.com/office/excel/2006/main">
          <x14:cfRule type="dataBar" id="{07D4F49B-7D62-42E2-9AF9-F95341AC3DB7}">
            <x14:dataBar minLength="0" maxLength="100" border="1" negativeBarBorderColorSameAsPositive="0">
              <x14:cfvo type="autoMin"/>
              <x14:cfvo type="autoMax"/>
              <x14:borderColor rgb="FF638EC6"/>
              <x14:negativeFillColor rgb="FFFF0000"/>
              <x14:negativeBorderColor rgb="FFFF0000"/>
              <x14:axisColor rgb="FF000000"/>
            </x14:dataBar>
          </x14:cfRule>
          <xm:sqref>B113:B118</xm:sqref>
        </x14:conditionalFormatting>
        <x14:conditionalFormatting xmlns:xm="http://schemas.microsoft.com/office/excel/2006/main">
          <x14:cfRule type="dataBar" id="{0AD68DE3-B32C-496B-80EB-51BE224EEBF4}">
            <x14:dataBar minLength="0" maxLength="100" gradient="0">
              <x14:cfvo type="autoMin"/>
              <x14:cfvo type="autoMax"/>
              <x14:negativeFillColor rgb="FFFF0000"/>
              <x14:axisColor rgb="FF000000"/>
            </x14:dataBar>
          </x14:cfRule>
          <xm:sqref>C29:C34 C29:H31</xm:sqref>
        </x14:conditionalFormatting>
        <x14:conditionalFormatting xmlns:xm="http://schemas.microsoft.com/office/excel/2006/main">
          <x14:cfRule type="dataBar" id="{CECB1E95-E699-4808-8421-B9FD5765C431}">
            <x14:dataBar minLength="0" maxLength="100" gradient="0">
              <x14:cfvo type="autoMin"/>
              <x14:cfvo type="autoMax"/>
              <x14:negativeFillColor rgb="FFFF0000"/>
              <x14:axisColor rgb="FF000000"/>
            </x14:dataBar>
          </x14:cfRule>
          <xm:sqref>C29:H34</xm:sqref>
        </x14:conditionalFormatting>
        <x14:conditionalFormatting xmlns:xm="http://schemas.microsoft.com/office/excel/2006/main">
          <x14:cfRule type="dataBar" id="{767D33FE-8570-4B26-81B7-5505E2A08A62}">
            <x14:dataBar minLength="0" maxLength="100" gradient="0">
              <x14:cfvo type="autoMin"/>
              <x14:cfvo type="autoMax"/>
              <x14:negativeFillColor rgb="FFFF0000"/>
              <x14:axisColor rgb="FF000000"/>
            </x14:dataBar>
          </x14:cfRule>
          <xm:sqref>D5:D12</xm:sqref>
        </x14:conditionalFormatting>
        <x14:conditionalFormatting xmlns:xm="http://schemas.microsoft.com/office/excel/2006/main">
          <x14:cfRule type="dataBar" id="{3F107DCC-63A1-497B-B919-528218A545C1}">
            <x14:dataBar minLength="0" maxLength="100" gradient="0">
              <x14:cfvo type="autoMin"/>
              <x14:cfvo type="autoMax"/>
              <x14:negativeFillColor rgb="FFFF0000"/>
              <x14:axisColor rgb="FF000000"/>
            </x14:dataBar>
          </x14:cfRule>
          <xm:sqref>D18:D23</xm:sqref>
        </x14:conditionalFormatting>
        <x14:conditionalFormatting xmlns:xm="http://schemas.microsoft.com/office/excel/2006/main">
          <x14:cfRule type="dataBar" id="{A65ECB21-EB61-493F-8CEC-943FA77EDA1D}">
            <x14:dataBar minLength="0" maxLength="100" gradient="0">
              <x14:cfvo type="autoMin"/>
              <x14:cfvo type="autoMax"/>
              <x14:negativeFillColor rgb="FFFF0000"/>
              <x14:axisColor rgb="FF000000"/>
            </x14:dataBar>
          </x14:cfRule>
          <xm:sqref>D29:D34</xm:sqref>
        </x14:conditionalFormatting>
        <x14:conditionalFormatting xmlns:xm="http://schemas.microsoft.com/office/excel/2006/main">
          <x14:cfRule type="dataBar" id="{80EA1248-A466-4594-988A-68A31956B312}">
            <x14:dataBar minLength="0" maxLength="100" gradient="0">
              <x14:cfvo type="autoMin"/>
              <x14:cfvo type="autoMax"/>
              <x14:negativeFillColor rgb="FFFF0000"/>
              <x14:axisColor rgb="FF000000"/>
            </x14:dataBar>
          </x14:cfRule>
          <xm:sqref>D79:D84</xm:sqref>
        </x14:conditionalFormatting>
        <x14:conditionalFormatting xmlns:xm="http://schemas.microsoft.com/office/excel/2006/main">
          <x14:cfRule type="dataBar" id="{181D615C-2E3A-4CC0-9190-FFC67B0A6053}">
            <x14:dataBar minLength="0" maxLength="100" gradient="0">
              <x14:cfvo type="autoMin"/>
              <x14:cfvo type="autoMax"/>
              <x14:negativeFillColor rgb="FFFF0000"/>
              <x14:axisColor rgb="FF000000"/>
            </x14:dataBar>
          </x14:cfRule>
          <xm:sqref>D91:D96</xm:sqref>
        </x14:conditionalFormatting>
        <x14:conditionalFormatting xmlns:xm="http://schemas.microsoft.com/office/excel/2006/main">
          <x14:cfRule type="dataBar" id="{EC1F3748-4CA2-4D58-85C1-95C49C45A996}">
            <x14:dataBar minLength="0" maxLength="100" gradient="0">
              <x14:cfvo type="autoMin"/>
              <x14:cfvo type="autoMax"/>
              <x14:negativeFillColor rgb="FFFF0000"/>
              <x14:axisColor rgb="FF000000"/>
            </x14:dataBar>
          </x14:cfRule>
          <xm:sqref>D102:D107</xm:sqref>
        </x14:conditionalFormatting>
        <x14:conditionalFormatting xmlns:xm="http://schemas.microsoft.com/office/excel/2006/main">
          <x14:cfRule type="dataBar" id="{44648701-D9F3-4849-A619-F5ECC451BEDB}">
            <x14:dataBar minLength="0" maxLength="100" gradient="0">
              <x14:cfvo type="autoMin"/>
              <x14:cfvo type="autoMax"/>
              <x14:negativeFillColor rgb="FFFF0000"/>
              <x14:axisColor rgb="FF000000"/>
            </x14:dataBar>
          </x14:cfRule>
          <xm:sqref>D113:D118</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D5:I10</xm:sqref>
        </x14:conditionalFormatting>
        <x14:conditionalFormatting xmlns:xm="http://schemas.microsoft.com/office/excel/2006/main">
          <x14:cfRule type="dataBar" id="{5BBC426E-7FA9-4F5C-AC78-B3996BA8F931}">
            <x14:dataBar minLength="0" maxLength="100" gradient="0">
              <x14:cfvo type="autoMin"/>
              <x14:cfvo type="autoMax"/>
              <x14:negativeFillColor rgb="FFFF0000"/>
              <x14:axisColor rgb="FF000000"/>
            </x14:dataBar>
          </x14:cfRule>
          <xm:sqref>D18:I23</xm:sqref>
        </x14:conditionalFormatting>
        <x14:conditionalFormatting xmlns:xm="http://schemas.microsoft.com/office/excel/2006/main">
          <x14:cfRule type="dataBar" id="{A354E625-C2D6-437B-B839-3CC7206A7152}">
            <x14:dataBar minLength="0" maxLength="100" gradient="0">
              <x14:cfvo type="autoMin"/>
              <x14:cfvo type="autoMax"/>
              <x14:negativeFillColor rgb="FFFF0000"/>
              <x14:axisColor rgb="FF000000"/>
            </x14:dataBar>
          </x14:cfRule>
          <xm:sqref>D79:I84</xm:sqref>
        </x14:conditionalFormatting>
        <x14:conditionalFormatting xmlns:xm="http://schemas.microsoft.com/office/excel/2006/main">
          <x14:cfRule type="dataBar" id="{5E589869-6479-4B91-BB07-928E8F822B6F}">
            <x14:dataBar minLength="0" maxLength="100" gradient="0">
              <x14:cfvo type="autoMin"/>
              <x14:cfvo type="autoMax"/>
              <x14:negativeFillColor rgb="FFFF0000"/>
              <x14:axisColor rgb="FF000000"/>
            </x14:dataBar>
          </x14:cfRule>
          <xm:sqref>D91:I96</xm:sqref>
        </x14:conditionalFormatting>
        <x14:conditionalFormatting xmlns:xm="http://schemas.microsoft.com/office/excel/2006/main">
          <x14:cfRule type="dataBar" id="{9E6B22DE-4450-48BF-B1E0-2F434942B141}">
            <x14:dataBar minLength="0" maxLength="100" gradient="0">
              <x14:cfvo type="autoMin"/>
              <x14:cfvo type="autoMax"/>
              <x14:negativeFillColor rgb="FFFF0000"/>
              <x14:axisColor rgb="FF000000"/>
            </x14:dataBar>
          </x14:cfRule>
          <xm:sqref>D102:I107</xm:sqref>
        </x14:conditionalFormatting>
        <x14:conditionalFormatting xmlns:xm="http://schemas.microsoft.com/office/excel/2006/main">
          <x14:cfRule type="dataBar" id="{5B34FE4B-4D38-44AE-9B33-E8CBBA88A7F5}">
            <x14:dataBar minLength="0" maxLength="100" gradient="0">
              <x14:cfvo type="autoMin"/>
              <x14:cfvo type="autoMax"/>
              <x14:negativeFillColor rgb="FFFF0000"/>
              <x14:axisColor rgb="FF000000"/>
            </x14:dataBar>
          </x14:cfRule>
          <xm:sqref>D113:I118</xm:sqref>
        </x14:conditionalFormatting>
        <x14:conditionalFormatting xmlns:xm="http://schemas.microsoft.com/office/excel/2006/main">
          <x14:cfRule type="dataBar" id="{740A2B96-C6E5-4177-AC04-9573B81E30EC}">
            <x14:dataBar minLength="0" maxLength="100" gradient="0">
              <x14:cfvo type="autoMin"/>
              <x14:cfvo type="autoMax"/>
              <x14:negativeFillColor rgb="FFFF0000"/>
              <x14:axisColor rgb="FF000000"/>
            </x14:dataBar>
          </x14:cfRule>
          <xm:sqref>E5:E12</xm:sqref>
        </x14:conditionalFormatting>
        <x14:conditionalFormatting xmlns:xm="http://schemas.microsoft.com/office/excel/2006/main">
          <x14:cfRule type="dataBar" id="{5AA7A103-2149-42E1-9BBB-48A01258D43D}">
            <x14:dataBar minLength="0" maxLength="100" gradient="0">
              <x14:cfvo type="autoMin"/>
              <x14:cfvo type="autoMax"/>
              <x14:negativeFillColor rgb="FFFF0000"/>
              <x14:axisColor rgb="FF000000"/>
            </x14:dataBar>
          </x14:cfRule>
          <xm:sqref>E18:E23</xm:sqref>
        </x14:conditionalFormatting>
        <x14:conditionalFormatting xmlns:xm="http://schemas.microsoft.com/office/excel/2006/main">
          <x14:cfRule type="dataBar" id="{805498FA-7598-4F01-8DC3-3F5C3CD52A74}">
            <x14:dataBar minLength="0" maxLength="100" gradient="0">
              <x14:cfvo type="autoMin"/>
              <x14:cfvo type="autoMax"/>
              <x14:negativeFillColor rgb="FFFF0000"/>
              <x14:axisColor rgb="FF000000"/>
            </x14:dataBar>
          </x14:cfRule>
          <xm:sqref>E29:E34</xm:sqref>
        </x14:conditionalFormatting>
        <x14:conditionalFormatting xmlns:xm="http://schemas.microsoft.com/office/excel/2006/main">
          <x14:cfRule type="dataBar" id="{D4FD6980-3D4B-4272-9F36-FEB782A4AC21}">
            <x14:dataBar minLength="0" maxLength="100" gradient="0">
              <x14:cfvo type="autoMin"/>
              <x14:cfvo type="autoMax"/>
              <x14:negativeFillColor rgb="FFFF0000"/>
              <x14:axisColor rgb="FF000000"/>
            </x14:dataBar>
          </x14:cfRule>
          <xm:sqref>E79:E84</xm:sqref>
        </x14:conditionalFormatting>
        <x14:conditionalFormatting xmlns:xm="http://schemas.microsoft.com/office/excel/2006/main">
          <x14:cfRule type="dataBar" id="{6E7377DD-46CC-4559-85DA-9362FF8EF7B4}">
            <x14:dataBar minLength="0" maxLength="100" gradient="0">
              <x14:cfvo type="autoMin"/>
              <x14:cfvo type="autoMax"/>
              <x14:negativeFillColor rgb="FFFF0000"/>
              <x14:axisColor rgb="FF000000"/>
            </x14:dataBar>
          </x14:cfRule>
          <xm:sqref>E91:E96</xm:sqref>
        </x14:conditionalFormatting>
        <x14:conditionalFormatting xmlns:xm="http://schemas.microsoft.com/office/excel/2006/main">
          <x14:cfRule type="dataBar" id="{8AA30705-56EC-4804-A33D-BBC2279C10DE}">
            <x14:dataBar minLength="0" maxLength="100" gradient="0">
              <x14:cfvo type="autoMin"/>
              <x14:cfvo type="autoMax"/>
              <x14:negativeFillColor rgb="FFFF0000"/>
              <x14:axisColor rgb="FF000000"/>
            </x14:dataBar>
          </x14:cfRule>
          <xm:sqref>E102:E107</xm:sqref>
        </x14:conditionalFormatting>
        <x14:conditionalFormatting xmlns:xm="http://schemas.microsoft.com/office/excel/2006/main">
          <x14:cfRule type="dataBar" id="{3E98B143-09D8-4B1F-9F73-A2122B3A54C8}">
            <x14:dataBar minLength="0" maxLength="100" gradient="0">
              <x14:cfvo type="autoMin"/>
              <x14:cfvo type="autoMax"/>
              <x14:negativeFillColor rgb="FFFF0000"/>
              <x14:axisColor rgb="FF000000"/>
            </x14:dataBar>
          </x14:cfRule>
          <xm:sqref>E113:E118</xm:sqref>
        </x14:conditionalFormatting>
        <x14:conditionalFormatting xmlns:xm="http://schemas.microsoft.com/office/excel/2006/main">
          <x14:cfRule type="dataBar" id="{5EFE30C4-0901-404E-9108-731E3BE4821E}">
            <x14:dataBar minLength="0" maxLength="100" gradient="0">
              <x14:cfvo type="autoMin"/>
              <x14:cfvo type="autoMax"/>
              <x14:negativeFillColor rgb="FFFF0000"/>
              <x14:axisColor rgb="FF000000"/>
            </x14:dataBar>
          </x14:cfRule>
          <xm:sqref>F5:F12</xm:sqref>
        </x14:conditionalFormatting>
        <x14:conditionalFormatting xmlns:xm="http://schemas.microsoft.com/office/excel/2006/main">
          <x14:cfRule type="dataBar" id="{5EE1521A-2483-44CA-9CCA-E5FC63E6246F}">
            <x14:dataBar minLength="0" maxLength="100" gradient="0">
              <x14:cfvo type="autoMin"/>
              <x14:cfvo type="autoMax"/>
              <x14:negativeFillColor rgb="FFFF0000"/>
              <x14:axisColor rgb="FF000000"/>
            </x14:dataBar>
          </x14:cfRule>
          <xm:sqref>F18:F23</xm:sqref>
        </x14:conditionalFormatting>
        <x14:conditionalFormatting xmlns:xm="http://schemas.microsoft.com/office/excel/2006/main">
          <x14:cfRule type="dataBar" id="{E2F87644-1D51-4B68-A9E8-C13BF36E4EFB}">
            <x14:dataBar minLength="0" maxLength="100" gradient="0">
              <x14:cfvo type="autoMin"/>
              <x14:cfvo type="autoMax"/>
              <x14:negativeFillColor rgb="FFFF0000"/>
              <x14:axisColor rgb="FF000000"/>
            </x14:dataBar>
          </x14:cfRule>
          <xm:sqref>F29:F34</xm:sqref>
        </x14:conditionalFormatting>
        <x14:conditionalFormatting xmlns:xm="http://schemas.microsoft.com/office/excel/2006/main">
          <x14:cfRule type="dataBar" id="{E64AD030-5412-4F31-BAD0-25844F2BFEA9}">
            <x14:dataBar minLength="0" maxLength="100" gradient="0">
              <x14:cfvo type="autoMin"/>
              <x14:cfvo type="autoMax"/>
              <x14:negativeFillColor rgb="FFFF0000"/>
              <x14:axisColor rgb="FF000000"/>
            </x14:dataBar>
          </x14:cfRule>
          <xm:sqref>F79:F84</xm:sqref>
        </x14:conditionalFormatting>
        <x14:conditionalFormatting xmlns:xm="http://schemas.microsoft.com/office/excel/2006/main">
          <x14:cfRule type="dataBar" id="{BE16BF9F-859A-44BD-910F-389E136D4B33}">
            <x14:dataBar minLength="0" maxLength="100" gradient="0">
              <x14:cfvo type="autoMin"/>
              <x14:cfvo type="autoMax"/>
              <x14:negativeFillColor rgb="FFFF0000"/>
              <x14:axisColor rgb="FF000000"/>
            </x14:dataBar>
          </x14:cfRule>
          <xm:sqref>F91:F96</xm:sqref>
        </x14:conditionalFormatting>
        <x14:conditionalFormatting xmlns:xm="http://schemas.microsoft.com/office/excel/2006/main">
          <x14:cfRule type="dataBar" id="{D606644D-EFD4-4AC5-A6B3-B53C9AE9A2CA}">
            <x14:dataBar minLength="0" maxLength="100" gradient="0">
              <x14:cfvo type="autoMin"/>
              <x14:cfvo type="autoMax"/>
              <x14:negativeFillColor rgb="FFFF0000"/>
              <x14:axisColor rgb="FF000000"/>
            </x14:dataBar>
          </x14:cfRule>
          <xm:sqref>F102:F107</xm:sqref>
        </x14:conditionalFormatting>
        <x14:conditionalFormatting xmlns:xm="http://schemas.microsoft.com/office/excel/2006/main">
          <x14:cfRule type="dataBar" id="{D1BD1AD6-CC05-45F0-903B-0D080D79FD49}">
            <x14:dataBar minLength="0" maxLength="100" gradient="0">
              <x14:cfvo type="autoMin"/>
              <x14:cfvo type="autoMax"/>
              <x14:negativeFillColor rgb="FFFF0000"/>
              <x14:axisColor rgb="FF000000"/>
            </x14:dataBar>
          </x14:cfRule>
          <xm:sqref>F113:F118</xm:sqref>
        </x14:conditionalFormatting>
        <x14:conditionalFormatting xmlns:xm="http://schemas.microsoft.com/office/excel/2006/main">
          <x14:cfRule type="dataBar" id="{A1F44ECC-EF2B-4606-87E9-B7F443AC18BF}">
            <x14:dataBar minLength="0" maxLength="100" gradient="0">
              <x14:cfvo type="autoMin"/>
              <x14:cfvo type="autoMax"/>
              <x14:negativeFillColor rgb="FFFF0000"/>
              <x14:axisColor rgb="FF000000"/>
            </x14:dataBar>
          </x14:cfRule>
          <xm:sqref>G5:G12</xm:sqref>
        </x14:conditionalFormatting>
        <x14:conditionalFormatting xmlns:xm="http://schemas.microsoft.com/office/excel/2006/main">
          <x14:cfRule type="dataBar" id="{00DC50B7-1706-4DFB-A90F-9F95CB19CA6D}">
            <x14:dataBar minLength="0" maxLength="100" gradient="0">
              <x14:cfvo type="autoMin"/>
              <x14:cfvo type="autoMax"/>
              <x14:negativeFillColor rgb="FFFF0000"/>
              <x14:axisColor rgb="FF000000"/>
            </x14:dataBar>
          </x14:cfRule>
          <xm:sqref>G18:G23</xm:sqref>
        </x14:conditionalFormatting>
        <x14:conditionalFormatting xmlns:xm="http://schemas.microsoft.com/office/excel/2006/main">
          <x14:cfRule type="dataBar" id="{D3C8EFDB-8EC0-46D8-B02F-659EFEA615AD}">
            <x14:dataBar minLength="0" maxLength="100" gradient="0">
              <x14:cfvo type="autoMin"/>
              <x14:cfvo type="autoMax"/>
              <x14:negativeFillColor rgb="FFFF0000"/>
              <x14:axisColor rgb="FF000000"/>
            </x14:dataBar>
          </x14:cfRule>
          <xm:sqref>G29:G34</xm:sqref>
        </x14:conditionalFormatting>
        <x14:conditionalFormatting xmlns:xm="http://schemas.microsoft.com/office/excel/2006/main">
          <x14:cfRule type="dataBar" id="{0C8253CE-EFF5-4F19-B465-AA66B2C378D7}">
            <x14:dataBar minLength="0" maxLength="100" gradient="0">
              <x14:cfvo type="autoMin"/>
              <x14:cfvo type="autoMax"/>
              <x14:negativeFillColor rgb="FFFF0000"/>
              <x14:axisColor rgb="FF000000"/>
            </x14:dataBar>
          </x14:cfRule>
          <xm:sqref>G79:G84</xm:sqref>
        </x14:conditionalFormatting>
        <x14:conditionalFormatting xmlns:xm="http://schemas.microsoft.com/office/excel/2006/main">
          <x14:cfRule type="dataBar" id="{5C39DC32-35E6-40B9-A1BE-41478653B78A}">
            <x14:dataBar minLength="0" maxLength="100" gradient="0">
              <x14:cfvo type="autoMin"/>
              <x14:cfvo type="autoMax"/>
              <x14:negativeFillColor rgb="FFFF0000"/>
              <x14:axisColor rgb="FF000000"/>
            </x14:dataBar>
          </x14:cfRule>
          <xm:sqref>G91:G96</xm:sqref>
        </x14:conditionalFormatting>
        <x14:conditionalFormatting xmlns:xm="http://schemas.microsoft.com/office/excel/2006/main">
          <x14:cfRule type="dataBar" id="{3097F730-684C-4042-931C-CD67457AFCE4}">
            <x14:dataBar minLength="0" maxLength="100" gradient="0">
              <x14:cfvo type="autoMin"/>
              <x14:cfvo type="autoMax"/>
              <x14:negativeFillColor rgb="FFFF0000"/>
              <x14:axisColor rgb="FF000000"/>
            </x14:dataBar>
          </x14:cfRule>
          <xm:sqref>G102:G107</xm:sqref>
        </x14:conditionalFormatting>
        <x14:conditionalFormatting xmlns:xm="http://schemas.microsoft.com/office/excel/2006/main">
          <x14:cfRule type="dataBar" id="{BB2DFBE2-3548-41F3-87B2-C7D11E1904DB}">
            <x14:dataBar minLength="0" maxLength="100" gradient="0">
              <x14:cfvo type="autoMin"/>
              <x14:cfvo type="autoMax"/>
              <x14:negativeFillColor rgb="FFFF0000"/>
              <x14:axisColor rgb="FF000000"/>
            </x14:dataBar>
          </x14:cfRule>
          <xm:sqref>G113:G118</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H5:H12</xm:sqref>
        </x14:conditionalFormatting>
        <x14:conditionalFormatting xmlns:xm="http://schemas.microsoft.com/office/excel/2006/main">
          <x14:cfRule type="dataBar" id="{EED505F4-1AE5-4E85-A25F-1DAC1EADC97D}">
            <x14:dataBar minLength="0" maxLength="100" gradient="0">
              <x14:cfvo type="autoMin"/>
              <x14:cfvo type="autoMax"/>
              <x14:negativeFillColor rgb="FFFF0000"/>
              <x14:axisColor rgb="FF000000"/>
            </x14:dataBar>
          </x14:cfRule>
          <xm:sqref>H18:H23</xm:sqref>
        </x14:conditionalFormatting>
        <x14:conditionalFormatting xmlns:xm="http://schemas.microsoft.com/office/excel/2006/main">
          <x14:cfRule type="dataBar" id="{450F46C1-2D84-4867-A8F8-B3A6787E6999}">
            <x14:dataBar minLength="0" maxLength="100" gradient="0">
              <x14:cfvo type="autoMin"/>
              <x14:cfvo type="autoMax"/>
              <x14:negativeFillColor rgb="FFFF0000"/>
              <x14:axisColor rgb="FF000000"/>
            </x14:dataBar>
          </x14:cfRule>
          <xm:sqref>H29:H34</xm:sqref>
        </x14:conditionalFormatting>
        <x14:conditionalFormatting xmlns:xm="http://schemas.microsoft.com/office/excel/2006/main">
          <x14:cfRule type="dataBar" id="{B38339B2-31A7-4D02-AE41-291DB57FACA7}">
            <x14:dataBar minLength="0" maxLength="100" gradient="0">
              <x14:cfvo type="autoMin"/>
              <x14:cfvo type="autoMax"/>
              <x14:negativeFillColor rgb="FFFF0000"/>
              <x14:axisColor rgb="FF000000"/>
            </x14:dataBar>
          </x14:cfRule>
          <xm:sqref>H79:H84</xm:sqref>
        </x14:conditionalFormatting>
        <x14:conditionalFormatting xmlns:xm="http://schemas.microsoft.com/office/excel/2006/main">
          <x14:cfRule type="dataBar" id="{734BD356-8A91-4794-87B5-5AC53299C4BB}">
            <x14:dataBar minLength="0" maxLength="100" gradient="0">
              <x14:cfvo type="autoMin"/>
              <x14:cfvo type="autoMax"/>
              <x14:negativeFillColor rgb="FFFF0000"/>
              <x14:axisColor rgb="FF000000"/>
            </x14:dataBar>
          </x14:cfRule>
          <xm:sqref>H91:H96</xm:sqref>
        </x14:conditionalFormatting>
        <x14:conditionalFormatting xmlns:xm="http://schemas.microsoft.com/office/excel/2006/main">
          <x14:cfRule type="dataBar" id="{52FDAAA8-FF29-4698-9F47-28ED4E09BEA3}">
            <x14:dataBar minLength="0" maxLength="100" gradient="0">
              <x14:cfvo type="autoMin"/>
              <x14:cfvo type="autoMax"/>
              <x14:negativeFillColor rgb="FFFF0000"/>
              <x14:axisColor rgb="FF000000"/>
            </x14:dataBar>
          </x14:cfRule>
          <xm:sqref>H102:H107</xm:sqref>
        </x14:conditionalFormatting>
        <x14:conditionalFormatting xmlns:xm="http://schemas.microsoft.com/office/excel/2006/main">
          <x14:cfRule type="dataBar" id="{2EA76FAB-5197-453A-B88F-8F09B8368E43}">
            <x14:dataBar minLength="0" maxLength="100" gradient="0">
              <x14:cfvo type="autoMin"/>
              <x14:cfvo type="autoMax"/>
              <x14:negativeFillColor rgb="FFFF0000"/>
              <x14:axisColor rgb="FF000000"/>
            </x14:dataBar>
          </x14:cfRule>
          <xm:sqref>H113:H118</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I5:I12</xm:sqref>
        </x14:conditionalFormatting>
        <x14:conditionalFormatting xmlns:xm="http://schemas.microsoft.com/office/excel/2006/main">
          <x14:cfRule type="dataBar" id="{A192D211-7CF8-4DE2-A7D7-7E84CEAE76AC}">
            <x14:dataBar minLength="0" maxLength="100" gradient="0">
              <x14:cfvo type="autoMin"/>
              <x14:cfvo type="autoMax"/>
              <x14:negativeFillColor rgb="FFFF0000"/>
              <x14:axisColor rgb="FF000000"/>
            </x14:dataBar>
          </x14:cfRule>
          <xm:sqref>I18:I23</xm:sqref>
        </x14:conditionalFormatting>
        <x14:conditionalFormatting xmlns:xm="http://schemas.microsoft.com/office/excel/2006/main">
          <x14:cfRule type="dataBar" id="{F894FDA8-F071-4F19-9B0C-DA34A43CACE2}">
            <x14:dataBar minLength="0" maxLength="100" gradient="0">
              <x14:cfvo type="autoMin"/>
              <x14:cfvo type="autoMax"/>
              <x14:negativeFillColor rgb="FFFF0000"/>
              <x14:axisColor rgb="FF000000"/>
            </x14:dataBar>
          </x14:cfRule>
          <xm:sqref>I79:I84</xm:sqref>
        </x14:conditionalFormatting>
        <x14:conditionalFormatting xmlns:xm="http://schemas.microsoft.com/office/excel/2006/main">
          <x14:cfRule type="dataBar" id="{EBEC2EAB-AE3C-444F-8AAD-FE56AB2F7F90}">
            <x14:dataBar minLength="0" maxLength="100" gradient="0">
              <x14:cfvo type="autoMin"/>
              <x14:cfvo type="autoMax"/>
              <x14:negativeFillColor rgb="FFFF0000"/>
              <x14:axisColor rgb="FF000000"/>
            </x14:dataBar>
          </x14:cfRule>
          <xm:sqref>I91:I96</xm:sqref>
        </x14:conditionalFormatting>
        <x14:conditionalFormatting xmlns:xm="http://schemas.microsoft.com/office/excel/2006/main">
          <x14:cfRule type="dataBar" id="{ADCA2AC8-7D95-4E86-957C-461CAADED9E5}">
            <x14:dataBar minLength="0" maxLength="100" gradient="0">
              <x14:cfvo type="autoMin"/>
              <x14:cfvo type="autoMax"/>
              <x14:negativeFillColor rgb="FFFF0000"/>
              <x14:axisColor rgb="FF000000"/>
            </x14:dataBar>
          </x14:cfRule>
          <xm:sqref>I102:I107</xm:sqref>
        </x14:conditionalFormatting>
        <x14:conditionalFormatting xmlns:xm="http://schemas.microsoft.com/office/excel/2006/main">
          <x14:cfRule type="dataBar" id="{2DD61234-96C5-4820-9AA0-EC3EB2C8E431}">
            <x14:dataBar minLength="0" maxLength="100" gradient="0">
              <x14:cfvo type="autoMin"/>
              <x14:cfvo type="autoMax"/>
              <x14:negativeFillColor rgb="FFFF0000"/>
              <x14:axisColor rgb="FF000000"/>
            </x14:dataBar>
          </x14:cfRule>
          <xm:sqref>I113:I118</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K5:K12</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K18:K22</xm:sqref>
        </x14:conditionalFormatting>
        <x14:conditionalFormatting xmlns:xm="http://schemas.microsoft.com/office/excel/2006/main">
          <x14:cfRule type="dataBar" id="{E357481B-D725-4D92-A918-377F664FDAF4}">
            <x14:dataBar minLength="0" maxLength="100" gradient="0">
              <x14:cfvo type="autoMin"/>
              <x14:cfvo type="autoMax"/>
              <x14:negativeFillColor rgb="FFFF0000"/>
              <x14:axisColor rgb="FF000000"/>
            </x14:dataBar>
          </x14:cfRule>
          <xm:sqref>K79:K83</xm:sqref>
        </x14:conditionalFormatting>
        <x14:conditionalFormatting xmlns:xm="http://schemas.microsoft.com/office/excel/2006/main">
          <x14:cfRule type="dataBar" id="{AB909660-BDA2-4086-8DC2-65CBA8C434EB}">
            <x14:dataBar minLength="0" maxLength="100" gradient="0">
              <x14:cfvo type="autoMin"/>
              <x14:cfvo type="autoMax"/>
              <x14:negativeFillColor rgb="FFFF0000"/>
              <x14:axisColor rgb="FF000000"/>
            </x14:dataBar>
          </x14:cfRule>
          <xm:sqref>K91:K95</xm:sqref>
        </x14:conditionalFormatting>
        <x14:conditionalFormatting xmlns:xm="http://schemas.microsoft.com/office/excel/2006/main">
          <x14:cfRule type="dataBar" id="{70ADBFC5-ECD6-41C6-9587-2B7FD7D64C54}">
            <x14:dataBar minLength="0" maxLength="100" gradient="0">
              <x14:cfvo type="autoMin"/>
              <x14:cfvo type="autoMax"/>
              <x14:negativeFillColor rgb="FFFF0000"/>
              <x14:axisColor rgb="FF000000"/>
            </x14:dataBar>
          </x14:cfRule>
          <xm:sqref>K102:K106</xm:sqref>
        </x14:conditionalFormatting>
        <x14:conditionalFormatting xmlns:xm="http://schemas.microsoft.com/office/excel/2006/main">
          <x14:cfRule type="dataBar" id="{675588D1-B280-47CD-A377-B91C6D669F2B}">
            <x14:dataBar minLength="0" maxLength="100" gradient="0">
              <x14:cfvo type="autoMin"/>
              <x14:cfvo type="autoMax"/>
              <x14:negativeFillColor rgb="FFFF0000"/>
              <x14:axisColor rgb="FF000000"/>
            </x14:dataBar>
          </x14:cfRule>
          <xm:sqref>K113:K117</xm:sqref>
        </x14:conditionalFormatting>
        <x14:conditionalFormatting xmlns:xm="http://schemas.microsoft.com/office/excel/2006/main">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m:sqref>K18:O22</xm:sqref>
        </x14:conditionalFormatting>
        <x14:conditionalFormatting xmlns:xm="http://schemas.microsoft.com/office/excel/2006/main">
          <x14:cfRule type="dataBar" id="{CBC457F7-3DB8-46A0-988B-11CCF8FF31E5}">
            <x14:dataBar minLength="0" maxLength="100" gradient="0">
              <x14:cfvo type="autoMin"/>
              <x14:cfvo type="autoMax"/>
              <x14:negativeFillColor rgb="FFFF0000"/>
              <x14:axisColor rgb="FF000000"/>
            </x14:dataBar>
          </x14:cfRule>
          <x14:cfRule type="dataBar" id="{589E11FE-E342-4D21-9EB3-CB0F15AE87A6}">
            <x14:dataBar minLength="0" maxLength="100" gradient="0">
              <x14:cfvo type="autoMin"/>
              <x14:cfvo type="autoMax"/>
              <x14:negativeFillColor rgb="FFFF0000"/>
              <x14:axisColor rgb="FF000000"/>
            </x14:dataBar>
          </x14:cfRule>
          <xm:sqref>K18:O23</xm:sqref>
        </x14:conditionalFormatting>
        <x14:conditionalFormatting xmlns:xm="http://schemas.microsoft.com/office/excel/2006/main">
          <x14:cfRule type="dataBar" id="{DBE3F2EF-D33B-422A-BA0C-C46A7B07E5BB}">
            <x14:dataBar minLength="0" maxLength="100" border="1" negativeBarBorderColorSameAsPositive="0">
              <x14:cfvo type="autoMin"/>
              <x14:cfvo type="autoMax"/>
              <x14:borderColor rgb="FF63C384"/>
              <x14:negativeFillColor rgb="FFFF0000"/>
              <x14:negativeBorderColor rgb="FFFF0000"/>
              <x14:axisColor rgb="FF000000"/>
            </x14:dataBar>
          </x14:cfRule>
          <xm:sqref>K79:O83</xm:sqref>
        </x14:conditionalFormatting>
        <x14:conditionalFormatting xmlns:xm="http://schemas.microsoft.com/office/excel/2006/main">
          <x14:cfRule type="dataBar" id="{A4D3FE26-9BD2-4725-8DAF-5CD77C54AE52}">
            <x14:dataBar minLength="0" maxLength="100" gradient="0">
              <x14:cfvo type="autoMin"/>
              <x14:cfvo type="autoMax"/>
              <x14:negativeFillColor rgb="FFFF0000"/>
              <x14:axisColor rgb="FF000000"/>
            </x14:dataBar>
          </x14:cfRule>
          <x14:cfRule type="dataBar" id="{7BA86BD7-3C4F-4236-B385-BED3307B7EEB}">
            <x14:dataBar minLength="0" maxLength="100" gradient="0">
              <x14:cfvo type="autoMin"/>
              <x14:cfvo type="autoMax"/>
              <x14:negativeFillColor rgb="FFFF0000"/>
              <x14:axisColor rgb="FF000000"/>
            </x14:dataBar>
          </x14:cfRule>
          <xm:sqref>K79:O84</xm:sqref>
        </x14:conditionalFormatting>
        <x14:conditionalFormatting xmlns:xm="http://schemas.microsoft.com/office/excel/2006/main">
          <x14:cfRule type="dataBar" id="{63019673-A4DB-4043-954D-B447043A54B3}">
            <x14:dataBar minLength="0" maxLength="100" border="1" negativeBarBorderColorSameAsPositive="0">
              <x14:cfvo type="autoMin"/>
              <x14:cfvo type="autoMax"/>
              <x14:borderColor rgb="FF63C384"/>
              <x14:negativeFillColor rgb="FFFF0000"/>
              <x14:negativeBorderColor rgb="FFFF0000"/>
              <x14:axisColor rgb="FF000000"/>
            </x14:dataBar>
          </x14:cfRule>
          <xm:sqref>K91:O95</xm:sqref>
        </x14:conditionalFormatting>
        <x14:conditionalFormatting xmlns:xm="http://schemas.microsoft.com/office/excel/2006/main">
          <x14:cfRule type="dataBar" id="{5C4B9244-5DD6-47AE-B632-E68E38CCBBB3}">
            <x14:dataBar minLength="0" maxLength="100" gradient="0">
              <x14:cfvo type="autoMin"/>
              <x14:cfvo type="autoMax"/>
              <x14:negativeFillColor rgb="FFFF0000"/>
              <x14:axisColor rgb="FF000000"/>
            </x14:dataBar>
          </x14:cfRule>
          <x14:cfRule type="dataBar" id="{04A1F9C2-BC89-4BE0-A546-02454B855AF8}">
            <x14:dataBar minLength="0" maxLength="100" gradient="0">
              <x14:cfvo type="autoMin"/>
              <x14:cfvo type="autoMax"/>
              <x14:negativeFillColor rgb="FFFF0000"/>
              <x14:axisColor rgb="FF000000"/>
            </x14:dataBar>
          </x14:cfRule>
          <xm:sqref>K91:O96</xm:sqref>
        </x14:conditionalFormatting>
        <x14:conditionalFormatting xmlns:xm="http://schemas.microsoft.com/office/excel/2006/main">
          <x14:cfRule type="dataBar" id="{84EFE161-5925-415F-82CC-DF85ACA15E1A}">
            <x14:dataBar minLength="0" maxLength="100" border="1" negativeBarBorderColorSameAsPositive="0">
              <x14:cfvo type="autoMin"/>
              <x14:cfvo type="autoMax"/>
              <x14:borderColor rgb="FF63C384"/>
              <x14:negativeFillColor rgb="FFFF0000"/>
              <x14:negativeBorderColor rgb="FFFF0000"/>
              <x14:axisColor rgb="FF000000"/>
            </x14:dataBar>
          </x14:cfRule>
          <xm:sqref>K102:O106</xm:sqref>
        </x14:conditionalFormatting>
        <x14:conditionalFormatting xmlns:xm="http://schemas.microsoft.com/office/excel/2006/main">
          <x14:cfRule type="dataBar" id="{28A81759-83AA-4175-9740-935049D50F21}">
            <x14:dataBar minLength="0" maxLength="100" gradient="0">
              <x14:cfvo type="autoMin"/>
              <x14:cfvo type="autoMax"/>
              <x14:negativeFillColor rgb="FFFF0000"/>
              <x14:axisColor rgb="FF000000"/>
            </x14:dataBar>
          </x14:cfRule>
          <x14:cfRule type="dataBar" id="{41020664-FB00-4938-8BFE-E3E2A4F67417}">
            <x14:dataBar minLength="0" maxLength="100" gradient="0">
              <x14:cfvo type="autoMin"/>
              <x14:cfvo type="autoMax"/>
              <x14:negativeFillColor rgb="FFFF0000"/>
              <x14:axisColor rgb="FF000000"/>
            </x14:dataBar>
          </x14:cfRule>
          <xm:sqref>K102:O107</xm:sqref>
        </x14:conditionalFormatting>
        <x14:conditionalFormatting xmlns:xm="http://schemas.microsoft.com/office/excel/2006/main">
          <x14:cfRule type="dataBar" id="{E6C2D380-96B0-4468-B187-2A5B0EDAE044}">
            <x14:dataBar minLength="0" maxLength="100" border="1" negativeBarBorderColorSameAsPositive="0">
              <x14:cfvo type="autoMin"/>
              <x14:cfvo type="autoMax"/>
              <x14:borderColor rgb="FF63C384"/>
              <x14:negativeFillColor rgb="FFFF0000"/>
              <x14:negativeBorderColor rgb="FFFF0000"/>
              <x14:axisColor rgb="FF000000"/>
            </x14:dataBar>
          </x14:cfRule>
          <xm:sqref>K113:O117</xm:sqref>
        </x14:conditionalFormatting>
        <x14:conditionalFormatting xmlns:xm="http://schemas.microsoft.com/office/excel/2006/main">
          <x14:cfRule type="dataBar" id="{466A4B63-6C12-4734-B282-83FA289F9A70}">
            <x14:dataBar minLength="0" maxLength="100" gradient="0">
              <x14:cfvo type="autoMin"/>
              <x14:cfvo type="autoMax"/>
              <x14:negativeFillColor rgb="FFFF0000"/>
              <x14:axisColor rgb="FF000000"/>
            </x14:dataBar>
          </x14:cfRule>
          <x14:cfRule type="dataBar" id="{7360FC64-49D7-4EF5-9D16-1291E39CF3AD}">
            <x14:dataBar minLength="0" maxLength="100" gradient="0">
              <x14:cfvo type="autoMin"/>
              <x14:cfvo type="autoMax"/>
              <x14:negativeFillColor rgb="FFFF0000"/>
              <x14:axisColor rgb="FF000000"/>
            </x14:dataBar>
          </x14:cfRule>
          <xm:sqref>K113:O118</xm:sqref>
        </x14:conditionalFormatting>
        <x14:conditionalFormatting xmlns:xm="http://schemas.microsoft.com/office/excel/2006/main">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642E512-5328-4DB9-81F4-5A67EFFA2D7A}">
            <x14:dataBar minLength="0" maxLength="100" gradient="0">
              <x14:cfvo type="autoMin"/>
              <x14:cfvo type="autoMax"/>
              <x14:negativeFillColor rgb="FFFF0000"/>
              <x14:axisColor rgb="FF000000"/>
            </x14:dataBar>
          </x14:cfRule>
          <xm:sqref>K5:P10</xm:sqref>
        </x14:conditionalFormatting>
        <x14:conditionalFormatting xmlns:xm="http://schemas.microsoft.com/office/excel/2006/main">
          <x14:cfRule type="dataBar" id="{A85696C3-3FD4-4347-BBC8-6CEF041D9BC2}">
            <x14:dataBar minLength="0" maxLength="100" gradient="0">
              <x14:cfvo type="autoMin"/>
              <x14:cfvo type="autoMax"/>
              <x14:negativeFill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095667E-69EE-4811-BEDE-AFA010708C3B}">
            <x14:dataBar minLength="0" maxLength="100" gradient="0">
              <x14:cfvo type="autoMin"/>
              <x14:cfvo type="autoMax"/>
              <x14:negativeFillColor rgb="FFFF0000"/>
              <x14:axisColor rgb="FF000000"/>
            </x14:dataBar>
          </x14:cfRule>
          <xm:sqref>K18:P22</xm:sqref>
        </x14:conditionalFormatting>
        <x14:conditionalFormatting xmlns:xm="http://schemas.microsoft.com/office/excel/2006/main">
          <x14:cfRule type="dataBar" id="{EC7F1560-4E75-4756-AE37-09B82982D1AB}">
            <x14:dataBar minLength="0" maxLength="100" gradient="0">
              <x14:cfvo type="autoMin"/>
              <x14:cfvo type="autoMax"/>
              <x14:negativeFillColor rgb="FFFF0000"/>
              <x14:axisColor rgb="FF000000"/>
            </x14:dataBar>
          </x14:cfRule>
          <xm:sqref>K18:P23</xm:sqref>
        </x14:conditionalFormatting>
        <x14:conditionalFormatting xmlns:xm="http://schemas.microsoft.com/office/excel/2006/main">
          <x14:cfRule type="dataBar" id="{624EF9E9-FC69-4C57-8B92-4F6320D43BF6}">
            <x14:dataBar minLength="0" maxLength="100" gradient="0">
              <x14:cfvo type="autoMin"/>
              <x14:cfvo type="autoMax"/>
              <x14:negativeFillColor rgb="FFFF0000"/>
              <x14:axisColor rgb="FF000000"/>
            </x14:dataBar>
          </x14:cfRule>
          <x14:cfRule type="dataBar" id="{1C8C07B2-BD7C-4727-B188-3301C366D456}">
            <x14:dataBar minLength="0" maxLength="100" gradient="0">
              <x14:cfvo type="autoMin"/>
              <x14:cfvo type="autoMax"/>
              <x14:negativeFillColor rgb="FFFF0000"/>
              <x14:axisColor rgb="FF000000"/>
            </x14:dataBar>
          </x14:cfRule>
          <x14:cfRule type="dataBar" id="{904D660B-3592-4479-B026-ACD9350A361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E2287FA-B40E-40F5-8AA8-262EA0BD4636}">
            <x14:dataBar minLength="0" maxLength="100" border="1" negativeBarBorderColorSameAsPositive="0">
              <x14:cfvo type="autoMin"/>
              <x14:cfvo type="autoMax"/>
              <x14:borderColor rgb="FF63C384"/>
              <x14:negativeFillColor rgb="FFFF0000"/>
              <x14:negativeBorderColor rgb="FFFF0000"/>
              <x14:axisColor rgb="FF000000"/>
            </x14:dataBar>
          </x14:cfRule>
          <xm:sqref>K23:P23</xm:sqref>
        </x14:conditionalFormatting>
        <x14:conditionalFormatting xmlns:xm="http://schemas.microsoft.com/office/excel/2006/main">
          <x14:cfRule type="dataBar" id="{7FDCF959-9DF8-43C6-A31A-4B49C6AD0523}">
            <x14:dataBar minLength="0" maxLength="100" gradient="0">
              <x14:cfvo type="autoMin"/>
              <x14:cfvo type="autoMax"/>
              <x14:negativeFillColor rgb="FFFF0000"/>
              <x14:axisColor rgb="FF000000"/>
            </x14:dataBar>
          </x14:cfRule>
          <x14:cfRule type="dataBar" id="{30AB8BB7-6795-467F-8212-C7BDF0BAC681}">
            <x14:dataBar minLength="0" maxLength="100" gradient="0">
              <x14:cfvo type="autoMin"/>
              <x14:cfvo type="autoMax"/>
              <x14:negativeFillColor rgb="FFFF0000"/>
              <x14:axisColor rgb="FF000000"/>
            </x14:dataBar>
          </x14:cfRule>
          <x14:cfRule type="dataBar" id="{401DF1B1-B7DD-4F1C-8DC0-1734B4233B5E}">
            <x14:dataBar minLength="0" maxLength="100" gradient="0">
              <x14:cfvo type="autoMin"/>
              <x14:cfvo type="autoMax"/>
              <x14:negativeFillColor rgb="FFFF0000"/>
              <x14:axisColor rgb="FF000000"/>
            </x14:dataBar>
          </x14:cfRule>
          <x14:cfRule type="dataBar" id="{E8CE5637-C4E8-4D84-91FE-81DF6E82C62B}">
            <x14:dataBar minLength="0" maxLength="100" border="1" negativeBarBorderColorSameAsPositive="0">
              <x14:cfvo type="autoMin"/>
              <x14:cfvo type="autoMax"/>
              <x14:borderColor rgb="FF63C384"/>
              <x14:negativeFillColor rgb="FFFF0000"/>
              <x14:negativeBorderColor rgb="FFFF0000"/>
              <x14:axisColor rgb="FF000000"/>
            </x14:dataBar>
          </x14:cfRule>
          <xm:sqref>K79:P83</xm:sqref>
        </x14:conditionalFormatting>
        <x14:conditionalFormatting xmlns:xm="http://schemas.microsoft.com/office/excel/2006/main">
          <x14:cfRule type="dataBar" id="{14487A9E-0908-4110-A96A-56E2FAF0A3A9}">
            <x14:dataBar minLength="0" maxLength="100" gradient="0">
              <x14:cfvo type="autoMin"/>
              <x14:cfvo type="autoMax"/>
              <x14:negativeFillColor rgb="FFFF0000"/>
              <x14:axisColor rgb="FF000000"/>
            </x14:dataBar>
          </x14:cfRule>
          <xm:sqref>K79:P84</xm:sqref>
        </x14:conditionalFormatting>
        <x14:conditionalFormatting xmlns:xm="http://schemas.microsoft.com/office/excel/2006/main">
          <x14:cfRule type="dataBar" id="{A583670C-0C18-41EF-954D-5B9CBDBACEAD}">
            <x14:dataBar minLength="0" maxLength="100" gradient="0">
              <x14:cfvo type="autoMin"/>
              <x14:cfvo type="autoMax"/>
              <x14:negativeFillColor rgb="FFFF0000"/>
              <x14:axisColor rgb="FF000000"/>
            </x14:dataBar>
          </x14:cfRule>
          <x14:cfRule type="dataBar" id="{ABD13CC5-270F-4F1A-8F12-B8D1D3488C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90382B8-9411-4C2F-BA17-423FD7587BC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ACF35A5-4935-4831-ACBD-EEFAC4F5CF9B}">
            <x14:dataBar minLength="0" maxLength="100" gradient="0">
              <x14:cfvo type="autoMin"/>
              <x14:cfvo type="autoMax"/>
              <x14:negativeFillColor rgb="FFFF0000"/>
              <x14:axisColor rgb="FF000000"/>
            </x14:dataBar>
          </x14:cfRule>
          <xm:sqref>K84:P84</xm:sqref>
        </x14:conditionalFormatting>
        <x14:conditionalFormatting xmlns:xm="http://schemas.microsoft.com/office/excel/2006/main">
          <x14:cfRule type="dataBar" id="{7AF36075-C778-4859-A7F4-756473CFFD44}">
            <x14:dataBar minLength="0" maxLength="100" gradient="0">
              <x14:cfvo type="autoMin"/>
              <x14:cfvo type="autoMax"/>
              <x14:negativeFillColor rgb="FFFF0000"/>
              <x14:axisColor rgb="FF000000"/>
            </x14:dataBar>
          </x14:cfRule>
          <x14:cfRule type="dataBar" id="{1363A0D3-99C2-472C-824E-2D1109BFFB96}">
            <x14:dataBar minLength="0" maxLength="100" gradient="0">
              <x14:cfvo type="autoMin"/>
              <x14:cfvo type="autoMax"/>
              <x14:negativeFillColor rgb="FFFF0000"/>
              <x14:axisColor rgb="FF000000"/>
            </x14:dataBar>
          </x14:cfRule>
          <x14:cfRule type="dataBar" id="{7D9FBA88-781F-41D8-89FA-B64E211994A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77231D2-D994-4274-9DD8-2E59A8C2960B}">
            <x14:dataBar minLength="0" maxLength="100" gradient="0">
              <x14:cfvo type="autoMin"/>
              <x14:cfvo type="autoMax"/>
              <x14:negativeFillColor rgb="FFFF0000"/>
              <x14:axisColor rgb="FF000000"/>
            </x14:dataBar>
          </x14:cfRule>
          <xm:sqref>K91:P95</xm:sqref>
        </x14:conditionalFormatting>
        <x14:conditionalFormatting xmlns:xm="http://schemas.microsoft.com/office/excel/2006/main">
          <x14:cfRule type="dataBar" id="{EA4A189E-E46C-499A-B8B9-6C3A8E70A77C}">
            <x14:dataBar minLength="0" maxLength="100" gradient="0">
              <x14:cfvo type="autoMin"/>
              <x14:cfvo type="autoMax"/>
              <x14:negativeFillColor rgb="FFFF0000"/>
              <x14:axisColor rgb="FF000000"/>
            </x14:dataBar>
          </x14:cfRule>
          <xm:sqref>K91:P96</xm:sqref>
        </x14:conditionalFormatting>
        <x14:conditionalFormatting xmlns:xm="http://schemas.microsoft.com/office/excel/2006/main">
          <x14:cfRule type="dataBar" id="{E8D170A6-E021-4723-B916-7860496207A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F9EEB60-D754-4792-99BD-7E99B0629317}">
            <x14:dataBar minLength="0" maxLength="100" gradient="0">
              <x14:cfvo type="autoMin"/>
              <x14:cfvo type="autoMax"/>
              <x14:negativeFillColor rgb="FFFF0000"/>
              <x14:axisColor rgb="FF000000"/>
            </x14:dataBar>
          </x14:cfRule>
          <x14:cfRule type="dataBar" id="{E5AF13D9-EEF8-4C4D-A643-79F926AB291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485B6F-D8D7-4E30-9AA1-22BF9EE1B109}">
            <x14:dataBar minLength="0" maxLength="100" gradient="0">
              <x14:cfvo type="autoMin"/>
              <x14:cfvo type="autoMax"/>
              <x14:negativeFillColor rgb="FFFF0000"/>
              <x14:axisColor rgb="FF000000"/>
            </x14:dataBar>
          </x14:cfRule>
          <xm:sqref>K96:P96</xm:sqref>
        </x14:conditionalFormatting>
        <x14:conditionalFormatting xmlns:xm="http://schemas.microsoft.com/office/excel/2006/main">
          <x14:cfRule type="dataBar" id="{C66DC9BD-26AA-4D07-A076-12032E264A69}">
            <x14:dataBar minLength="0" maxLength="100" gradient="0">
              <x14:cfvo type="autoMin"/>
              <x14:cfvo type="autoMax"/>
              <x14:negativeFillColor rgb="FFFF0000"/>
              <x14:axisColor rgb="FF000000"/>
            </x14:dataBar>
          </x14:cfRule>
          <x14:cfRule type="dataBar" id="{918BF07C-9A6E-4111-8450-FCAB62BF6B9A}">
            <x14:dataBar minLength="0" maxLength="100" gradient="0">
              <x14:cfvo type="autoMin"/>
              <x14:cfvo type="autoMax"/>
              <x14:negativeFillColor rgb="FFFF0000"/>
              <x14:axisColor rgb="FF000000"/>
            </x14:dataBar>
          </x14:cfRule>
          <x14:cfRule type="dataBar" id="{60778A5E-C2F6-4FC7-9380-C92E34C29A4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08BEF14-FD3B-4DCD-A59F-DA2DF75B5AEA}">
            <x14:dataBar minLength="0" maxLength="100" gradient="0">
              <x14:cfvo type="autoMin"/>
              <x14:cfvo type="autoMax"/>
              <x14:negativeFillColor rgb="FFFF0000"/>
              <x14:axisColor rgb="FF000000"/>
            </x14:dataBar>
          </x14:cfRule>
          <xm:sqref>K102:P106</xm:sqref>
        </x14:conditionalFormatting>
        <x14:conditionalFormatting xmlns:xm="http://schemas.microsoft.com/office/excel/2006/main">
          <x14:cfRule type="dataBar" id="{9C73C220-8E41-4D16-A2BD-1FE0ACBAB26F}">
            <x14:dataBar minLength="0" maxLength="100" gradient="0">
              <x14:cfvo type="autoMin"/>
              <x14:cfvo type="autoMax"/>
              <x14:negativeFillColor rgb="FFFF0000"/>
              <x14:axisColor rgb="FF000000"/>
            </x14:dataBar>
          </x14:cfRule>
          <xm:sqref>K102:P107</xm:sqref>
        </x14:conditionalFormatting>
        <x14:conditionalFormatting xmlns:xm="http://schemas.microsoft.com/office/excel/2006/main">
          <x14:cfRule type="dataBar" id="{07DDA2A6-9FB7-420D-9987-D2D37D60804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DB45028-4BDE-43E9-83C5-403FA703A275}">
            <x14:dataBar minLength="0" maxLength="100" gradient="0">
              <x14:cfvo type="autoMin"/>
              <x14:cfvo type="autoMax"/>
              <x14:negativeFillColor rgb="FFFF0000"/>
              <x14:axisColor rgb="FF000000"/>
            </x14:dataBar>
          </x14:cfRule>
          <x14:cfRule type="dataBar" id="{7E62E108-FDD1-4435-8B37-2167C20323D8}">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952CDFE-36EE-4839-AF28-F089F9597031}">
            <x14:dataBar minLength="0" maxLength="100" gradient="0">
              <x14:cfvo type="autoMin"/>
              <x14:cfvo type="autoMax"/>
              <x14:negativeFillColor rgb="FFFF0000"/>
              <x14:axisColor rgb="FF000000"/>
            </x14:dataBar>
          </x14:cfRule>
          <xm:sqref>K107:P107</xm:sqref>
        </x14:conditionalFormatting>
        <x14:conditionalFormatting xmlns:xm="http://schemas.microsoft.com/office/excel/2006/main">
          <x14:cfRule type="dataBar" id="{A72A1509-9597-4668-8B63-272096399DC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367EB00-13BF-4412-82C2-DDC7CDED43B0}">
            <x14:dataBar minLength="0" maxLength="100" gradient="0">
              <x14:cfvo type="autoMin"/>
              <x14:cfvo type="autoMax"/>
              <x14:negativeFillColor rgb="FFFF0000"/>
              <x14:axisColor rgb="FF000000"/>
            </x14:dataBar>
          </x14:cfRule>
          <x14:cfRule type="dataBar" id="{1D8E5373-6353-4DC5-B992-5453C66D6769}">
            <x14:dataBar minLength="0" maxLength="100" gradient="0">
              <x14:cfvo type="autoMin"/>
              <x14:cfvo type="autoMax"/>
              <x14:negativeFillColor rgb="FFFF0000"/>
              <x14:axisColor rgb="FF000000"/>
            </x14:dataBar>
          </x14:cfRule>
          <x14:cfRule type="dataBar" id="{D4095099-8B2A-438F-9E0D-E1883835B73D}">
            <x14:dataBar minLength="0" maxLength="100" gradient="0">
              <x14:cfvo type="autoMin"/>
              <x14:cfvo type="autoMax"/>
              <x14:negativeFillColor rgb="FFFF0000"/>
              <x14:axisColor rgb="FF000000"/>
            </x14:dataBar>
          </x14:cfRule>
          <xm:sqref>K113:P117</xm:sqref>
        </x14:conditionalFormatting>
        <x14:conditionalFormatting xmlns:xm="http://schemas.microsoft.com/office/excel/2006/main">
          <x14:cfRule type="dataBar" id="{1B01FC60-720C-4B42-9172-44BA096AF76C}">
            <x14:dataBar minLength="0" maxLength="100" gradient="0">
              <x14:cfvo type="autoMin"/>
              <x14:cfvo type="autoMax"/>
              <x14:negativeFillColor rgb="FFFF0000"/>
              <x14:axisColor rgb="FF000000"/>
            </x14:dataBar>
          </x14:cfRule>
          <xm:sqref>K113:P118</xm:sqref>
        </x14:conditionalFormatting>
        <x14:conditionalFormatting xmlns:xm="http://schemas.microsoft.com/office/excel/2006/main">
          <x14:cfRule type="dataBar" id="{3DC6BFEC-9117-43A2-B0CE-6E70BEB65F4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ACE5F2D-C9CD-4690-9FDD-96F9A1BCC0E6}">
            <x14:dataBar minLength="0" maxLength="100" gradient="0">
              <x14:cfvo type="autoMin"/>
              <x14:cfvo type="autoMax"/>
              <x14:negativeFillColor rgb="FFFF0000"/>
              <x14:axisColor rgb="FF000000"/>
            </x14:dataBar>
          </x14:cfRule>
          <x14:cfRule type="dataBar" id="{2407DD32-242A-423D-99FB-22EC7680A28C}">
            <x14:dataBar minLength="0" maxLength="100" gradient="0">
              <x14:cfvo type="autoMin"/>
              <x14:cfvo type="autoMax"/>
              <x14:negativeFillColor rgb="FFFF0000"/>
              <x14:axisColor rgb="FF000000"/>
            </x14:dataBar>
          </x14:cfRule>
          <x14:cfRule type="dataBar" id="{C5B11875-B861-4150-A006-DD03D8C72128}">
            <x14:dataBar minLength="0" maxLength="100" border="1" negativeBarBorderColorSameAsPositive="0">
              <x14:cfvo type="autoMin"/>
              <x14:cfvo type="autoMax"/>
              <x14:borderColor rgb="FF63C384"/>
              <x14:negativeFillColor rgb="FFFF0000"/>
              <x14:negativeBorderColor rgb="FFFF0000"/>
              <x14:axisColor rgb="FF000000"/>
            </x14:dataBar>
          </x14:cfRule>
          <xm:sqref>K118:P118</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L5:L12</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L18:L22</xm:sqref>
        </x14:conditionalFormatting>
        <x14:conditionalFormatting xmlns:xm="http://schemas.microsoft.com/office/excel/2006/main">
          <x14:cfRule type="dataBar" id="{3FD5C05E-17C9-4C15-975F-6B3262940C51}">
            <x14:dataBar minLength="0" maxLength="100" gradient="0">
              <x14:cfvo type="autoMin"/>
              <x14:cfvo type="autoMax"/>
              <x14:negativeFillColor rgb="FFFF0000"/>
              <x14:axisColor rgb="FF000000"/>
            </x14:dataBar>
          </x14:cfRule>
          <xm:sqref>L79:L83</xm:sqref>
        </x14:conditionalFormatting>
        <x14:conditionalFormatting xmlns:xm="http://schemas.microsoft.com/office/excel/2006/main">
          <x14:cfRule type="dataBar" id="{AA48F813-384D-442A-96B9-EBF19CCF737D}">
            <x14:dataBar minLength="0" maxLength="100" gradient="0">
              <x14:cfvo type="autoMin"/>
              <x14:cfvo type="autoMax"/>
              <x14:negativeFillColor rgb="FFFF0000"/>
              <x14:axisColor rgb="FF000000"/>
            </x14:dataBar>
          </x14:cfRule>
          <xm:sqref>L91:L95</xm:sqref>
        </x14:conditionalFormatting>
        <x14:conditionalFormatting xmlns:xm="http://schemas.microsoft.com/office/excel/2006/main">
          <x14:cfRule type="dataBar" id="{B649032B-13C0-46D1-8992-B7348EC635E3}">
            <x14:dataBar minLength="0" maxLength="100" gradient="0">
              <x14:cfvo type="autoMin"/>
              <x14:cfvo type="autoMax"/>
              <x14:negativeFillColor rgb="FFFF0000"/>
              <x14:axisColor rgb="FF000000"/>
            </x14:dataBar>
          </x14:cfRule>
          <xm:sqref>L102:L106</xm:sqref>
        </x14:conditionalFormatting>
        <x14:conditionalFormatting xmlns:xm="http://schemas.microsoft.com/office/excel/2006/main">
          <x14:cfRule type="dataBar" id="{E9C21A58-7EBE-40D1-B2C9-7E6A3C89B206}">
            <x14:dataBar minLength="0" maxLength="100" gradient="0">
              <x14:cfvo type="autoMin"/>
              <x14:cfvo type="autoMax"/>
              <x14:negativeFillColor rgb="FFFF0000"/>
              <x14:axisColor rgb="FF000000"/>
            </x14:dataBar>
          </x14:cfRule>
          <xm:sqref>L113:L117</xm:sqref>
        </x14:conditionalFormatting>
        <x14:conditionalFormatting xmlns:xm="http://schemas.microsoft.com/office/excel/2006/main">
          <x14:cfRule type="dataBar" id="{CF921376-951B-44A1-A35C-F489AA25CABD}">
            <x14:dataBar minLength="0" maxLength="100" gradient="0">
              <x14:cfvo type="autoMin"/>
              <x14:cfvo type="autoMax"/>
              <x14:negativeFillColor rgb="FFFF0000"/>
              <x14:axisColor rgb="FF000000"/>
            </x14:dataBar>
          </x14:cfRule>
          <xm:sqref>M11:M12</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M20:M22</xm:sqref>
        </x14:conditionalFormatting>
        <x14:conditionalFormatting xmlns:xm="http://schemas.microsoft.com/office/excel/2006/main">
          <x14:cfRule type="dataBar" id="{87CFC5A6-C8D1-4BEC-9BDC-94C0F28EA626}">
            <x14:dataBar minLength="0" maxLength="100" gradient="0">
              <x14:cfvo type="autoMin"/>
              <x14:cfvo type="autoMax"/>
              <x14:negativeFillColor rgb="FFFF0000"/>
              <x14:axisColor rgb="FF000000"/>
            </x14:dataBar>
          </x14:cfRule>
          <xm:sqref>M81:M83</xm:sqref>
        </x14:conditionalFormatting>
        <x14:conditionalFormatting xmlns:xm="http://schemas.microsoft.com/office/excel/2006/main">
          <x14:cfRule type="dataBar" id="{D20F76C7-9D19-46A4-8AC1-8B8BEA4FF07B}">
            <x14:dataBar minLength="0" maxLength="100" gradient="0">
              <x14:cfvo type="autoMin"/>
              <x14:cfvo type="autoMax"/>
              <x14:negativeFillColor rgb="FFFF0000"/>
              <x14:axisColor rgb="FF000000"/>
            </x14:dataBar>
          </x14:cfRule>
          <xm:sqref>M93:M95</xm:sqref>
        </x14:conditionalFormatting>
        <x14:conditionalFormatting xmlns:xm="http://schemas.microsoft.com/office/excel/2006/main">
          <x14:cfRule type="dataBar" id="{8B62AE49-6C2A-4E8B-9B29-4BA77A27CC10}">
            <x14:dataBar minLength="0" maxLength="100" gradient="0">
              <x14:cfvo type="autoMin"/>
              <x14:cfvo type="autoMax"/>
              <x14:negativeFillColor rgb="FFFF0000"/>
              <x14:axisColor rgb="FF000000"/>
            </x14:dataBar>
          </x14:cfRule>
          <xm:sqref>M104:M106</xm:sqref>
        </x14:conditionalFormatting>
        <x14:conditionalFormatting xmlns:xm="http://schemas.microsoft.com/office/excel/2006/main">
          <x14:cfRule type="dataBar" id="{4400607E-6CB6-4A4B-8626-96D3287D2F95}">
            <x14:dataBar minLength="0" maxLength="100" gradient="0">
              <x14:cfvo type="autoMin"/>
              <x14:cfvo type="autoMax"/>
              <x14:negativeFillColor rgb="FFFF0000"/>
              <x14:axisColor rgb="FF000000"/>
            </x14:dataBar>
          </x14:cfRule>
          <xm:sqref>M115:M117</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M5:P10</xm:sqref>
        </x14:conditionalFormatting>
        <x14:conditionalFormatting xmlns:xm="http://schemas.microsoft.com/office/excel/2006/main">
          <x14:cfRule type="dataBar" id="{13101FF6-2EA7-4030-B4D6-DA0DA1C2F6A6}">
            <x14:dataBar minLength="0" maxLength="100" gradient="0">
              <x14:cfvo type="autoMin"/>
              <x14:cfvo type="autoMax"/>
              <x14:negativeFillColor rgb="FFFF0000"/>
              <x14:axisColor rgb="FF000000"/>
            </x14:dataBar>
          </x14:cfRule>
          <xm:sqref>N11:N12</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N18:N22</xm:sqref>
        </x14:conditionalFormatting>
        <x14:conditionalFormatting xmlns:xm="http://schemas.microsoft.com/office/excel/2006/main">
          <x14:cfRule type="dataBar" id="{1CDC2016-D920-4D11-911E-E448660C0923}">
            <x14:dataBar minLength="0" maxLength="100" gradient="0">
              <x14:cfvo type="autoMin"/>
              <x14:cfvo type="autoMax"/>
              <x14:negativeFillColor rgb="FFFF0000"/>
              <x14:axisColor rgb="FF000000"/>
            </x14:dataBar>
          </x14:cfRule>
          <xm:sqref>N79:N83</xm:sqref>
        </x14:conditionalFormatting>
        <x14:conditionalFormatting xmlns:xm="http://schemas.microsoft.com/office/excel/2006/main">
          <x14:cfRule type="dataBar" id="{F58FE668-D973-415B-9CBD-3871CDA2203E}">
            <x14:dataBar minLength="0" maxLength="100" gradient="0">
              <x14:cfvo type="autoMin"/>
              <x14:cfvo type="autoMax"/>
              <x14:negativeFillColor rgb="FFFF0000"/>
              <x14:axisColor rgb="FF000000"/>
            </x14:dataBar>
          </x14:cfRule>
          <xm:sqref>N91:N95</xm:sqref>
        </x14:conditionalFormatting>
        <x14:conditionalFormatting xmlns:xm="http://schemas.microsoft.com/office/excel/2006/main">
          <x14:cfRule type="dataBar" id="{44FA3BEB-09B3-43A9-BB6B-1E93CE07E4F3}">
            <x14:dataBar minLength="0" maxLength="100" gradient="0">
              <x14:cfvo type="autoMin"/>
              <x14:cfvo type="autoMax"/>
              <x14:negativeFillColor rgb="FFFF0000"/>
              <x14:axisColor rgb="FF000000"/>
            </x14:dataBar>
          </x14:cfRule>
          <xm:sqref>N102:N106</xm:sqref>
        </x14:conditionalFormatting>
        <x14:conditionalFormatting xmlns:xm="http://schemas.microsoft.com/office/excel/2006/main">
          <x14:cfRule type="dataBar" id="{8BE8BC4C-563A-407A-A1D3-0E91CC4C45D2}">
            <x14:dataBar minLength="0" maxLength="100" gradient="0">
              <x14:cfvo type="autoMin"/>
              <x14:cfvo type="autoMax"/>
              <x14:negativeFillColor rgb="FFFF0000"/>
              <x14:axisColor rgb="FF000000"/>
            </x14:dataBar>
          </x14:cfRule>
          <xm:sqref>N113:N117</xm:sqref>
        </x14:conditionalFormatting>
        <x14:conditionalFormatting xmlns:xm="http://schemas.microsoft.com/office/excel/2006/main">
          <x14:cfRule type="dataBar" id="{1F18C40A-A33A-4D0B-B57F-47D9D6CF0D64}">
            <x14:dataBar minLength="0" maxLength="100" gradient="0">
              <x14:cfvo type="autoMin"/>
              <x14:cfvo type="autoMax"/>
              <x14:negativeFillColor rgb="FFFF0000"/>
              <x14:axisColor rgb="FF000000"/>
            </x14:dataBar>
          </x14:cfRule>
          <xm:sqref>O11:O12</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O18:O22</xm:sqref>
        </x14:conditionalFormatting>
        <x14:conditionalFormatting xmlns:xm="http://schemas.microsoft.com/office/excel/2006/main">
          <x14:cfRule type="dataBar" id="{9EB7C27E-4491-452B-B885-D6428E64085F}">
            <x14:dataBar minLength="0" maxLength="100" gradient="0">
              <x14:cfvo type="autoMin"/>
              <x14:cfvo type="autoMax"/>
              <x14:negativeFillColor rgb="FFFF0000"/>
              <x14:axisColor rgb="FF000000"/>
            </x14:dataBar>
          </x14:cfRule>
          <xm:sqref>O79:O83</xm:sqref>
        </x14:conditionalFormatting>
        <x14:conditionalFormatting xmlns:xm="http://schemas.microsoft.com/office/excel/2006/main">
          <x14:cfRule type="dataBar" id="{BD64FBA5-44BA-4623-A2AF-711E594A47A1}">
            <x14:dataBar minLength="0" maxLength="100" gradient="0">
              <x14:cfvo type="autoMin"/>
              <x14:cfvo type="autoMax"/>
              <x14:negativeFillColor rgb="FFFF0000"/>
              <x14:axisColor rgb="FF000000"/>
            </x14:dataBar>
          </x14:cfRule>
          <xm:sqref>O91:O95</xm:sqref>
        </x14:conditionalFormatting>
        <x14:conditionalFormatting xmlns:xm="http://schemas.microsoft.com/office/excel/2006/main">
          <x14:cfRule type="dataBar" id="{64FFAEB1-83E3-4A60-92D7-CADBA8CDA42E}">
            <x14:dataBar minLength="0" maxLength="100" gradient="0">
              <x14:cfvo type="autoMin"/>
              <x14:cfvo type="autoMax"/>
              <x14:negativeFillColor rgb="FFFF0000"/>
              <x14:axisColor rgb="FF000000"/>
            </x14:dataBar>
          </x14:cfRule>
          <xm:sqref>O102:O106</xm:sqref>
        </x14:conditionalFormatting>
        <x14:conditionalFormatting xmlns:xm="http://schemas.microsoft.com/office/excel/2006/main">
          <x14:cfRule type="dataBar" id="{8D769A9F-AB85-4D17-BC66-F70C4DAE617A}">
            <x14:dataBar minLength="0" maxLength="100" gradient="0">
              <x14:cfvo type="autoMin"/>
              <x14:cfvo type="autoMax"/>
              <x14:negativeFillColor rgb="FFFF0000"/>
              <x14:axisColor rgb="FF000000"/>
            </x14:dataBar>
          </x14:cfRule>
          <xm:sqref>O113:O117</xm:sqref>
        </x14:conditionalFormatting>
        <x14:conditionalFormatting xmlns:xm="http://schemas.microsoft.com/office/excel/2006/main">
          <x14:cfRule type="dataBar" id="{BA11135A-0895-4A01-87D0-A486C9D5843C}">
            <x14:dataBar minLength="0" maxLength="100" gradient="0">
              <x14:cfvo type="autoMin"/>
              <x14:cfvo type="autoMax"/>
              <x14:negativeFillColor rgb="FFFF0000"/>
              <x14:axisColor rgb="FF000000"/>
            </x14:dataBar>
          </x14:cfRule>
          <xm:sqref>P11:P12</xm:sqref>
        </x14:conditionalFormatting>
        <x14:conditionalFormatting xmlns:xm="http://schemas.microsoft.com/office/excel/2006/main">
          <x14:cfRule type="dataBar" id="{00154FAC-2C70-4EF2-A308-BA8404420986}">
            <x14:dataBar minLength="0" maxLength="100" gradient="0">
              <x14:cfvo type="autoMin"/>
              <x14:cfvo type="autoMax"/>
              <x14:negativeFillColor rgb="FFFF0000"/>
              <x14:axisColor rgb="FF000000"/>
            </x14:dataBar>
          </x14:cfRule>
          <xm:sqref>P18:P22</xm:sqref>
        </x14:conditionalFormatting>
        <x14:conditionalFormatting xmlns:xm="http://schemas.microsoft.com/office/excel/2006/main">
          <x14:cfRule type="dataBar" id="{A1AE97AD-5647-4F9F-A100-6C15C1895B18}">
            <x14:dataBar minLength="0" maxLength="100" gradient="0">
              <x14:cfvo type="autoMin"/>
              <x14:cfvo type="autoMax"/>
              <x14:negativeFillColor rgb="FFFF0000"/>
              <x14:axisColor rgb="FF000000"/>
            </x14:dataBar>
          </x14:cfRule>
          <xm:sqref>P18:P23</xm:sqref>
        </x14:conditionalFormatting>
        <x14:conditionalFormatting xmlns:xm="http://schemas.microsoft.com/office/excel/2006/main">
          <x14:cfRule type="dataBar" id="{657DE2C6-03A4-4EDE-99AD-798EB4DDA82C}">
            <x14:dataBar minLength="0" maxLength="100" gradient="0">
              <x14:cfvo type="autoMin"/>
              <x14:cfvo type="autoMax"/>
              <x14:negativeFillColor rgb="FFFF0000"/>
              <x14:axisColor rgb="FF000000"/>
            </x14:dataBar>
          </x14:cfRule>
          <x14:cfRule type="dataBar" id="{CA13E27F-6DDD-451D-9981-58C3F52DF064}">
            <x14:dataBar minLength="0" maxLength="100" gradient="0">
              <x14:cfvo type="autoMin"/>
              <x14:cfvo type="autoMax"/>
              <x14:negativeFillColor rgb="FFFF0000"/>
              <x14:axisColor rgb="FF000000"/>
            </x14:dataBar>
          </x14:cfRule>
          <x14:cfRule type="dataBar" id="{E25FCA19-5187-42DE-ACC0-FA124C43260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CB61C77-2C43-48F4-8A50-733EB85A1CEE}">
            <x14:dataBar minLength="0" maxLength="100" gradient="0">
              <x14:cfvo type="autoMin"/>
              <x14:cfvo type="autoMax"/>
              <x14:negativeFillColor rgb="FFFF0000"/>
              <x14:axisColor rgb="FF000000"/>
            </x14:dataBar>
          </x14:cfRule>
          <x14:cfRule type="dataBar" id="{44059659-321E-4F16-A91E-71EB67462F51}">
            <x14:dataBar minLength="0" maxLength="100" gradient="0">
              <x14:cfvo type="autoMin"/>
              <x14:cfvo type="autoMax"/>
              <x14:negativeFillColor rgb="FFFF0000"/>
              <x14:axisColor rgb="FF000000"/>
            </x14:dataBar>
          </x14:cfRule>
          <xm:sqref>P23</xm:sqref>
        </x14:conditionalFormatting>
        <x14:conditionalFormatting xmlns:xm="http://schemas.microsoft.com/office/excel/2006/main">
          <x14:cfRule type="dataBar" id="{3885E0B0-724D-4B6B-9767-D30679BB46AF}">
            <x14:dataBar minLength="0" maxLength="100" gradient="0">
              <x14:cfvo type="autoMin"/>
              <x14:cfvo type="autoMax"/>
              <x14:negativeFillColor rgb="FFFF0000"/>
              <x14:axisColor rgb="FF000000"/>
            </x14:dataBar>
          </x14:cfRule>
          <xm:sqref>P79:P83</xm:sqref>
        </x14:conditionalFormatting>
        <x14:conditionalFormatting xmlns:xm="http://schemas.microsoft.com/office/excel/2006/main">
          <x14:cfRule type="dataBar" id="{0DFC5819-59B6-486B-8536-9AA0A9B51E50}">
            <x14:dataBar minLength="0" maxLength="100" gradient="0">
              <x14:cfvo type="autoMin"/>
              <x14:cfvo type="autoMax"/>
              <x14:negativeFillColor rgb="FFFF0000"/>
              <x14:axisColor rgb="FF000000"/>
            </x14:dataBar>
          </x14:cfRule>
          <xm:sqref>P79:P84</xm:sqref>
        </x14:conditionalFormatting>
        <x14:conditionalFormatting xmlns:xm="http://schemas.microsoft.com/office/excel/2006/main">
          <x14:cfRule type="dataBar" id="{86A31851-BAA0-4C6B-A3EC-E343BD5D7F22}">
            <x14:dataBar minLength="0" maxLength="100" gradient="0">
              <x14:cfvo type="autoMin"/>
              <x14:cfvo type="autoMax"/>
              <x14:negativeFillColor rgb="FFFF0000"/>
              <x14:axisColor rgb="FF000000"/>
            </x14:dataBar>
          </x14:cfRule>
          <x14:cfRule type="dataBar" id="{F6832324-109F-4DBB-9245-289D68C4B7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A6C8E00-8D43-4841-847F-8F2A3B300A7A}">
            <x14:dataBar minLength="0" maxLength="100" gradient="0">
              <x14:cfvo type="autoMin"/>
              <x14:cfvo type="autoMax"/>
              <x14:negativeFillColor rgb="FFFF0000"/>
              <x14:axisColor rgb="FF000000"/>
            </x14:dataBar>
          </x14:cfRule>
          <x14:cfRule type="dataBar" id="{9994EF4D-689E-49D3-86FD-0E263AC1DECE}">
            <x14:dataBar minLength="0" maxLength="100" gradient="0">
              <x14:cfvo type="autoMin"/>
              <x14:cfvo type="autoMax"/>
              <x14:negativeFillColor rgb="FFFF0000"/>
              <x14:axisColor rgb="FF000000"/>
            </x14:dataBar>
          </x14:cfRule>
          <x14:cfRule type="dataBar" id="{1B2A451B-0CD0-420B-91AA-F8FD5665E609}">
            <x14:dataBar minLength="0" maxLength="100" gradient="0">
              <x14:cfvo type="autoMin"/>
              <x14:cfvo type="autoMax"/>
              <x14:negativeFillColor rgb="FFFF0000"/>
              <x14:axisColor rgb="FF000000"/>
            </x14:dataBar>
          </x14:cfRule>
          <xm:sqref>P84</xm:sqref>
        </x14:conditionalFormatting>
        <x14:conditionalFormatting xmlns:xm="http://schemas.microsoft.com/office/excel/2006/main">
          <x14:cfRule type="dataBar" id="{6CDF5691-9E0F-4858-A5E0-E46AFC8ACD1A}">
            <x14:dataBar minLength="0" maxLength="100" gradient="0">
              <x14:cfvo type="autoMin"/>
              <x14:cfvo type="autoMax"/>
              <x14:negativeFillColor rgb="FFFF0000"/>
              <x14:axisColor rgb="FF000000"/>
            </x14:dataBar>
          </x14:cfRule>
          <xm:sqref>P91:P95</xm:sqref>
        </x14:conditionalFormatting>
        <x14:conditionalFormatting xmlns:xm="http://schemas.microsoft.com/office/excel/2006/main">
          <x14:cfRule type="dataBar" id="{EE5869B2-6E78-429D-A97A-B1FBBFA4A5E7}">
            <x14:dataBar minLength="0" maxLength="100" gradient="0">
              <x14:cfvo type="autoMin"/>
              <x14:cfvo type="autoMax"/>
              <x14:negativeFillColor rgb="FFFF0000"/>
              <x14:axisColor rgb="FF000000"/>
            </x14:dataBar>
          </x14:cfRule>
          <xm:sqref>P91:P96</xm:sqref>
        </x14:conditionalFormatting>
        <x14:conditionalFormatting xmlns:xm="http://schemas.microsoft.com/office/excel/2006/main">
          <x14:cfRule type="dataBar" id="{BC21C5E9-0BC6-4A05-9F33-FED5BCFC5FA0}">
            <x14:dataBar minLength="0" maxLength="100" gradient="0">
              <x14:cfvo type="autoMin"/>
              <x14:cfvo type="autoMax"/>
              <x14:negativeFillColor rgb="FFFF0000"/>
              <x14:axisColor rgb="FF000000"/>
            </x14:dataBar>
          </x14:cfRule>
          <x14:cfRule type="dataBar" id="{1908CA22-4451-481D-93C2-6A812158CD59}">
            <x14:dataBar minLength="0" maxLength="100" gradient="0">
              <x14:cfvo type="autoMin"/>
              <x14:cfvo type="autoMax"/>
              <x14:negativeFillColor rgb="FFFF0000"/>
              <x14:axisColor rgb="FF000000"/>
            </x14:dataBar>
          </x14:cfRule>
          <x14:cfRule type="dataBar" id="{A8061CF3-96C3-4C44-A974-D8D034FFED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5DAB6C8B-3689-4E28-91F8-0EA417097206}">
            <x14:dataBar minLength="0" maxLength="100" gradient="0">
              <x14:cfvo type="autoMin"/>
              <x14:cfvo type="autoMax"/>
              <x14:negativeFillColor rgb="FFFF0000"/>
              <x14:axisColor rgb="FF000000"/>
            </x14:dataBar>
          </x14:cfRule>
          <x14:cfRule type="dataBar" id="{32B98C96-5C25-4FC4-9EB4-D201FA6E9BB3}">
            <x14:dataBar minLength="0" maxLength="100" gradient="0">
              <x14:cfvo type="autoMin"/>
              <x14:cfvo type="autoMax"/>
              <x14:negativeFillColor rgb="FFFF0000"/>
              <x14:axisColor rgb="FF000000"/>
            </x14:dataBar>
          </x14:cfRule>
          <xm:sqref>P96</xm:sqref>
        </x14:conditionalFormatting>
        <x14:conditionalFormatting xmlns:xm="http://schemas.microsoft.com/office/excel/2006/main">
          <x14:cfRule type="dataBar" id="{8AD6B0B5-D046-416E-855F-DF1C046F9866}">
            <x14:dataBar minLength="0" maxLength="100" gradient="0">
              <x14:cfvo type="autoMin"/>
              <x14:cfvo type="autoMax"/>
              <x14:negativeFillColor rgb="FFFF0000"/>
              <x14:axisColor rgb="FF000000"/>
            </x14:dataBar>
          </x14:cfRule>
          <xm:sqref>P102:P106</xm:sqref>
        </x14:conditionalFormatting>
        <x14:conditionalFormatting xmlns:xm="http://schemas.microsoft.com/office/excel/2006/main">
          <x14:cfRule type="dataBar" id="{B872DBF7-EC88-4A42-AD3F-BA64C336800B}">
            <x14:dataBar minLength="0" maxLength="100" gradient="0">
              <x14:cfvo type="autoMin"/>
              <x14:cfvo type="autoMax"/>
              <x14:negativeFillColor rgb="FFFF0000"/>
              <x14:axisColor rgb="FF000000"/>
            </x14:dataBar>
          </x14:cfRule>
          <xm:sqref>P102:P107</xm:sqref>
        </x14:conditionalFormatting>
        <x14:conditionalFormatting xmlns:xm="http://schemas.microsoft.com/office/excel/2006/main">
          <x14:cfRule type="dataBar" id="{44C21EFB-467B-4183-B7EC-E374602190E3}">
            <x14:dataBar minLength="0" maxLength="100" gradient="0">
              <x14:cfvo type="autoMin"/>
              <x14:cfvo type="autoMax"/>
              <x14:negativeFillColor rgb="FFFF0000"/>
              <x14:axisColor rgb="FF000000"/>
            </x14:dataBar>
          </x14:cfRule>
          <x14:cfRule type="dataBar" id="{0438EA1E-A315-4F89-9643-E70F65FC8D33}">
            <x14:dataBar minLength="0" maxLength="100" gradient="0">
              <x14:cfvo type="autoMin"/>
              <x14:cfvo type="autoMax"/>
              <x14:negativeFillColor rgb="FFFF0000"/>
              <x14:axisColor rgb="FF000000"/>
            </x14:dataBar>
          </x14:cfRule>
          <x14:cfRule type="dataBar" id="{4FEF2422-9D01-472C-8B22-005FF190331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7F3F644-2A93-4A93-8D5D-32DAC5FA698F}">
            <x14:dataBar minLength="0" maxLength="100" gradient="0">
              <x14:cfvo type="autoMin"/>
              <x14:cfvo type="autoMax"/>
              <x14:negativeFillColor rgb="FFFF0000"/>
              <x14:axisColor rgb="FF000000"/>
            </x14:dataBar>
          </x14:cfRule>
          <x14:cfRule type="dataBar" id="{AE63280A-36A1-4E95-995F-6F65F0D3F923}">
            <x14:dataBar minLength="0" maxLength="100" gradient="0">
              <x14:cfvo type="autoMin"/>
              <x14:cfvo type="autoMax"/>
              <x14:negativeFillColor rgb="FFFF0000"/>
              <x14:axisColor rgb="FF000000"/>
            </x14:dataBar>
          </x14:cfRule>
          <xm:sqref>P107</xm:sqref>
        </x14:conditionalFormatting>
        <x14:conditionalFormatting xmlns:xm="http://schemas.microsoft.com/office/excel/2006/main">
          <x14:cfRule type="dataBar" id="{290E73B1-9F8D-4EDF-8DF0-111020AD8146}">
            <x14:dataBar minLength="0" maxLength="100" gradient="0">
              <x14:cfvo type="autoMin"/>
              <x14:cfvo type="autoMax"/>
              <x14:negativeFillColor rgb="FFFF0000"/>
              <x14:axisColor rgb="FF000000"/>
            </x14:dataBar>
          </x14:cfRule>
          <xm:sqref>P113:P117</xm:sqref>
        </x14:conditionalFormatting>
        <x14:conditionalFormatting xmlns:xm="http://schemas.microsoft.com/office/excel/2006/main">
          <x14:cfRule type="dataBar" id="{5E59A263-A318-4F0E-BD86-E18E665B435F}">
            <x14:dataBar minLength="0" maxLength="100" gradient="0">
              <x14:cfvo type="autoMin"/>
              <x14:cfvo type="autoMax"/>
              <x14:negativeFillColor rgb="FFFF0000"/>
              <x14:axisColor rgb="FF000000"/>
            </x14:dataBar>
          </x14:cfRule>
          <xm:sqref>P113:P118</xm:sqref>
        </x14:conditionalFormatting>
        <x14:conditionalFormatting xmlns:xm="http://schemas.microsoft.com/office/excel/2006/main">
          <x14:cfRule type="dataBar" id="{6A5B3564-E2BB-41C2-87F0-B0BA7E35203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1112A5C-2B20-420C-A22A-D7A54D0D2B7F}">
            <x14:dataBar minLength="0" maxLength="100" gradient="0">
              <x14:cfvo type="autoMin"/>
              <x14:cfvo type="autoMax"/>
              <x14:negativeFillColor rgb="FFFF0000"/>
              <x14:axisColor rgb="FF000000"/>
            </x14:dataBar>
          </x14:cfRule>
          <x14:cfRule type="dataBar" id="{563B6F7F-0FEF-4955-AC65-6646A8683B5F}">
            <x14:dataBar minLength="0" maxLength="100" gradient="0">
              <x14:cfvo type="autoMin"/>
              <x14:cfvo type="autoMax"/>
              <x14:negativeFillColor rgb="FFFF0000"/>
              <x14:axisColor rgb="FF000000"/>
            </x14:dataBar>
          </x14:cfRule>
          <x14:cfRule type="dataBar" id="{19FE6244-6050-4E2B-8662-46A4B2C945D0}">
            <x14:dataBar minLength="0" maxLength="100" gradient="0">
              <x14:cfvo type="autoMin"/>
              <x14:cfvo type="autoMax"/>
              <x14:negativeFillColor rgb="FFFF0000"/>
              <x14:axisColor rgb="FF000000"/>
            </x14:dataBar>
          </x14:cfRule>
          <x14:cfRule type="dataBar" id="{AA4F2BFC-D01D-4FFF-A4FB-98F1E61083A1}">
            <x14:dataBar minLength="0" maxLength="100" gradient="0">
              <x14:cfvo type="autoMin"/>
              <x14:cfvo type="autoMax"/>
              <x14:negativeFillColor rgb="FFFF0000"/>
              <x14:axisColor rgb="FF000000"/>
            </x14:dataBar>
          </x14:cfRule>
          <xm:sqref>P118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75"/>
  <cols>
    <col min="1" max="1" width="27.140625" bestFit="1" customWidth="1"/>
  </cols>
  <sheetData>
    <row r="1" spans="1:1">
      <c r="A1" t="s">
        <v>227</v>
      </c>
    </row>
    <row r="2" spans="1:1">
      <c r="A2" t="s">
        <v>228</v>
      </c>
    </row>
    <row r="3" spans="1:1">
      <c r="A3" t="s">
        <v>229</v>
      </c>
    </row>
    <row r="4" spans="1:1">
      <c r="A4" t="s">
        <v>230</v>
      </c>
    </row>
    <row r="5" spans="1:1">
      <c r="A5" t="s">
        <v>231</v>
      </c>
    </row>
    <row r="6" spans="1:1">
      <c r="A6" s="10" t="s">
        <v>232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N74"/>
  <sheetViews>
    <sheetView showGridLines="0" topLeftCell="A5" zoomScale="91" zoomScaleNormal="90" workbookViewId="0">
      <selection activeCell="J28" sqref="J28"/>
    </sheetView>
  </sheetViews>
  <sheetFormatPr defaultColWidth="11.42578125" defaultRowHeight="12.75"/>
  <cols>
    <col min="1" max="1" width="0.42578125" customWidth="1"/>
    <col min="2" max="2" width="31.85546875" bestFit="1" customWidth="1"/>
    <col min="3" max="4" width="32.140625" customWidth="1"/>
    <col min="5" max="5" width="33.42578125" customWidth="1"/>
    <col min="6" max="6" width="33.85546875" customWidth="1"/>
    <col min="7" max="7" width="32.140625" customWidth="1"/>
    <col min="8" max="8" width="33.140625" hidden="1" customWidth="1"/>
    <col min="9" max="9" width="15.42578125" customWidth="1"/>
    <col min="10" max="10" width="10.85546875" customWidth="1"/>
  </cols>
  <sheetData>
    <row r="1" spans="2:14" ht="13.9">
      <c r="B1" s="189" t="s">
        <v>233</v>
      </c>
      <c r="C1" s="190" t="s">
        <v>234</v>
      </c>
      <c r="D1" s="1609" t="s">
        <v>191</v>
      </c>
      <c r="E1" s="1609"/>
      <c r="F1" s="1609"/>
      <c r="G1" s="1609"/>
      <c r="H1" s="1609"/>
    </row>
    <row r="2" spans="2:14" ht="81.75" customHeight="1">
      <c r="B2" s="191"/>
      <c r="C2" s="361" t="e" vm="3">
        <v>#VALUE!</v>
      </c>
      <c r="D2" s="1606" t="s">
        <v>235</v>
      </c>
      <c r="E2" s="1607"/>
      <c r="F2" s="1607"/>
      <c r="G2" s="1607"/>
      <c r="H2" s="1608"/>
    </row>
    <row r="3" spans="2:14" ht="81.75" customHeight="1">
      <c r="B3" s="191"/>
      <c r="C3" s="362" t="e" vm="6">
        <v>#VALUE!</v>
      </c>
      <c r="D3" s="1606" t="s">
        <v>236</v>
      </c>
      <c r="E3" s="1607"/>
      <c r="F3" s="1607"/>
      <c r="G3" s="1607"/>
      <c r="H3" s="1608"/>
    </row>
    <row r="4" spans="2:14" ht="81.75" customHeight="1">
      <c r="B4" s="191"/>
      <c r="C4" s="363" t="e" vm="4">
        <v>#VALUE!</v>
      </c>
      <c r="D4" s="1606" t="s">
        <v>237</v>
      </c>
      <c r="E4" s="1607"/>
      <c r="F4" s="1607"/>
      <c r="G4" s="1607"/>
      <c r="H4" s="1608"/>
    </row>
    <row r="5" spans="2:14" ht="81.75" customHeight="1">
      <c r="B5" s="191"/>
      <c r="C5" s="364" t="e" vm="5">
        <v>#VALUE!</v>
      </c>
      <c r="D5" s="1606" t="s">
        <v>238</v>
      </c>
      <c r="E5" s="1607"/>
      <c r="F5" s="1607"/>
      <c r="G5" s="1607"/>
      <c r="H5" s="1608"/>
    </row>
    <row r="6" spans="2:14" ht="81.75" hidden="1" customHeight="1">
      <c r="B6" s="191"/>
      <c r="C6" s="365"/>
      <c r="D6" s="1603" t="e" cm="1" vm="7">
        <f t="array" ref="D6">_FV(C6,"Description")</f>
        <v>#VALUE!</v>
      </c>
      <c r="E6" s="1604"/>
      <c r="F6" s="1604"/>
      <c r="G6" s="1604"/>
      <c r="H6" s="1605"/>
      <c r="L6" s="2"/>
    </row>
    <row r="7" spans="2:14" ht="13.15" thickBot="1">
      <c r="B7" s="10"/>
    </row>
    <row r="8" spans="2:14" ht="36" customHeight="1" thickBot="1">
      <c r="B8" s="188" t="s">
        <v>239</v>
      </c>
      <c r="C8" s="355" t="e" vm="1">
        <f>OP!E2</f>
        <v>#VALUE!</v>
      </c>
      <c r="D8" s="356" t="e" vm="3">
        <f>C2</f>
        <v>#VALUE!</v>
      </c>
      <c r="E8" s="357" t="e" vm="6">
        <f>C3</f>
        <v>#VALUE!</v>
      </c>
      <c r="F8" s="358" t="e" vm="4">
        <f>C4</f>
        <v>#VALUE!</v>
      </c>
      <c r="G8" s="582" t="e" vm="5">
        <f>C5</f>
        <v>#VALUE!</v>
      </c>
      <c r="H8" s="360">
        <f>C6</f>
        <v>0</v>
      </c>
      <c r="I8" s="184" t="s">
        <v>240</v>
      </c>
      <c r="J8" s="546" t="s">
        <v>241</v>
      </c>
    </row>
    <row r="9" spans="2:14" ht="16.5" customHeight="1" thickBot="1">
      <c r="B9" s="182" t="s">
        <v>242</v>
      </c>
      <c r="C9" s="166"/>
      <c r="D9" s="167"/>
      <c r="E9" s="167"/>
      <c r="F9" s="167"/>
      <c r="G9" s="167"/>
      <c r="H9" s="168"/>
      <c r="I9" s="169" t="str">
        <f>IFERROR(AVERAGE(C9:H9),"")</f>
        <v/>
      </c>
      <c r="J9" s="543"/>
      <c r="L9" s="1595" t="s">
        <v>243</v>
      </c>
      <c r="M9" s="1596"/>
      <c r="N9" s="1597"/>
    </row>
    <row r="10" spans="2:14" ht="13.5" customHeight="1" thickBot="1">
      <c r="B10" s="181" t="s">
        <v>244</v>
      </c>
      <c r="C10" s="164" cm="1">
        <f t="array" aca="1" ref="C10" ca="1">_FV(C8,"Market cap",TRUE)/1000000</f>
        <v>31590.957102</v>
      </c>
      <c r="D10" s="164" cm="1">
        <f t="array" aca="1" ref="D10" ca="1">_FV(D8,"Capitalização de mercado",TRUE)/1000000</f>
        <v>20721.255518000002</v>
      </c>
      <c r="E10" s="164" cm="1">
        <f t="array" aca="1" ref="E10" ca="1">_FV(E8,"Capitalização de mercado",TRUE)/1000000</f>
        <v>12416.823444</v>
      </c>
      <c r="F10" s="164" cm="1">
        <f t="array" aca="1" ref="F10" ca="1">_FV(F8,"Capitalização de mercado",TRUE)/1000000</f>
        <v>6733.1792269999996</v>
      </c>
      <c r="G10" s="164" cm="1">
        <f t="array" aca="1" ref="G10" ca="1">_FV(G8,"Capitalização de mercado",TRUE)/1000000</f>
        <v>5654.3672790000001</v>
      </c>
      <c r="H10" s="164" t="e" cm="1" vm="8">
        <f t="array" ref="H10">_FV(H8,"Capitalização de mercado",TRUE)/1000000</f>
        <v>#VALUE!</v>
      </c>
      <c r="I10" s="502">
        <f ca="1">IFERROR(AVERAGE(C10:G10),"")</f>
        <v>15423.316514</v>
      </c>
      <c r="J10" s="544">
        <f ca="1">_xlfn.STDEV.S(C10:G10)</f>
        <v>10833.404539614068</v>
      </c>
      <c r="L10" s="1598"/>
      <c r="M10" s="1593" t="s">
        <v>245</v>
      </c>
      <c r="N10" s="1594"/>
    </row>
    <row r="11" spans="2:14" ht="13.5" thickBot="1">
      <c r="B11" s="471" t="s">
        <v>246</v>
      </c>
      <c r="C11" s="472">
        <f>C56</f>
        <v>34714</v>
      </c>
      <c r="D11" s="472">
        <f t="shared" ref="D11:H11" si="0">D56</f>
        <v>18795.315999999999</v>
      </c>
      <c r="E11" s="472">
        <f t="shared" si="0"/>
        <v>18053</v>
      </c>
      <c r="F11" s="472">
        <f t="shared" si="0"/>
        <v>8799.5329999999994</v>
      </c>
      <c r="G11" s="472">
        <f t="shared" si="0"/>
        <v>21996</v>
      </c>
      <c r="H11" s="472">
        <f t="shared" si="0"/>
        <v>0</v>
      </c>
      <c r="I11" s="503">
        <f t="shared" ref="I11:I40" si="1">IFERROR(AVERAGE(C11:H11),"")</f>
        <v>17059.641499999998</v>
      </c>
      <c r="J11" s="544">
        <f>_xlfn.STDEV.S(C11:G11)</f>
        <v>9355.0314694364533</v>
      </c>
      <c r="L11" s="1598"/>
      <c r="M11" s="1593"/>
      <c r="N11" s="1594"/>
    </row>
    <row r="12" spans="2:14" ht="16.5" customHeight="1" thickBot="1">
      <c r="B12" s="182" t="s">
        <v>247</v>
      </c>
      <c r="C12" s="187"/>
      <c r="D12" s="187"/>
      <c r="E12" s="187"/>
      <c r="F12" s="187"/>
      <c r="G12" s="187"/>
      <c r="H12" s="187"/>
      <c r="I12" s="504" t="str">
        <f t="shared" si="1"/>
        <v/>
      </c>
      <c r="J12" s="545"/>
      <c r="L12" s="1592"/>
      <c r="M12" s="1593" t="s">
        <v>248</v>
      </c>
      <c r="N12" s="1594"/>
    </row>
    <row r="13" spans="2:14" ht="13.5" thickBot="1">
      <c r="B13" s="181" t="s">
        <v>249</v>
      </c>
      <c r="C13" s="482">
        <f>C56/C55-1</f>
        <v>-0.16375987666216996</v>
      </c>
      <c r="D13" s="482">
        <f t="shared" ref="D13:H13" si="2">D56/D55-1</f>
        <v>-0.15567553940397594</v>
      </c>
      <c r="E13" s="482">
        <f t="shared" si="2"/>
        <v>-0.14298599572751014</v>
      </c>
      <c r="F13" s="482">
        <f t="shared" si="2"/>
        <v>-1.2783782228290019E-2</v>
      </c>
      <c r="G13" s="482">
        <f t="shared" si="2"/>
        <v>-4.3194571316716668E-2</v>
      </c>
      <c r="H13" s="482" t="e">
        <f t="shared" si="2"/>
        <v>#DIV/0!</v>
      </c>
      <c r="I13" s="505">
        <f>AVERAGE(C13:G13)</f>
        <v>-0.10367995306773255</v>
      </c>
      <c r="J13" s="779">
        <f t="shared" ref="J13:J50" si="3">_xlfn.STDEV.S(C13:G13)</f>
        <v>7.0318380395837252E-2</v>
      </c>
      <c r="L13" s="1592"/>
      <c r="M13" s="1593"/>
      <c r="N13" s="1594"/>
    </row>
    <row r="14" spans="2:14" ht="13.5" thickBot="1">
      <c r="B14" s="473" t="s">
        <v>250</v>
      </c>
      <c r="C14" s="474">
        <f t="shared" ref="C14:H14" si="4">C56/C54-1</f>
        <v>0.72363455809334654</v>
      </c>
      <c r="D14" s="474">
        <f t="shared" si="4"/>
        <v>0.96035896442636681</v>
      </c>
      <c r="E14" s="474">
        <f t="shared" si="4"/>
        <v>1.0596691386195096</v>
      </c>
      <c r="F14" s="474">
        <f t="shared" si="4"/>
        <v>0.30755524714105698</v>
      </c>
      <c r="G14" s="474">
        <f t="shared" si="4"/>
        <v>3.1353637901861253</v>
      </c>
      <c r="H14" s="474" t="e">
        <f t="shared" si="4"/>
        <v>#DIV/0!</v>
      </c>
      <c r="I14" s="505">
        <f t="shared" ref="I14:I18" si="5">AVERAGE(C14:G14)</f>
        <v>1.2373163396932809</v>
      </c>
      <c r="J14" s="779">
        <f t="shared" si="3"/>
        <v>1.0999059848525756</v>
      </c>
      <c r="L14" s="1599"/>
      <c r="M14" s="1593" t="s">
        <v>251</v>
      </c>
      <c r="N14" s="1594"/>
    </row>
    <row r="15" spans="2:14" ht="13.5" thickBot="1">
      <c r="B15" s="483" t="s">
        <v>124</v>
      </c>
      <c r="C15" s="1079">
        <f>C59/C56</f>
        <v>0.17947802039522959</v>
      </c>
      <c r="D15" s="484">
        <f t="shared" ref="D15:H15" si="6">D59/D56</f>
        <v>0.16765778239642262</v>
      </c>
      <c r="E15" s="484">
        <f t="shared" si="6"/>
        <v>4.4258571982495984E-2</v>
      </c>
      <c r="F15" s="484">
        <f t="shared" si="6"/>
        <v>0.13206314471461159</v>
      </c>
      <c r="G15" s="484">
        <f t="shared" si="6"/>
        <v>3.0778323331514822E-2</v>
      </c>
      <c r="H15" s="484" t="e">
        <f t="shared" si="6"/>
        <v>#DIV/0!</v>
      </c>
      <c r="I15" s="505">
        <f t="shared" si="5"/>
        <v>0.11084716856405494</v>
      </c>
      <c r="J15" s="779">
        <f t="shared" si="3"/>
        <v>6.9341218771157495E-2</v>
      </c>
      <c r="L15" s="1600"/>
      <c r="M15" s="1601"/>
      <c r="N15" s="1602"/>
    </row>
    <row r="16" spans="2:14" ht="13.5" thickBot="1">
      <c r="B16" s="473" t="s">
        <v>252</v>
      </c>
      <c r="C16" s="1079">
        <f>C62/C56</f>
        <v>0.13034651725528607</v>
      </c>
      <c r="D16" s="474">
        <f t="shared" ref="D16:H16" si="7">D62/D56</f>
        <v>0.13039855249041837</v>
      </c>
      <c r="E16" s="474">
        <f t="shared" si="7"/>
        <v>5.6832659391790837E-2</v>
      </c>
      <c r="F16" s="474">
        <f t="shared" si="7"/>
        <v>9.7618816816756077E-2</v>
      </c>
      <c r="G16" s="474">
        <f t="shared" si="7"/>
        <v>1.8139661756683034E-2</v>
      </c>
      <c r="H16" s="474" t="e">
        <f t="shared" si="7"/>
        <v>#DIV/0!</v>
      </c>
      <c r="I16" s="505">
        <f t="shared" si="5"/>
        <v>8.6667241542186885E-2</v>
      </c>
      <c r="J16" s="779">
        <f t="shared" si="3"/>
        <v>4.8801575713325392E-2</v>
      </c>
    </row>
    <row r="17" spans="1:10" ht="13.5" thickBot="1">
      <c r="B17" s="483" t="s">
        <v>253</v>
      </c>
      <c r="C17" s="1080">
        <f>C62/C74</f>
        <v>0.21607968234032848</v>
      </c>
      <c r="D17" s="484">
        <f t="shared" ref="D17:H17" si="8">D62/D74</f>
        <v>0.28274030189258237</v>
      </c>
      <c r="E17" s="484">
        <f t="shared" si="8"/>
        <v>9.2875893907848284E-2</v>
      </c>
      <c r="F17" s="484">
        <f t="shared" si="8"/>
        <v>0.20843878621168938</v>
      </c>
      <c r="G17" s="484">
        <f t="shared" si="8"/>
        <v>4.9125831076089636E-2</v>
      </c>
      <c r="H17" s="484" t="e">
        <f t="shared" si="8"/>
        <v>#DIV/0!</v>
      </c>
      <c r="I17" s="505">
        <f t="shared" si="5"/>
        <v>0.16985209908570761</v>
      </c>
      <c r="J17" s="779">
        <f t="shared" si="3"/>
        <v>9.6007598867226901E-2</v>
      </c>
    </row>
    <row r="18" spans="1:10" ht="13.5" thickBot="1">
      <c r="B18" s="471" t="s">
        <v>254</v>
      </c>
      <c r="C18" s="1081">
        <f>(1+C61/(C59+C60))*C59/(C73+C74-C65)</f>
        <v>0.22789616152631148</v>
      </c>
      <c r="D18" s="475">
        <f t="shared" ref="D18:H18" si="9">(1+D61/(D59+D60))*D59/(D73+D74-D65)</f>
        <v>0.22964938395575571</v>
      </c>
      <c r="E18" s="475">
        <f t="shared" si="9"/>
        <v>5.5732665886523911E-2</v>
      </c>
      <c r="F18" s="475">
        <f t="shared" si="9"/>
        <v>0.18972140357942019</v>
      </c>
      <c r="G18" s="475">
        <f t="shared" si="9"/>
        <v>3.7672084076820635E-2</v>
      </c>
      <c r="H18" s="475" t="e">
        <f t="shared" si="9"/>
        <v>#DIV/0!</v>
      </c>
      <c r="I18" s="505">
        <f t="shared" si="5"/>
        <v>0.1481343398049664</v>
      </c>
      <c r="J18" s="779">
        <f t="shared" si="3"/>
        <v>9.4175519356244686E-2</v>
      </c>
    </row>
    <row r="19" spans="1:10" ht="15.4" thickBot="1">
      <c r="B19" s="182" t="s">
        <v>255</v>
      </c>
      <c r="C19" s="187"/>
      <c r="D19" s="187"/>
      <c r="E19" s="187"/>
      <c r="F19" s="187"/>
      <c r="G19" s="187"/>
      <c r="H19" s="187"/>
      <c r="I19" s="507" t="str">
        <f t="shared" si="1"/>
        <v/>
      </c>
      <c r="J19" s="545"/>
    </row>
    <row r="20" spans="1:10" ht="13.5" thickBot="1">
      <c r="B20" s="181" t="s">
        <v>71</v>
      </c>
      <c r="C20" s="485">
        <f>C73/C70</f>
        <v>0.19360741924986913</v>
      </c>
      <c r="D20" s="485">
        <f t="shared" ref="D20:H20" si="10">D73/D70</f>
        <v>0.20793618639668054</v>
      </c>
      <c r="E20" s="485">
        <f t="shared" si="10"/>
        <v>0.20321744657962937</v>
      </c>
      <c r="F20" s="485">
        <f t="shared" si="10"/>
        <v>0.17547439454841277</v>
      </c>
      <c r="G20" s="485">
        <f t="shared" si="10"/>
        <v>0.18201516793066089</v>
      </c>
      <c r="H20" s="485" t="e">
        <f t="shared" si="10"/>
        <v>#DIV/0!</v>
      </c>
      <c r="I20" s="505">
        <f t="shared" ref="I20:I22" si="11">AVERAGE(C20:G20)</f>
        <v>0.19245012294105052</v>
      </c>
      <c r="J20" s="779">
        <f t="shared" si="3"/>
        <v>1.3730954036096392E-2</v>
      </c>
    </row>
    <row r="21" spans="1:10" ht="13.5" thickBot="1">
      <c r="B21" s="473" t="s">
        <v>256</v>
      </c>
      <c r="C21" s="476">
        <f>(C73-C65)/C58</f>
        <v>6.1914971902460245E-2</v>
      </c>
      <c r="D21" s="477">
        <f t="shared" ref="D21:H21" si="12">(D73-D65)/D58</f>
        <v>0.47342438043067886</v>
      </c>
      <c r="E21" s="477">
        <f t="shared" si="12"/>
        <v>0.70437317784256559</v>
      </c>
      <c r="F21" s="477">
        <f t="shared" si="12"/>
        <v>0.41469262609672941</v>
      </c>
      <c r="G21" s="477">
        <f t="shared" si="12"/>
        <v>1.5667189952904239</v>
      </c>
      <c r="H21" s="477" t="e">
        <f t="shared" si="12"/>
        <v>#DIV/0!</v>
      </c>
      <c r="I21" s="505">
        <f t="shared" si="11"/>
        <v>0.64422483031257161</v>
      </c>
      <c r="J21" s="779">
        <f t="shared" si="3"/>
        <v>0.56470255572788453</v>
      </c>
    </row>
    <row r="22" spans="1:10" ht="13.5" thickBot="1">
      <c r="B22" s="486" t="s">
        <v>257</v>
      </c>
      <c r="C22" s="499">
        <f>-C58/C60</f>
        <v>-250.11821679265657</v>
      </c>
      <c r="D22" s="499">
        <f>-D58/D60</f>
        <v>46.924650907379323</v>
      </c>
      <c r="E22" s="499">
        <f t="shared" ref="E22:H22" si="13">-E58/E60</f>
        <v>-6.915322580645161</v>
      </c>
      <c r="F22" s="499">
        <f t="shared" si="13"/>
        <v>34.413836070476236</v>
      </c>
      <c r="G22" s="499">
        <f t="shared" si="13"/>
        <v>6.6124567474048446</v>
      </c>
      <c r="H22" s="499" t="e">
        <f t="shared" si="13"/>
        <v>#DIV/0!</v>
      </c>
      <c r="I22" s="505">
        <f t="shared" si="11"/>
        <v>-33.816519129608267</v>
      </c>
      <c r="J22" s="779">
        <f t="shared" si="3"/>
        <v>122.79975446618191</v>
      </c>
    </row>
    <row r="23" spans="1:10" ht="15.4" thickBot="1">
      <c r="B23" s="182" t="s">
        <v>258</v>
      </c>
      <c r="C23" s="187"/>
      <c r="D23" s="187"/>
      <c r="E23" s="187"/>
      <c r="F23" s="187"/>
      <c r="G23" s="187"/>
      <c r="H23" s="187"/>
      <c r="I23" s="508"/>
      <c r="J23" s="545"/>
    </row>
    <row r="24" spans="1:10" ht="13.5" thickBot="1">
      <c r="B24" s="478" t="s">
        <v>259</v>
      </c>
      <c r="C24" s="479">
        <f>C68/C72</f>
        <v>3.5663998990099053</v>
      </c>
      <c r="D24" s="479">
        <f t="shared" ref="D24:H24" si="14">D68/D72</f>
        <v>2.9103621495727818</v>
      </c>
      <c r="E24" s="479">
        <f t="shared" si="14"/>
        <v>1.758611955420466</v>
      </c>
      <c r="F24" s="479">
        <f t="shared" si="14"/>
        <v>3.7265649260294365</v>
      </c>
      <c r="G24" s="479">
        <f t="shared" si="14"/>
        <v>1.8916761687571266</v>
      </c>
      <c r="H24" s="479" t="e">
        <f t="shared" si="14"/>
        <v>#DIV/0!</v>
      </c>
      <c r="I24" s="505">
        <f t="shared" ref="I24:I25" si="15">AVERAGE(C24:G24)</f>
        <v>2.7707230197579431</v>
      </c>
      <c r="J24" s="779">
        <f t="shared" si="3"/>
        <v>0.91696874338020773</v>
      </c>
    </row>
    <row r="25" spans="1:10" ht="13.5" thickBot="1">
      <c r="B25" s="486" t="s">
        <v>260</v>
      </c>
      <c r="C25" s="487">
        <f>(C65+C66)/C72</f>
        <v>2.0321231208551076</v>
      </c>
      <c r="D25" s="487">
        <f t="shared" ref="D25:H25" si="16">(D65+D66)/D72</f>
        <v>1.2902281700092955</v>
      </c>
      <c r="E25" s="487">
        <f t="shared" si="16"/>
        <v>1.138804457953394</v>
      </c>
      <c r="F25" s="487">
        <f t="shared" si="16"/>
        <v>2.1720025980367752</v>
      </c>
      <c r="G25" s="487">
        <f t="shared" si="16"/>
        <v>0.58095781071835806</v>
      </c>
      <c r="H25" s="487" t="e">
        <f t="shared" si="16"/>
        <v>#DIV/0!</v>
      </c>
      <c r="I25" s="505">
        <f t="shared" si="15"/>
        <v>1.4428232315145859</v>
      </c>
      <c r="J25" s="779">
        <f t="shared" si="3"/>
        <v>0.65907161583096696</v>
      </c>
    </row>
    <row r="26" spans="1:10" ht="15.4" thickBot="1">
      <c r="B26" s="182" t="s">
        <v>261</v>
      </c>
      <c r="C26" s="187"/>
      <c r="D26" s="187"/>
      <c r="E26" s="187"/>
      <c r="F26" s="187"/>
      <c r="G26" s="187"/>
      <c r="H26" s="187"/>
      <c r="I26" s="508" t="str">
        <f t="shared" si="1"/>
        <v/>
      </c>
      <c r="J26" s="545"/>
    </row>
    <row r="27" spans="1:10" ht="13.5" thickBot="1">
      <c r="B27" s="478" t="s">
        <v>262</v>
      </c>
      <c r="C27" s="488">
        <f>C57/C67</f>
        <v>4.8226528212042101</v>
      </c>
      <c r="D27" s="479">
        <f t="shared" ref="D27:H27" si="17">D57/D67</f>
        <v>5.0954432204162741</v>
      </c>
      <c r="E27" s="479">
        <f t="shared" si="17"/>
        <v>7.426221804511278</v>
      </c>
      <c r="F27" s="479">
        <f t="shared" si="17"/>
        <v>6.7475274773026177</v>
      </c>
      <c r="G27" s="479">
        <f t="shared" si="17"/>
        <v>4.6199551569506729</v>
      </c>
      <c r="H27" s="479" t="e">
        <f t="shared" si="17"/>
        <v>#DIV/0!</v>
      </c>
      <c r="I27" s="505">
        <f t="shared" ref="I27:I31" si="18">AVERAGE(C27:G27)</f>
        <v>5.7423600960770109</v>
      </c>
      <c r="J27" s="779">
        <f t="shared" si="3"/>
        <v>1.2619337819646985</v>
      </c>
    </row>
    <row r="28" spans="1:10" ht="13.5" thickBot="1">
      <c r="B28" s="483" t="s">
        <v>263</v>
      </c>
      <c r="C28" s="487">
        <f>C56/C66</f>
        <v>11.754268938919383</v>
      </c>
      <c r="D28" s="487">
        <f t="shared" ref="D28:H28" si="19">D56/D66</f>
        <v>11.686398181441728</v>
      </c>
      <c r="E28" s="487">
        <f>E56/E66</f>
        <v>11.662144702842378</v>
      </c>
      <c r="F28" s="487">
        <f t="shared" si="19"/>
        <v>7.0951559283576975</v>
      </c>
      <c r="G28" s="487">
        <f>G56/G66</f>
        <v>11.954347826086957</v>
      </c>
      <c r="H28" s="487" t="e">
        <f t="shared" si="19"/>
        <v>#DIV/0!</v>
      </c>
      <c r="I28" s="505">
        <f t="shared" si="18"/>
        <v>10.830463115529628</v>
      </c>
      <c r="J28" s="779">
        <f t="shared" si="3"/>
        <v>2.0912539853055008</v>
      </c>
    </row>
    <row r="29" spans="1:10" ht="13.5" thickBot="1">
      <c r="A29" s="10" t="s">
        <v>264</v>
      </c>
      <c r="B29" s="473" t="s">
        <v>265</v>
      </c>
      <c r="C29" s="480">
        <f>C57/C71</f>
        <v>13.314722143850634</v>
      </c>
      <c r="D29" s="477">
        <f t="shared" ref="D29:H29" si="20">D57/D71</f>
        <v>13.55235360598348</v>
      </c>
      <c r="E29" s="477">
        <f t="shared" si="20"/>
        <v>5.2189564068692205</v>
      </c>
      <c r="F29" s="477">
        <f t="shared" si="20"/>
        <v>19.176206811383409</v>
      </c>
      <c r="G29" s="477">
        <f t="shared" si="20"/>
        <v>9.8165793234873746</v>
      </c>
      <c r="H29" s="477" t="e">
        <f t="shared" si="20"/>
        <v>#DIV/0!</v>
      </c>
      <c r="I29" s="505">
        <f t="shared" si="18"/>
        <v>12.215763658314824</v>
      </c>
      <c r="J29" s="779">
        <f t="shared" si="3"/>
        <v>5.1515373558434625</v>
      </c>
    </row>
    <row r="30" spans="1:10" ht="13.5" thickBot="1">
      <c r="B30" s="483" t="s">
        <v>266</v>
      </c>
      <c r="C30" s="487">
        <f>C56/C69</f>
        <v>3.1416038523878775</v>
      </c>
      <c r="D30" s="487">
        <f t="shared" ref="D30:H30" si="21">D56/D69</f>
        <v>2.7910168634279438</v>
      </c>
      <c r="E30" s="487">
        <f t="shared" si="21"/>
        <v>1.7370345424805158</v>
      </c>
      <c r="F30" s="487">
        <f t="shared" si="21"/>
        <v>1.9408621017078946</v>
      </c>
      <c r="G30" s="487">
        <f t="shared" si="21"/>
        <v>2.4728499156829677</v>
      </c>
      <c r="H30" s="487" t="e">
        <f t="shared" si="21"/>
        <v>#DIV/0!</v>
      </c>
      <c r="I30" s="505">
        <f t="shared" si="18"/>
        <v>2.4166734551374396</v>
      </c>
      <c r="J30" s="779">
        <f t="shared" si="3"/>
        <v>0.58247711512075717</v>
      </c>
    </row>
    <row r="31" spans="1:10" ht="13.5" thickBot="1">
      <c r="B31" s="471" t="s">
        <v>267</v>
      </c>
      <c r="C31" s="489">
        <f>C56/C70</f>
        <v>0.98227246360408027</v>
      </c>
      <c r="D31" s="489">
        <f t="shared" ref="D31:H31" si="22">D56/D70</f>
        <v>1.2607181713421005</v>
      </c>
      <c r="E31" s="489">
        <f t="shared" si="22"/>
        <v>0.88274412009192704</v>
      </c>
      <c r="F31" s="489">
        <f t="shared" si="22"/>
        <v>1.3254117203341298</v>
      </c>
      <c r="G31" s="489">
        <f t="shared" si="22"/>
        <v>1.2542624166048926</v>
      </c>
      <c r="H31" s="489" t="e">
        <f t="shared" si="22"/>
        <v>#DIV/0!</v>
      </c>
      <c r="I31" s="505">
        <f t="shared" si="18"/>
        <v>1.1410817783954261</v>
      </c>
      <c r="J31" s="779">
        <f t="shared" si="3"/>
        <v>0.19561377446396153</v>
      </c>
    </row>
    <row r="32" spans="1:10" ht="15.4" thickBot="1">
      <c r="B32" s="183" t="s">
        <v>111</v>
      </c>
      <c r="C32" s="187"/>
      <c r="D32" s="187"/>
      <c r="E32" s="187"/>
      <c r="F32" s="187"/>
      <c r="G32" s="187"/>
      <c r="H32" s="187"/>
      <c r="I32" s="509" t="str">
        <f t="shared" si="1"/>
        <v/>
      </c>
      <c r="J32" s="545"/>
    </row>
    <row r="33" spans="2:11" ht="13.5" thickBot="1">
      <c r="B33" s="181" t="s">
        <v>268</v>
      </c>
      <c r="C33" s="1082">
        <f ca="1">C10/C62</f>
        <v>6.9816599630175507</v>
      </c>
      <c r="D33" s="498">
        <f t="shared" ref="D33:H33" ca="1" si="23">D10/D62</f>
        <v>8.4546116532742097</v>
      </c>
      <c r="E33" s="498">
        <f t="shared" ca="1" si="23"/>
        <v>12.102167099415205</v>
      </c>
      <c r="F33" s="498">
        <f t="shared" ca="1" si="23"/>
        <v>7.8383925809080326</v>
      </c>
      <c r="G33" s="498">
        <f t="shared" ca="1" si="23"/>
        <v>14.171346563909774</v>
      </c>
      <c r="H33" s="498" t="e" vm="9">
        <f t="shared" si="23"/>
        <v>#VALUE!</v>
      </c>
      <c r="I33" s="505">
        <f t="shared" ref="I33:I37" ca="1" si="24">AVERAGE(C33:G33)</f>
        <v>9.9096355721049552</v>
      </c>
      <c r="J33" s="779">
        <f t="shared" ca="1" si="3"/>
        <v>3.0801606441986951</v>
      </c>
    </row>
    <row r="34" spans="2:11" ht="13.5" thickBot="1">
      <c r="B34" s="473" t="s">
        <v>264</v>
      </c>
      <c r="C34" s="481">
        <f ca="1">C10/C56</f>
        <v>0.91003506084000696</v>
      </c>
      <c r="D34" s="481">
        <f t="shared" ref="D34:H34" ca="1" si="25">D10/D56</f>
        <v>1.1024691214555797</v>
      </c>
      <c r="E34" s="481">
        <f t="shared" ca="1" si="25"/>
        <v>0.68779834066360157</v>
      </c>
      <c r="F34" s="481">
        <f t="shared" ca="1" si="25"/>
        <v>0.76517460949348104</v>
      </c>
      <c r="G34" s="481">
        <f t="shared" ca="1" si="25"/>
        <v>0.25706343330605563</v>
      </c>
      <c r="H34" s="481" t="e" vm="9">
        <f t="shared" si="25"/>
        <v>#VALUE!</v>
      </c>
      <c r="I34" s="505">
        <f t="shared" ca="1" si="24"/>
        <v>0.74450811315174492</v>
      </c>
      <c r="J34" s="779">
        <f t="shared" ca="1" si="3"/>
        <v>0.31495264412029367</v>
      </c>
    </row>
    <row r="35" spans="2:11" ht="13.5" thickBot="1">
      <c r="B35" s="483" t="s">
        <v>269</v>
      </c>
      <c r="C35" s="500">
        <f ca="1">C10/C74</f>
        <v>1.5085948670170217</v>
      </c>
      <c r="D35" s="500">
        <f t="shared" ref="D35:H35" ca="1" si="26">D10/D74</f>
        <v>2.3904594512312949</v>
      </c>
      <c r="E35" s="500">
        <f t="shared" ca="1" si="26"/>
        <v>1.1239995875803386</v>
      </c>
      <c r="F35" s="500">
        <f t="shared" ca="1" si="26"/>
        <v>1.6338250354151815</v>
      </c>
      <c r="G35" s="500">
        <f t="shared" ca="1" si="26"/>
        <v>0.69617917741935487</v>
      </c>
      <c r="H35" s="500" t="e" vm="9">
        <f t="shared" si="26"/>
        <v>#VALUE!</v>
      </c>
      <c r="I35" s="505">
        <f t="shared" ca="1" si="24"/>
        <v>1.4706116237326383</v>
      </c>
      <c r="J35" s="779">
        <f t="shared" ca="1" si="3"/>
        <v>0.63128576884519494</v>
      </c>
    </row>
    <row r="36" spans="2:11" ht="13.5" thickBot="1">
      <c r="B36" s="473" t="s">
        <v>270</v>
      </c>
      <c r="C36" s="481">
        <f ca="1">(C73+C10-C65)/C56</f>
        <v>0.92325402148988878</v>
      </c>
      <c r="D36" s="481">
        <f t="shared" ref="D36:G36" ca="1" si="27">(D73+D10-D65)/D56</f>
        <v>1.1928699958010818</v>
      </c>
      <c r="E36" s="481">
        <f t="shared" ca="1" si="27"/>
        <v>0.75471242696504748</v>
      </c>
      <c r="F36" s="481">
        <f t="shared" ca="1" si="27"/>
        <v>0.83025294944629446</v>
      </c>
      <c r="G36" s="481">
        <f t="shared" ca="1" si="27"/>
        <v>0.39317909069830881</v>
      </c>
      <c r="H36" s="481" t="e" vm="9">
        <f>(H73+H10-H65)/H56</f>
        <v>#VALUE!</v>
      </c>
      <c r="I36" s="505">
        <f t="shared" ca="1" si="24"/>
        <v>0.8188536968801241</v>
      </c>
      <c r="J36" s="779">
        <f t="shared" ca="1" si="3"/>
        <v>0.28992694573400168</v>
      </c>
    </row>
    <row r="37" spans="2:11" ht="13.5" thickBot="1">
      <c r="B37" s="486" t="s">
        <v>271</v>
      </c>
      <c r="C37" s="1083">
        <f ca="1">(C73+C10-C65)/C58</f>
        <v>4.3243374659633815</v>
      </c>
      <c r="D37" s="497">
        <f t="shared" ref="D37:H37" ca="1" si="28">(D73+D10-D65)/D58</f>
        <v>6.2469942108980678</v>
      </c>
      <c r="E37" s="497">
        <f t="shared" ca="1" si="28"/>
        <v>7.9445034658892135</v>
      </c>
      <c r="F37" s="497">
        <f t="shared" ca="1" si="28"/>
        <v>5.2905433079590187</v>
      </c>
      <c r="G37" s="497">
        <f t="shared" ca="1" si="28"/>
        <v>4.5255715745682892</v>
      </c>
      <c r="H37" s="497" t="e" vm="9">
        <f t="shared" si="28"/>
        <v>#VALUE!</v>
      </c>
      <c r="I37" s="505">
        <f t="shared" ca="1" si="24"/>
        <v>5.6663900050555949</v>
      </c>
      <c r="J37" s="779">
        <f t="shared" ca="1" si="3"/>
        <v>1.4807713051831368</v>
      </c>
    </row>
    <row r="38" spans="2:11" ht="15.4" thickBot="1">
      <c r="B38" s="183" t="s">
        <v>272</v>
      </c>
      <c r="C38" s="187"/>
      <c r="D38" s="187"/>
      <c r="E38" s="187"/>
      <c r="F38" s="187"/>
      <c r="G38" s="187"/>
      <c r="H38" s="187"/>
      <c r="I38" s="510" t="str">
        <f t="shared" si="1"/>
        <v/>
      </c>
      <c r="J38" s="545"/>
    </row>
    <row r="39" spans="2:11" ht="13.5" thickBot="1">
      <c r="B39" s="181" t="s">
        <v>47</v>
      </c>
      <c r="C39" s="501">
        <f>OP!M20</f>
        <v>0.99169967135754611</v>
      </c>
      <c r="D39" s="501">
        <f>143.93/154.3</f>
        <v>0.93279325988334416</v>
      </c>
      <c r="E39" s="501">
        <f>202.58/224.96</f>
        <v>0.90051564722617361</v>
      </c>
      <c r="F39" s="501">
        <f>114.03/114.99</f>
        <v>0.99165144795199589</v>
      </c>
      <c r="G39" s="501">
        <f>458.79/468.04</f>
        <v>0.98023673190325611</v>
      </c>
      <c r="H39" s="501"/>
      <c r="I39" s="505">
        <f t="shared" si="1"/>
        <v>0.95937935166446331</v>
      </c>
      <c r="J39" s="779">
        <f t="shared" si="3"/>
        <v>4.0905004433054559E-2</v>
      </c>
    </row>
    <row r="40" spans="2:11" ht="13.5" thickBot="1">
      <c r="B40" s="490" t="s">
        <v>273</v>
      </c>
      <c r="C40" s="491">
        <f ca="1">OP!M22</f>
        <v>1.7855000000000001</v>
      </c>
      <c r="D40" s="491">
        <v>1.97</v>
      </c>
      <c r="E40" s="491">
        <v>1.87</v>
      </c>
      <c r="F40" s="491">
        <v>1.1399999999999999</v>
      </c>
      <c r="G40" s="491">
        <v>1.97</v>
      </c>
      <c r="H40" s="491"/>
      <c r="I40" s="511">
        <f t="shared" ca="1" si="1"/>
        <v>1.7471000000000001</v>
      </c>
      <c r="J40" s="779">
        <f t="shared" ca="1" si="3"/>
        <v>0.34803670783410195</v>
      </c>
    </row>
    <row r="41" spans="2:11" ht="13.5" thickBot="1">
      <c r="B41" s="486" t="s">
        <v>274</v>
      </c>
      <c r="C41" s="495">
        <f ca="1">OP!M32</f>
        <v>1.628725582256656E-2</v>
      </c>
      <c r="D41" s="496">
        <v>0</v>
      </c>
      <c r="E41" s="496">
        <v>5.4000000000000003E-3</v>
      </c>
      <c r="F41" s="496">
        <v>1.3599999999999999E-2</v>
      </c>
      <c r="G41" s="496">
        <v>0</v>
      </c>
      <c r="H41" s="496"/>
      <c r="I41" s="506">
        <f ca="1">IFERROR(AVERAGE(C41:H41),"")</f>
        <v>7.057451164513312E-3</v>
      </c>
      <c r="J41" s="779">
        <f t="shared" ca="1" si="3"/>
        <v>7.5887518330137269E-3</v>
      </c>
    </row>
    <row r="42" spans="2:11" ht="15.4" thickBot="1">
      <c r="B42" s="183" t="s">
        <v>275</v>
      </c>
      <c r="C42" s="187"/>
      <c r="D42" s="187"/>
      <c r="E42" s="187"/>
      <c r="F42" s="187"/>
      <c r="G42" s="187"/>
      <c r="H42" s="187"/>
      <c r="I42" s="512"/>
      <c r="J42" s="545"/>
    </row>
    <row r="43" spans="2:11" ht="13.5" thickBot="1">
      <c r="B43" s="185" t="s">
        <v>276</v>
      </c>
      <c r="C43" s="585">
        <v>3.1099999999999999E-2</v>
      </c>
      <c r="D43" s="585">
        <v>0.21290000000000001</v>
      </c>
      <c r="E43" s="585">
        <v>0.1119</v>
      </c>
      <c r="F43" s="585">
        <v>0.2298</v>
      </c>
      <c r="G43" s="585">
        <v>-0.15040000000000001</v>
      </c>
      <c r="H43" s="585"/>
      <c r="I43" s="505">
        <f t="shared" ref="I43:I47" si="29">AVERAGE(C43:G43)</f>
        <v>8.7059999999999998E-2</v>
      </c>
      <c r="J43" s="779">
        <f t="shared" si="3"/>
        <v>0.15519843104877057</v>
      </c>
    </row>
    <row r="44" spans="2:11" ht="13.5" thickBot="1">
      <c r="B44" s="473" t="s">
        <v>277</v>
      </c>
      <c r="C44" s="586">
        <v>1.9314</v>
      </c>
      <c r="D44" s="586">
        <v>3.3340000000000001</v>
      </c>
      <c r="E44" s="586">
        <v>2.3127</v>
      </c>
      <c r="F44" s="586">
        <v>1.8309</v>
      </c>
      <c r="G44" s="586">
        <v>0.7964</v>
      </c>
      <c r="H44" s="586"/>
      <c r="I44" s="505">
        <f t="shared" si="29"/>
        <v>2.04108</v>
      </c>
      <c r="J44" s="779">
        <f t="shared" si="3"/>
        <v>0.91526679006724665</v>
      </c>
    </row>
    <row r="45" spans="2:11" ht="13.5" thickBot="1">
      <c r="B45" s="186" t="s">
        <v>278</v>
      </c>
      <c r="C45" s="612" cm="1">
        <f t="array" aca="1" ref="C45" ca="1">_FV(C8,"Price")</f>
        <v>137.63</v>
      </c>
      <c r="D45" s="612" cm="1">
        <f t="array" aca="1" ref="D45" ca="1">_FV(D8,"Preço")</f>
        <v>140.76499999999999</v>
      </c>
      <c r="E45" s="612" cm="1">
        <f t="array" aca="1" ref="E45" ca="1">_FV(E8,"Preço")</f>
        <v>54.84</v>
      </c>
      <c r="F45" s="612" cm="1">
        <f t="array" aca="1" ref="F45" ca="1">_FV(F8,"Preço")</f>
        <v>60.155000000000001</v>
      </c>
      <c r="G45" s="612" cm="1">
        <f t="array" aca="1" ref="G45" ca="1">_FV(G8,"Preço")</f>
        <v>11.43</v>
      </c>
      <c r="H45" s="612" t="e" cm="1" vm="10">
        <f t="array" ref="H45">_FV(H8,"Preço")</f>
        <v>#VALUE!</v>
      </c>
      <c r="I45" s="505">
        <f t="shared" ca="1" si="29"/>
        <v>80.963999999999999</v>
      </c>
      <c r="J45" s="779">
        <f t="shared" ca="1" si="3"/>
        <v>56.430599345567813</v>
      </c>
    </row>
    <row r="46" spans="2:11" ht="13.5" thickBot="1">
      <c r="B46" s="473" t="s">
        <v>279</v>
      </c>
      <c r="C46" s="1265">
        <v>166.47</v>
      </c>
      <c r="D46" s="1265">
        <v>132.30000000000001</v>
      </c>
      <c r="E46" s="1265">
        <v>41.87</v>
      </c>
      <c r="F46" s="1265">
        <v>63.42</v>
      </c>
      <c r="G46" s="1265">
        <v>14.61</v>
      </c>
      <c r="H46" s="492"/>
      <c r="I46" s="505">
        <f t="shared" si="29"/>
        <v>83.734000000000009</v>
      </c>
      <c r="J46" s="779">
        <f t="shared" si="3"/>
        <v>63.535979019764859</v>
      </c>
    </row>
    <row r="47" spans="2:11" ht="13.5" thickBot="1">
      <c r="B47" s="493" t="s">
        <v>280</v>
      </c>
      <c r="C47" s="494">
        <f ca="1">C46/C45-1</f>
        <v>0.20954733706314044</v>
      </c>
      <c r="D47" s="494">
        <f ca="1">D46/D45-1</f>
        <v>-6.0135687138137883E-2</v>
      </c>
      <c r="E47" s="494">
        <f t="shared" ref="E47:H47" ca="1" si="30">E46/E45-1</f>
        <v>-0.23650619985412114</v>
      </c>
      <c r="F47" s="494">
        <f t="shared" ca="1" si="30"/>
        <v>5.4276452497714178E-2</v>
      </c>
      <c r="G47" s="494">
        <f t="shared" ca="1" si="30"/>
        <v>0.27821522309711288</v>
      </c>
      <c r="H47" s="494" t="e" vm="9">
        <f t="shared" si="30"/>
        <v>#VALUE!</v>
      </c>
      <c r="I47" s="505">
        <f t="shared" ca="1" si="29"/>
        <v>4.9079425133141695E-2</v>
      </c>
      <c r="J47" s="779">
        <f t="shared" ca="1" si="3"/>
        <v>0.20722407178521846</v>
      </c>
    </row>
    <row r="48" spans="2:11" ht="15.4" thickBot="1">
      <c r="B48" s="183" t="s">
        <v>281</v>
      </c>
      <c r="C48" s="183"/>
      <c r="D48" s="183"/>
      <c r="E48" s="183"/>
      <c r="F48" s="183"/>
      <c r="G48" s="183"/>
      <c r="H48" s="183"/>
      <c r="I48" s="183" t="str">
        <f>IFERROR(AVERAGE(C48:H48),"")</f>
        <v/>
      </c>
      <c r="J48" s="538"/>
      <c r="K48" s="541"/>
    </row>
    <row r="49" spans="2:11" ht="13.5" thickBot="1">
      <c r="B49" s="185" t="s">
        <v>282</v>
      </c>
      <c r="C49" s="547">
        <f>(Inputs!B58-Inputs!E58)/Inputs!E58</f>
        <v>1.6370647780785346</v>
      </c>
      <c r="D49" s="408">
        <f>3519/987</f>
        <v>3.5653495440729484</v>
      </c>
      <c r="E49" s="408">
        <f>2100/138</f>
        <v>15.217391304347826</v>
      </c>
      <c r="F49" s="408">
        <f>7925.972/791.204</f>
        <v>10.017608606629896</v>
      </c>
      <c r="G49" s="408">
        <f>21996/5354</f>
        <v>4.108330220395966</v>
      </c>
      <c r="H49" s="408"/>
      <c r="I49" s="513">
        <f>IFERROR(AVERAGE(C49:H49),"")</f>
        <v>6.9091488907050351</v>
      </c>
      <c r="J49" s="779">
        <f t="shared" si="3"/>
        <v>5.6015592470864393</v>
      </c>
      <c r="K49" s="408"/>
    </row>
    <row r="50" spans="2:11" ht="13.5" thickBot="1">
      <c r="B50" s="539" t="s">
        <v>283</v>
      </c>
      <c r="C50" s="540">
        <f t="shared" ref="C50:H50" si="31">C63/C11</f>
        <v>3.8582416316183671E-3</v>
      </c>
      <c r="D50" s="540">
        <f t="shared" si="31"/>
        <v>0</v>
      </c>
      <c r="E50" s="540">
        <f t="shared" si="31"/>
        <v>0</v>
      </c>
      <c r="F50" s="540">
        <f t="shared" si="31"/>
        <v>0</v>
      </c>
      <c r="G50" s="540">
        <f t="shared" si="31"/>
        <v>0</v>
      </c>
      <c r="H50" s="540" t="e">
        <f t="shared" si="31"/>
        <v>#DIV/0!</v>
      </c>
      <c r="I50" s="505">
        <f>AVERAGE(C50:G50)</f>
        <v>7.7164832632367337E-4</v>
      </c>
      <c r="J50" s="779">
        <f t="shared" si="3"/>
        <v>1.725458112383674E-3</v>
      </c>
      <c r="K50" s="542"/>
    </row>
    <row r="51" spans="2:11" ht="13.15" thickBot="1"/>
    <row r="52" spans="2:11" ht="33" customHeight="1">
      <c r="B52" s="464" t="s">
        <v>284</v>
      </c>
      <c r="C52" s="355" t="e" vm="1">
        <f>OP!E2</f>
        <v>#VALUE!</v>
      </c>
      <c r="D52" s="356" t="e" vm="3">
        <f>D8</f>
        <v>#VALUE!</v>
      </c>
      <c r="E52" s="357" t="e" vm="6">
        <f>E8</f>
        <v>#VALUE!</v>
      </c>
      <c r="F52" s="358" t="e" vm="4">
        <f>F8</f>
        <v>#VALUE!</v>
      </c>
      <c r="G52" s="359" t="e" vm="5">
        <f>G8</f>
        <v>#VALUE!</v>
      </c>
      <c r="H52" s="583">
        <f>H8</f>
        <v>0</v>
      </c>
    </row>
    <row r="53" spans="2:11" ht="13.5" thickBot="1">
      <c r="B53" s="175" t="s">
        <v>285</v>
      </c>
      <c r="C53" s="176"/>
      <c r="D53" s="176"/>
      <c r="E53" s="176"/>
      <c r="F53" s="176"/>
      <c r="G53" s="176"/>
      <c r="H53" s="177"/>
    </row>
    <row r="54" spans="2:11" ht="13.5" thickBot="1">
      <c r="B54" s="170" t="s">
        <v>286</v>
      </c>
      <c r="C54" s="192">
        <f>'Fin. Data'!E5</f>
        <v>20140</v>
      </c>
      <c r="D54" s="165">
        <v>9587.6910000000007</v>
      </c>
      <c r="E54" s="165">
        <v>8765</v>
      </c>
      <c r="F54" s="165">
        <v>6729.76</v>
      </c>
      <c r="G54" s="165">
        <v>5319</v>
      </c>
      <c r="H54" s="173"/>
    </row>
    <row r="55" spans="2:11" ht="13.5" thickBot="1">
      <c r="B55" s="170" t="s">
        <v>287</v>
      </c>
      <c r="C55" s="192">
        <f>'Fin. Data'!C5</f>
        <v>41512</v>
      </c>
      <c r="D55" s="165">
        <v>22260.774000000001</v>
      </c>
      <c r="E55" s="165">
        <v>21065</v>
      </c>
      <c r="F55" s="165">
        <v>8913.4809999999998</v>
      </c>
      <c r="G55" s="165">
        <v>22989</v>
      </c>
      <c r="H55" s="173"/>
    </row>
    <row r="56" spans="2:11" ht="13.5" thickBot="1">
      <c r="B56" s="170" t="s">
        <v>246</v>
      </c>
      <c r="C56" s="192">
        <f>'Fin. Data'!B5</f>
        <v>34714</v>
      </c>
      <c r="D56" s="165">
        <v>18795.315999999999</v>
      </c>
      <c r="E56" s="165">
        <v>18053</v>
      </c>
      <c r="F56" s="165">
        <v>8799.5329999999994</v>
      </c>
      <c r="G56" s="165">
        <v>21996</v>
      </c>
      <c r="H56" s="173"/>
    </row>
    <row r="57" spans="2:11" ht="13.5" thickBot="1">
      <c r="B57" s="170" t="s">
        <v>288</v>
      </c>
      <c r="C57" s="192">
        <f>'Fin. Data'!B5-'Fin. Data'!B7</f>
        <v>26899.599999999999</v>
      </c>
      <c r="D57" s="165">
        <v>14749.433000000001</v>
      </c>
      <c r="E57" s="165">
        <v>15803</v>
      </c>
      <c r="F57" s="165">
        <v>6987.6180000000004</v>
      </c>
      <c r="G57" s="165">
        <v>20605</v>
      </c>
      <c r="H57" s="173"/>
    </row>
    <row r="58" spans="2:11" ht="13.5" thickBot="1">
      <c r="B58" s="170" t="s">
        <v>55</v>
      </c>
      <c r="C58" s="192">
        <f>'Fin. Data'!B19</f>
        <v>7411.5029999999997</v>
      </c>
      <c r="D58" s="165">
        <f>437.804+3151.181</f>
        <v>3588.9850000000001</v>
      </c>
      <c r="E58" s="165">
        <f>799+916</f>
        <v>1715</v>
      </c>
      <c r="F58" s="165">
        <f>F59+218.83</f>
        <v>1380.924</v>
      </c>
      <c r="G58" s="165">
        <v>1911</v>
      </c>
      <c r="H58" s="173"/>
    </row>
    <row r="59" spans="2:11" ht="13.5" thickBot="1">
      <c r="B59" s="170" t="s">
        <v>289</v>
      </c>
      <c r="C59" s="463">
        <f>'Fin. Data'!B11</f>
        <v>6230.4</v>
      </c>
      <c r="D59" s="165">
        <v>3151.181</v>
      </c>
      <c r="E59" s="165">
        <v>799</v>
      </c>
      <c r="F59" s="165">
        <f>1121.967+40.127</f>
        <v>1162.0940000000001</v>
      </c>
      <c r="G59" s="165">
        <v>677</v>
      </c>
      <c r="H59" s="173"/>
    </row>
    <row r="60" spans="2:11" ht="13.15">
      <c r="B60" s="170" t="s">
        <v>290</v>
      </c>
      <c r="C60" s="463">
        <f>'Fin. Data'!B14</f>
        <v>29.632000000000001</v>
      </c>
      <c r="D60" s="165">
        <v>-76.483999999999995</v>
      </c>
      <c r="E60" s="165">
        <v>248</v>
      </c>
      <c r="F60" s="354">
        <v>-40.127000000000002</v>
      </c>
      <c r="G60" s="165">
        <v>-289</v>
      </c>
      <c r="H60" s="173"/>
    </row>
    <row r="61" spans="2:11" ht="13.5" thickBot="1">
      <c r="B61" s="170" t="s">
        <v>291</v>
      </c>
      <c r="C61" s="463">
        <f>'Fin. Data'!B21</f>
        <v>-1359.9659999999999</v>
      </c>
      <c r="D61" s="165">
        <v>-751.61099999999999</v>
      </c>
      <c r="E61" s="165">
        <v>-152</v>
      </c>
      <c r="F61" s="165">
        <v>-262.20699999999999</v>
      </c>
      <c r="G61" s="165">
        <v>-148</v>
      </c>
      <c r="H61" s="173"/>
    </row>
    <row r="62" spans="2:11" ht="13.5" thickBot="1">
      <c r="B62" s="170" t="s">
        <v>67</v>
      </c>
      <c r="C62" s="463">
        <f>'Fin. Data'!B23</f>
        <v>4524.8490000000002</v>
      </c>
      <c r="D62" s="165">
        <v>2450.8820000000001</v>
      </c>
      <c r="E62" s="165">
        <v>1026</v>
      </c>
      <c r="F62" s="165">
        <v>859</v>
      </c>
      <c r="G62" s="165">
        <v>399</v>
      </c>
      <c r="H62" s="173"/>
    </row>
    <row r="63" spans="2:11" ht="13.5" thickBot="1">
      <c r="B63" s="170" t="s">
        <v>292</v>
      </c>
      <c r="C63" s="463">
        <v>133.935</v>
      </c>
      <c r="D63" s="165"/>
      <c r="E63" s="165"/>
      <c r="F63" s="165"/>
      <c r="G63" s="165"/>
      <c r="H63" s="173"/>
    </row>
    <row r="64" spans="2:11" ht="13.5" thickBot="1">
      <c r="B64" s="178" t="s">
        <v>293</v>
      </c>
      <c r="C64" s="179"/>
      <c r="D64" s="179"/>
      <c r="E64" s="179"/>
      <c r="F64" s="179"/>
      <c r="G64" s="179"/>
      <c r="H64" s="180"/>
    </row>
    <row r="65" spans="2:8" ht="13.5" thickBot="1">
      <c r="B65" s="170" t="s">
        <v>294</v>
      </c>
      <c r="C65" s="192">
        <f>'Fin. Data'!B41</f>
        <v>6383.3</v>
      </c>
      <c r="D65" s="165">
        <v>1400.8869999999999</v>
      </c>
      <c r="E65" s="165">
        <v>2948</v>
      </c>
      <c r="F65" s="165">
        <v>592.33199999999999</v>
      </c>
      <c r="G65" s="165">
        <v>198</v>
      </c>
      <c r="H65" s="173"/>
    </row>
    <row r="66" spans="2:8" ht="13.5" thickBot="1">
      <c r="B66" s="170" t="s">
        <v>295</v>
      </c>
      <c r="C66" s="192">
        <f>'Fin. Data'!B42</f>
        <v>2953.31</v>
      </c>
      <c r="D66" s="165">
        <f>1535.062+73.245</f>
        <v>1608.3069999999998</v>
      </c>
      <c r="E66" s="165">
        <f>1390+158</f>
        <v>1548</v>
      </c>
      <c r="F66" s="165">
        <v>1240.2170000000001</v>
      </c>
      <c r="G66" s="165">
        <v>1840</v>
      </c>
      <c r="H66" s="173"/>
    </row>
    <row r="67" spans="2:8" ht="13.5" thickBot="1">
      <c r="B67" s="170" t="s">
        <v>296</v>
      </c>
      <c r="C67" s="192">
        <f>'Fin. Data'!B43</f>
        <v>5577.76</v>
      </c>
      <c r="D67" s="165">
        <v>2894.6320000000001</v>
      </c>
      <c r="E67" s="165">
        <v>2128</v>
      </c>
      <c r="F67" s="165">
        <v>1035.5820000000001</v>
      </c>
      <c r="G67" s="165">
        <v>4460</v>
      </c>
      <c r="H67" s="173"/>
    </row>
    <row r="68" spans="2:8" ht="13.15">
      <c r="B68" s="170" t="s">
        <v>297</v>
      </c>
      <c r="C68" s="192">
        <f>Inputs!B27</f>
        <v>16385.86</v>
      </c>
      <c r="D68" s="165">
        <v>6787.826</v>
      </c>
      <c r="E68" s="165">
        <v>6943</v>
      </c>
      <c r="F68" s="165">
        <v>3144.1550000000002</v>
      </c>
      <c r="G68" s="165">
        <v>6636</v>
      </c>
      <c r="H68" s="173"/>
    </row>
    <row r="69" spans="2:8" ht="13.15">
      <c r="B69" s="170" t="s">
        <v>298</v>
      </c>
      <c r="C69" s="192">
        <f>'Fin. Data'!B44</f>
        <v>11049.77</v>
      </c>
      <c r="D69" s="165">
        <v>6734.2179999999998</v>
      </c>
      <c r="E69" s="165">
        <v>10393</v>
      </c>
      <c r="F69" s="165">
        <v>4533.8270000000002</v>
      </c>
      <c r="G69" s="165">
        <v>8895</v>
      </c>
      <c r="H69" s="173"/>
    </row>
    <row r="70" spans="2:8" ht="13.15">
      <c r="B70" s="170" t="s">
        <v>43</v>
      </c>
      <c r="C70" s="192">
        <f>'Fin. Data'!B46</f>
        <v>35340.5</v>
      </c>
      <c r="D70" s="165">
        <v>14908.42</v>
      </c>
      <c r="E70" s="165">
        <v>20451</v>
      </c>
      <c r="F70" s="165">
        <v>6639.0940000000001</v>
      </c>
      <c r="G70" s="165">
        <v>17537</v>
      </c>
      <c r="H70" s="173"/>
    </row>
    <row r="71" spans="2:8" ht="13.15">
      <c r="B71" s="170" t="s">
        <v>299</v>
      </c>
      <c r="C71" s="192">
        <f>Inputs!B43</f>
        <v>2020.29</v>
      </c>
      <c r="D71" s="165">
        <f>1078.645+9.685</f>
        <v>1088.33</v>
      </c>
      <c r="E71" s="165">
        <f>2889+139</f>
        <v>3028</v>
      </c>
      <c r="F71" s="165">
        <v>364.39</v>
      </c>
      <c r="G71" s="165">
        <v>2099</v>
      </c>
      <c r="H71" s="173"/>
    </row>
    <row r="72" spans="2:8" ht="13.5" thickBot="1">
      <c r="B72" s="170" t="s">
        <v>300</v>
      </c>
      <c r="C72" s="192">
        <f>Inputs!B42</f>
        <v>4594.51</v>
      </c>
      <c r="D72" s="165">
        <v>2332.2959999999998</v>
      </c>
      <c r="E72" s="165">
        <v>3948</v>
      </c>
      <c r="F72" s="165">
        <v>843.71400000000006</v>
      </c>
      <c r="G72" s="165">
        <v>3508</v>
      </c>
      <c r="H72" s="173"/>
    </row>
    <row r="73" spans="2:8" ht="13.5" thickBot="1">
      <c r="B73" s="170" t="s">
        <v>301</v>
      </c>
      <c r="C73" s="192">
        <f>'Fin. Data'!B63</f>
        <v>6842.183</v>
      </c>
      <c r="D73" s="165">
        <v>3100</v>
      </c>
      <c r="E73" s="165">
        <v>4156</v>
      </c>
      <c r="F73" s="165">
        <v>1164.991</v>
      </c>
      <c r="G73" s="165">
        <v>3192</v>
      </c>
      <c r="H73" s="173"/>
    </row>
    <row r="74" spans="2:8" ht="13.5" thickBot="1">
      <c r="B74" s="171" t="s">
        <v>302</v>
      </c>
      <c r="C74" s="193">
        <f>'Fin. Data'!B69</f>
        <v>20940.650000000001</v>
      </c>
      <c r="D74" s="172">
        <v>8668.3150000000005</v>
      </c>
      <c r="E74" s="172">
        <v>11047</v>
      </c>
      <c r="F74" s="172">
        <v>4121.1139999999996</v>
      </c>
      <c r="G74" s="172">
        <v>8122</v>
      </c>
      <c r="H74" s="174"/>
    </row>
  </sheetData>
  <mergeCells count="13">
    <mergeCell ref="D6:H6"/>
    <mergeCell ref="D4:H4"/>
    <mergeCell ref="D1:H1"/>
    <mergeCell ref="D2:H2"/>
    <mergeCell ref="D3:H3"/>
    <mergeCell ref="D5:H5"/>
    <mergeCell ref="L12:L13"/>
    <mergeCell ref="M12:N13"/>
    <mergeCell ref="L9:N9"/>
    <mergeCell ref="L10:L11"/>
    <mergeCell ref="L14:L15"/>
    <mergeCell ref="M14:N15"/>
    <mergeCell ref="M10:N1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E100"/>
  <sheetViews>
    <sheetView showGridLines="0" zoomScale="61" zoomScaleNormal="80" workbookViewId="0">
      <selection activeCell="N29" sqref="N29"/>
    </sheetView>
  </sheetViews>
  <sheetFormatPr defaultColWidth="11.42578125" defaultRowHeight="12.75"/>
  <cols>
    <col min="1" max="1" width="1.140625" style="69" customWidth="1"/>
    <col min="2" max="2" width="59.42578125" style="69" customWidth="1"/>
    <col min="3" max="4" width="12.85546875" style="69" customWidth="1"/>
    <col min="5" max="5" width="11.42578125" style="69" bestFit="1" customWidth="1"/>
    <col min="6" max="6" width="11" style="69" customWidth="1"/>
    <col min="7" max="7" width="10.42578125" style="69" customWidth="1"/>
    <col min="8" max="8" width="20.140625" style="452" customWidth="1"/>
    <col min="9" max="9" width="22.42578125" style="452" customWidth="1"/>
    <col min="10" max="10" width="64.140625" style="69" customWidth="1"/>
    <col min="11" max="11" width="34.85546875" style="69" bestFit="1" customWidth="1"/>
    <col min="12" max="12" width="21.140625" style="69" customWidth="1"/>
    <col min="13" max="13" width="19.85546875" style="69" customWidth="1"/>
    <col min="14" max="14" width="20.85546875" style="69" bestFit="1" customWidth="1"/>
    <col min="15" max="15" width="19.85546875" style="69" bestFit="1" customWidth="1"/>
    <col min="16" max="16" width="19.85546875" style="69" customWidth="1"/>
    <col min="17" max="17" width="22.140625" style="69" bestFit="1" customWidth="1"/>
    <col min="18" max="18" width="11.42578125" style="69" customWidth="1"/>
    <col min="19" max="19" width="10.42578125" style="69" customWidth="1"/>
    <col min="20" max="20" width="12.140625" style="69" bestFit="1" customWidth="1"/>
    <col min="21" max="21" width="15.42578125" style="69" customWidth="1"/>
    <col min="22" max="23" width="18.140625" style="69" bestFit="1" customWidth="1"/>
    <col min="24" max="24" width="17.140625" style="69" bestFit="1" customWidth="1"/>
    <col min="25" max="25" width="11.42578125" style="69"/>
    <col min="26" max="30" width="11.5703125" style="69" bestFit="1" customWidth="1"/>
    <col min="31" max="31" width="13" style="69" bestFit="1" customWidth="1"/>
    <col min="32" max="16384" width="11.42578125" style="69"/>
  </cols>
  <sheetData>
    <row r="1" spans="1:31" ht="13.15">
      <c r="B1" s="209" t="s">
        <v>303</v>
      </c>
      <c r="C1" s="73"/>
      <c r="D1" s="73"/>
      <c r="E1" s="73"/>
      <c r="F1" s="73"/>
      <c r="G1" s="73"/>
      <c r="H1" s="446"/>
      <c r="I1" s="446"/>
      <c r="J1" s="73"/>
      <c r="T1" s="83" t="s">
        <v>304</v>
      </c>
    </row>
    <row r="2" spans="1:31" ht="13.5" thickBot="1">
      <c r="B2" s="79" t="s">
        <v>305</v>
      </c>
      <c r="C2" s="210" t="s">
        <v>306</v>
      </c>
      <c r="D2" s="73"/>
      <c r="E2" s="73"/>
      <c r="F2" s="73"/>
      <c r="G2" s="73"/>
      <c r="H2" s="446"/>
      <c r="I2" s="446"/>
      <c r="J2" s="73"/>
      <c r="T2" s="83" t="s">
        <v>307</v>
      </c>
    </row>
    <row r="3" spans="1:31" ht="21" thickBot="1">
      <c r="B3" s="1611" t="s">
        <v>308</v>
      </c>
      <c r="C3" s="1611"/>
      <c r="D3" s="1611"/>
      <c r="E3" s="1611"/>
      <c r="F3" s="1611"/>
      <c r="G3" s="1611"/>
      <c r="H3" s="1611"/>
      <c r="I3" s="1611"/>
      <c r="J3" s="1611"/>
      <c r="K3" s="1612" t="s">
        <v>309</v>
      </c>
      <c r="L3" s="1612"/>
      <c r="M3" s="1612"/>
      <c r="N3" s="1612"/>
      <c r="O3" s="1612"/>
      <c r="P3" s="1612"/>
      <c r="Q3" s="1612"/>
    </row>
    <row r="4" spans="1:31" ht="30.4" thickBot="1">
      <c r="B4" s="200" t="s">
        <v>310</v>
      </c>
      <c r="C4" s="232" t="s">
        <v>311</v>
      </c>
      <c r="D4" s="232" t="s">
        <v>312</v>
      </c>
      <c r="E4" s="232" t="s">
        <v>313</v>
      </c>
      <c r="F4" s="232" t="s">
        <v>314</v>
      </c>
      <c r="G4" s="232" t="s">
        <v>315</v>
      </c>
      <c r="H4" s="201" t="s">
        <v>316</v>
      </c>
      <c r="I4" s="201" t="s">
        <v>317</v>
      </c>
      <c r="J4" s="202" t="s">
        <v>318</v>
      </c>
      <c r="K4" s="200" t="s">
        <v>310</v>
      </c>
      <c r="L4" s="233" t="e" vm="1">
        <f>Peers!C8</f>
        <v>#VALUE!</v>
      </c>
      <c r="M4" s="233" t="e" vm="3">
        <f>Peers!D8</f>
        <v>#VALUE!</v>
      </c>
      <c r="N4" s="233" t="e" vm="6">
        <f>Peers!E8</f>
        <v>#VALUE!</v>
      </c>
      <c r="O4" s="233" t="e" vm="4">
        <f>Peers!F8</f>
        <v>#VALUE!</v>
      </c>
      <c r="P4" s="233" t="e" vm="5">
        <f>Peers!G8</f>
        <v>#VALUE!</v>
      </c>
      <c r="Q4" s="233">
        <f>Peers!H8</f>
        <v>0</v>
      </c>
      <c r="R4" s="581" t="s">
        <v>240</v>
      </c>
    </row>
    <row r="5" spans="1:31" ht="14.25" thickBot="1">
      <c r="B5" s="211" t="s">
        <v>319</v>
      </c>
      <c r="C5" s="212"/>
      <c r="D5" s="213"/>
      <c r="E5" s="213"/>
      <c r="F5" s="213"/>
      <c r="G5" s="213"/>
      <c r="H5" s="447"/>
      <c r="I5" s="447"/>
      <c r="J5" s="214"/>
      <c r="K5" s="211" t="s">
        <v>320</v>
      </c>
      <c r="L5" s="213"/>
      <c r="M5" s="213"/>
      <c r="N5" s="213"/>
      <c r="O5" s="213"/>
      <c r="P5" s="214"/>
      <c r="Q5" s="214"/>
      <c r="R5" s="214"/>
    </row>
    <row r="6" spans="1:31" ht="17.649999999999999" thickBot="1">
      <c r="A6" s="69">
        <v>1</v>
      </c>
      <c r="B6" s="205" t="s">
        <v>321</v>
      </c>
      <c r="C6" s="203" t="str">
        <f>VLOOKUP($B$2,'Sector Impact'!$K$4:$AA$16,A6+1,FALSE)</f>
        <v>Very High</v>
      </c>
      <c r="D6" s="203"/>
      <c r="E6" s="203" t="s">
        <v>322</v>
      </c>
      <c r="F6" s="215"/>
      <c r="G6" s="286"/>
      <c r="H6" s="204"/>
      <c r="I6" s="204"/>
      <c r="J6" s="204"/>
      <c r="K6" s="205" t="s">
        <v>323</v>
      </c>
      <c r="L6" s="425">
        <f>L12/L$11</f>
        <v>195.88638589618023</v>
      </c>
      <c r="M6" s="425">
        <f t="shared" ref="M6:O6" si="0">M12/M$11</f>
        <v>109.41500399042299</v>
      </c>
      <c r="N6" s="425">
        <f t="shared" si="0"/>
        <v>1508.3365645599069</v>
      </c>
      <c r="O6" s="425">
        <f t="shared" si="0"/>
        <v>120.02170454545454</v>
      </c>
      <c r="P6" s="425">
        <f t="shared" ref="P6:Q9" si="1">P12/P$11</f>
        <v>1268.4124386252047</v>
      </c>
      <c r="Q6" s="425" t="e">
        <f t="shared" si="1"/>
        <v>#VALUE!</v>
      </c>
      <c r="R6" s="505">
        <f>IFERROR(AVERAGE(L6:P6),"")</f>
        <v>640.41441952343382</v>
      </c>
      <c r="Y6" s="83"/>
      <c r="Z6" s="83">
        <v>2018</v>
      </c>
      <c r="AA6" s="83">
        <v>2019</v>
      </c>
      <c r="AB6" s="83">
        <v>2020</v>
      </c>
      <c r="AC6" s="83">
        <v>2021</v>
      </c>
      <c r="AD6" s="83">
        <v>2022</v>
      </c>
      <c r="AE6" s="83">
        <v>2023</v>
      </c>
    </row>
    <row r="7" spans="1:31" s="73" customFormat="1" ht="17.649999999999999" thickBot="1">
      <c r="A7" s="73">
        <v>2</v>
      </c>
      <c r="B7" s="205" t="s">
        <v>324</v>
      </c>
      <c r="C7" s="203" t="str">
        <f>VLOOKUP($B$2,'Sector Impact'!$K$4:$AA$16,A7+1,FALSE)</f>
        <v>Very High</v>
      </c>
      <c r="D7" s="203"/>
      <c r="E7" s="203" t="s">
        <v>325</v>
      </c>
      <c r="F7" s="215"/>
      <c r="G7" s="286"/>
      <c r="H7" s="204"/>
      <c r="I7" s="204"/>
      <c r="J7" s="204"/>
      <c r="K7" s="205" t="s">
        <v>326</v>
      </c>
      <c r="L7" s="425">
        <f t="shared" ref="L7:O9" si="2">L13/L$11</f>
        <v>863.0523708014058</v>
      </c>
      <c r="M7" s="425">
        <f>M13/M$11</f>
        <v>971.90742218675177</v>
      </c>
      <c r="N7" s="425">
        <f>N14/N$11</f>
        <v>19081.814656843737</v>
      </c>
      <c r="O7" s="425">
        <f t="shared" si="2"/>
        <v>722.14170454545456</v>
      </c>
      <c r="P7" s="425">
        <f t="shared" si="1"/>
        <v>47.291189307146752</v>
      </c>
      <c r="Q7" s="425" t="e">
        <f t="shared" si="1"/>
        <v>#VALUE!</v>
      </c>
      <c r="R7" s="505">
        <f>IFERROR(AVERAGE(L7:P7),"")</f>
        <v>4337.2414687368992</v>
      </c>
      <c r="Y7" s="766" t="s">
        <v>327</v>
      </c>
      <c r="Z7" s="896">
        <v>22417073</v>
      </c>
      <c r="AA7" s="896">
        <v>21208537</v>
      </c>
      <c r="AB7" s="896">
        <v>21208537</v>
      </c>
      <c r="AC7" s="767">
        <v>12800000</v>
      </c>
      <c r="AD7" s="896">
        <v>11500000</v>
      </c>
      <c r="AE7" s="897">
        <f>6.8*10^6</f>
        <v>6800000</v>
      </c>
    </row>
    <row r="8" spans="1:31" ht="17.649999999999999" thickBot="1">
      <c r="A8" s="69">
        <v>3</v>
      </c>
      <c r="B8" s="205" t="s">
        <v>328</v>
      </c>
      <c r="C8" s="203" t="str">
        <f>VLOOKUP($B$2,'Sector Impact'!$K$4:$AA$16,A8+1,FALSE)</f>
        <v>Very High</v>
      </c>
      <c r="D8" s="203"/>
      <c r="E8" s="203" t="s">
        <v>322</v>
      </c>
      <c r="F8" s="215"/>
      <c r="G8" s="286"/>
      <c r="H8" s="204"/>
      <c r="I8" s="204"/>
      <c r="J8" s="204"/>
      <c r="K8" s="205" t="s">
        <v>329</v>
      </c>
      <c r="L8" s="425">
        <f t="shared" si="2"/>
        <v>3364.0029959094313</v>
      </c>
      <c r="M8" s="425">
        <f>M14/M$11</f>
        <v>2861.3269486565578</v>
      </c>
      <c r="N8" s="425">
        <f>N14/N$11</f>
        <v>19081.814656843737</v>
      </c>
      <c r="O8" s="425">
        <f t="shared" si="2"/>
        <v>2232.5109090909091</v>
      </c>
      <c r="P8" s="425">
        <f t="shared" si="1"/>
        <v>18392.533006001093</v>
      </c>
      <c r="Q8" s="425" t="e">
        <f t="shared" si="1"/>
        <v>#VALUE!</v>
      </c>
      <c r="R8" s="505">
        <f>IFERROR(AVERAGE(L8:P8),"")</f>
        <v>9186.4377033003457</v>
      </c>
      <c r="Y8" s="766" t="s">
        <v>330</v>
      </c>
      <c r="Z8" s="896">
        <v>25000000</v>
      </c>
      <c r="AA8" s="896">
        <v>27000000</v>
      </c>
      <c r="AB8" s="896">
        <v>27000000</v>
      </c>
      <c r="AC8" s="896">
        <v>28000000</v>
      </c>
      <c r="AD8" s="896">
        <v>31000000</v>
      </c>
      <c r="AE8" s="768">
        <v>29960000</v>
      </c>
    </row>
    <row r="9" spans="1:31" ht="17.649999999999999" thickBot="1">
      <c r="A9" s="69">
        <v>4</v>
      </c>
      <c r="B9" s="205" t="s">
        <v>331</v>
      </c>
      <c r="C9" s="203" t="str">
        <f>VLOOKUP($B$2,'Sector Impact'!$K$4:$AA$16,A9+1,FALSE)</f>
        <v>Very High</v>
      </c>
      <c r="D9" s="203"/>
      <c r="E9" s="203" t="s">
        <v>325</v>
      </c>
      <c r="F9" s="215"/>
      <c r="G9" s="286"/>
      <c r="H9" s="204"/>
      <c r="I9" s="204"/>
      <c r="J9" s="206"/>
      <c r="K9" s="205" t="s">
        <v>332</v>
      </c>
      <c r="L9" s="425">
        <f t="shared" si="2"/>
        <v>37.045572391542315</v>
      </c>
      <c r="M9" s="425">
        <f t="shared" si="2"/>
        <v>22.923277467411545</v>
      </c>
      <c r="N9" s="425">
        <f>N15/N$11</f>
        <v>126.84733839251093</v>
      </c>
      <c r="O9" s="425">
        <f t="shared" si="2"/>
        <v>116.60602272727273</v>
      </c>
      <c r="P9" s="425">
        <f t="shared" si="1"/>
        <v>99.061920349154391</v>
      </c>
      <c r="Q9" s="425" t="e">
        <f t="shared" si="1"/>
        <v>#VALUE!</v>
      </c>
      <c r="R9" s="505">
        <f>IFERROR(AVERAGE(L9:P9),"")</f>
        <v>80.496826265578378</v>
      </c>
      <c r="Y9" s="766" t="s">
        <v>333</v>
      </c>
      <c r="Z9" s="83">
        <v>120000000</v>
      </c>
      <c r="AA9" s="83">
        <v>112000000</v>
      </c>
      <c r="AB9" s="83">
        <v>112000000</v>
      </c>
      <c r="AC9" s="83" t="s">
        <v>334</v>
      </c>
      <c r="AD9" s="83" t="s">
        <v>334</v>
      </c>
      <c r="AE9" s="769">
        <v>116778000</v>
      </c>
    </row>
    <row r="10" spans="1:31" ht="14.25" thickBot="1">
      <c r="A10" s="69">
        <v>5</v>
      </c>
      <c r="B10" s="205" t="s">
        <v>335</v>
      </c>
      <c r="C10" s="203" t="str">
        <f>VLOOKUP($B$2,'Sector Impact'!$K$4:$AA$16,A10+1,FALSE)</f>
        <v>High</v>
      </c>
      <c r="D10" s="203"/>
      <c r="E10" s="203"/>
      <c r="F10" s="215"/>
      <c r="G10" s="286"/>
      <c r="H10" s="204"/>
      <c r="I10" s="204"/>
      <c r="J10" s="206"/>
      <c r="K10" s="211" t="s">
        <v>336</v>
      </c>
      <c r="L10" s="213"/>
      <c r="M10" s="213"/>
      <c r="N10" s="213"/>
      <c r="O10" s="213"/>
      <c r="P10" s="213"/>
      <c r="Q10" s="214"/>
      <c r="S10"/>
      <c r="V10" s="73"/>
      <c r="W10" s="73"/>
      <c r="X10" s="73"/>
      <c r="Y10" s="766" t="s">
        <v>337</v>
      </c>
      <c r="Z10" s="83"/>
      <c r="AA10" s="83"/>
      <c r="AB10" s="83"/>
      <c r="AC10" s="83"/>
      <c r="AD10" s="83"/>
      <c r="AE10" s="897">
        <v>1286000</v>
      </c>
    </row>
    <row r="11" spans="1:31" ht="14.25" thickBot="1">
      <c r="B11" s="211" t="s">
        <v>338</v>
      </c>
      <c r="C11" s="208"/>
      <c r="D11" s="208"/>
      <c r="E11" s="217"/>
      <c r="F11" s="217"/>
      <c r="G11" s="218"/>
      <c r="H11" s="448"/>
      <c r="I11" s="448"/>
      <c r="J11" s="219"/>
      <c r="K11" s="205" t="s">
        <v>339</v>
      </c>
      <c r="L11" s="672">
        <v>34714</v>
      </c>
      <c r="M11" s="672">
        <v>18795</v>
      </c>
      <c r="N11" s="672">
        <v>18053</v>
      </c>
      <c r="O11" s="672">
        <v>8800</v>
      </c>
      <c r="P11" s="672">
        <v>21996</v>
      </c>
      <c r="Q11" s="672" t="str">
        <f>"-"</f>
        <v>-</v>
      </c>
      <c r="S11"/>
    </row>
    <row r="12" spans="1:31" ht="13.15" thickBot="1">
      <c r="A12" s="69">
        <v>6</v>
      </c>
      <c r="B12" s="205" t="s">
        <v>340</v>
      </c>
      <c r="C12" s="203" t="str">
        <f>VLOOKUP($B$2,'Sector Impact'!$K$4:$AA$16,A12+1,FALSE)</f>
        <v>High</v>
      </c>
      <c r="D12" s="203"/>
      <c r="E12" s="203"/>
      <c r="F12" s="215"/>
      <c r="G12" s="290"/>
      <c r="H12" s="204"/>
      <c r="I12" s="204"/>
      <c r="J12" s="220"/>
      <c r="K12" s="205" t="s">
        <v>327</v>
      </c>
      <c r="L12" s="673">
        <f>6.8*10^6</f>
        <v>6800000</v>
      </c>
      <c r="M12" s="2">
        <v>2056455</v>
      </c>
      <c r="N12" s="673">
        <f>27.23*10^6</f>
        <v>27230000</v>
      </c>
      <c r="O12" s="2">
        <v>1056191</v>
      </c>
      <c r="P12" s="673">
        <f>27.9*10^6</f>
        <v>27900000</v>
      </c>
      <c r="Q12" s="770" t="str">
        <f>"-"</f>
        <v>-</v>
      </c>
      <c r="S12"/>
    </row>
    <row r="13" spans="1:31" ht="14.65" thickBot="1">
      <c r="A13" s="69">
        <v>7</v>
      </c>
      <c r="B13" s="205" t="s">
        <v>341</v>
      </c>
      <c r="C13" s="203" t="str">
        <f>VLOOKUP($B$2,'Sector Impact'!$K$4:$AA$16,A13+1,FALSE)</f>
        <v>High</v>
      </c>
      <c r="D13" s="203"/>
      <c r="E13" s="203"/>
      <c r="F13" s="221"/>
      <c r="G13" s="291"/>
      <c r="H13" s="204"/>
      <c r="I13" s="204"/>
      <c r="J13" s="222"/>
      <c r="K13" s="205" t="s">
        <v>330</v>
      </c>
      <c r="L13" s="760">
        <v>29960000</v>
      </c>
      <c r="M13" s="673">
        <v>18267000</v>
      </c>
      <c r="N13" s="764">
        <v>1162679000</v>
      </c>
      <c r="O13" s="673">
        <v>6354847</v>
      </c>
      <c r="P13" s="2">
        <v>1040217</v>
      </c>
      <c r="Q13" s="770" t="str">
        <f>"-"</f>
        <v>-</v>
      </c>
      <c r="S13"/>
    </row>
    <row r="14" spans="1:31" ht="14.65" thickBot="1">
      <c r="A14" s="69">
        <v>8</v>
      </c>
      <c r="B14" s="223" t="s">
        <v>342</v>
      </c>
      <c r="C14" s="203" t="str">
        <f>VLOOKUP($B$2,'Sector Impact'!$K$4:$AA$16,A14+1,FALSE)</f>
        <v>Medium</v>
      </c>
      <c r="D14" s="203"/>
      <c r="E14" s="203"/>
      <c r="F14" s="215"/>
      <c r="G14" s="465"/>
      <c r="H14" s="204"/>
      <c r="I14" s="204"/>
      <c r="J14" s="222"/>
      <c r="K14" s="758" t="s">
        <v>333</v>
      </c>
      <c r="L14" s="759">
        <v>116778000</v>
      </c>
      <c r="M14" s="353">
        <v>53778640</v>
      </c>
      <c r="N14" s="761">
        <v>344484000</v>
      </c>
      <c r="O14" s="2">
        <v>19646096</v>
      </c>
      <c r="P14" s="765">
        <v>404562156</v>
      </c>
      <c r="Q14" s="770" t="str">
        <f>"-"</f>
        <v>-</v>
      </c>
      <c r="S14"/>
    </row>
    <row r="15" spans="1:31" ht="13.15" thickBot="1">
      <c r="A15" s="69">
        <v>9</v>
      </c>
      <c r="B15" s="223" t="s">
        <v>343</v>
      </c>
      <c r="C15" s="203" t="str">
        <f>VLOOKUP($B$2,'Sector Impact'!$K$4:$AA$16,A15+1,FALSE)</f>
        <v>High</v>
      </c>
      <c r="D15" s="203"/>
      <c r="E15" s="203"/>
      <c r="F15" s="215" t="s">
        <v>304</v>
      </c>
      <c r="G15" s="216"/>
      <c r="H15" s="449"/>
      <c r="I15" s="449"/>
      <c r="J15" s="222"/>
      <c r="K15" s="205" t="s">
        <v>337</v>
      </c>
      <c r="L15" s="762">
        <v>1286000</v>
      </c>
      <c r="M15" s="765">
        <v>430843</v>
      </c>
      <c r="N15" s="2">
        <f>2087486+202489</f>
        <v>2289975</v>
      </c>
      <c r="O15" s="761">
        <v>1026133</v>
      </c>
      <c r="P15" s="757">
        <f>561933+1617033</f>
        <v>2178966</v>
      </c>
      <c r="Q15" s="770" t="str">
        <f>"-"</f>
        <v>-</v>
      </c>
      <c r="S15"/>
    </row>
    <row r="16" spans="1:31" ht="42" customHeight="1" thickBot="1">
      <c r="A16" s="69">
        <v>10</v>
      </c>
      <c r="B16" s="205" t="s">
        <v>344</v>
      </c>
      <c r="C16" s="203" t="str">
        <f>VLOOKUP($B$2,'Sector Impact'!$K$4:$AA$16,A16+1,FALSE)</f>
        <v>Low</v>
      </c>
      <c r="D16" s="203"/>
      <c r="E16" s="203"/>
      <c r="F16" s="215"/>
      <c r="G16" s="466"/>
      <c r="H16" s="204"/>
      <c r="I16" s="450"/>
      <c r="J16" s="222"/>
      <c r="K16" s="211" t="s">
        <v>345</v>
      </c>
      <c r="L16" s="674"/>
      <c r="M16" s="763"/>
      <c r="N16" s="674"/>
      <c r="O16" s="674"/>
      <c r="P16" s="675"/>
      <c r="Q16" s="675"/>
      <c r="S16"/>
    </row>
    <row r="17" spans="1:19" ht="13.15" thickBot="1">
      <c r="A17" s="69">
        <v>11</v>
      </c>
      <c r="B17" s="205" t="s">
        <v>346</v>
      </c>
      <c r="C17" s="203" t="str">
        <f>VLOOKUP($B$2,'Sector Impact'!$K$4:$AA$16,A17+1,FALSE)</f>
        <v>Very High</v>
      </c>
      <c r="D17" s="224"/>
      <c r="E17" s="224"/>
      <c r="F17" s="224"/>
      <c r="G17" s="286"/>
      <c r="H17" s="204"/>
      <c r="I17" s="450"/>
      <c r="J17" s="222"/>
      <c r="K17" s="205" t="s">
        <v>347</v>
      </c>
      <c r="L17" s="673" t="s">
        <v>348</v>
      </c>
      <c r="M17" s="673" t="s">
        <v>349</v>
      </c>
      <c r="N17" s="673" t="s">
        <v>350</v>
      </c>
      <c r="O17" s="673" t="s">
        <v>351</v>
      </c>
      <c r="P17" s="673" t="s">
        <v>352</v>
      </c>
      <c r="Q17" s="770" t="str">
        <f>"-"</f>
        <v>-</v>
      </c>
      <c r="S17"/>
    </row>
    <row r="18" spans="1:19">
      <c r="A18" s="69">
        <v>12</v>
      </c>
      <c r="B18" s="205" t="s">
        <v>353</v>
      </c>
      <c r="C18" s="203" t="str">
        <f>VLOOKUP($B$2,'Sector Impact'!$K$4:$AA$16,A18+1,FALSE)</f>
        <v>Medium</v>
      </c>
      <c r="D18" s="203"/>
      <c r="E18" s="203"/>
      <c r="F18" s="215"/>
      <c r="G18" s="216"/>
      <c r="H18" s="449"/>
      <c r="I18" s="449"/>
      <c r="J18" s="225"/>
      <c r="K18" s="205" t="s">
        <v>354</v>
      </c>
      <c r="L18" s="673" t="s">
        <v>355</v>
      </c>
      <c r="M18" s="673" t="s">
        <v>356</v>
      </c>
      <c r="N18" s="673" t="s">
        <v>357</v>
      </c>
      <c r="O18" s="673" t="s">
        <v>358</v>
      </c>
      <c r="P18" s="673" t="s">
        <v>359</v>
      </c>
      <c r="Q18" s="770" t="str">
        <f>"-"</f>
        <v>-</v>
      </c>
    </row>
    <row r="19" spans="1:19">
      <c r="A19" s="69">
        <v>13</v>
      </c>
      <c r="B19" s="205" t="s">
        <v>360</v>
      </c>
      <c r="C19" s="203" t="str">
        <f>VLOOKUP($B$2,'Sector Impact'!$K$4:$AA$16,A19+1,FALSE)</f>
        <v>Medium</v>
      </c>
      <c r="D19" s="203"/>
      <c r="E19" s="203"/>
      <c r="F19" s="215"/>
      <c r="G19" s="289"/>
      <c r="H19" s="204"/>
      <c r="I19" s="450"/>
      <c r="J19" s="222"/>
      <c r="K19" s="205" t="s">
        <v>361</v>
      </c>
      <c r="L19" s="673" t="s">
        <v>362</v>
      </c>
      <c r="M19" s="673" t="s">
        <v>362</v>
      </c>
      <c r="N19" s="673" t="s">
        <v>363</v>
      </c>
      <c r="O19" s="673" t="s">
        <v>364</v>
      </c>
      <c r="P19" s="673" t="s">
        <v>365</v>
      </c>
      <c r="Q19" s="770" t="str">
        <f>"-"</f>
        <v>-</v>
      </c>
    </row>
    <row r="20" spans="1:19">
      <c r="A20" s="69">
        <v>14</v>
      </c>
      <c r="B20" s="205" t="s">
        <v>366</v>
      </c>
      <c r="C20" s="203" t="str">
        <f>VLOOKUP($B$2,'Sector Impact'!$K$4:$AA$16,A20+1,FALSE)</f>
        <v>Very High</v>
      </c>
      <c r="D20" s="203"/>
      <c r="E20" s="203"/>
      <c r="F20" s="215"/>
      <c r="G20" s="216"/>
      <c r="H20" s="449"/>
      <c r="I20" s="449"/>
      <c r="J20" s="222"/>
      <c r="K20" s="205" t="s">
        <v>367</v>
      </c>
      <c r="L20" s="673" t="s">
        <v>368</v>
      </c>
      <c r="M20" s="673" t="s">
        <v>369</v>
      </c>
      <c r="N20" s="673" t="s">
        <v>370</v>
      </c>
      <c r="O20" s="673" t="s">
        <v>371</v>
      </c>
      <c r="P20" s="673" t="s">
        <v>372</v>
      </c>
      <c r="Q20" s="770" t="str">
        <f>"-"</f>
        <v>-</v>
      </c>
    </row>
    <row r="21" spans="1:19">
      <c r="A21" s="69">
        <v>15</v>
      </c>
      <c r="B21" s="205" t="s">
        <v>373</v>
      </c>
      <c r="C21" s="203" t="str">
        <f>VLOOKUP($B$2,'Sector Impact'!$K$4:$AA$16,A21+1,FALSE)</f>
        <v>High</v>
      </c>
      <c r="D21" s="203"/>
      <c r="E21" s="203"/>
      <c r="F21" s="215"/>
      <c r="G21" s="286"/>
      <c r="H21" s="204"/>
      <c r="I21" s="450"/>
      <c r="J21" s="222"/>
    </row>
    <row r="22" spans="1:19" ht="13.15" thickBot="1">
      <c r="A22" s="69">
        <v>16</v>
      </c>
      <c r="B22" s="205" t="s">
        <v>374</v>
      </c>
      <c r="C22" s="207" t="str">
        <f>VLOOKUP($B$2,'Sector Impact'!$K$4:$AA$16,A22+1,FALSE)</f>
        <v>Medium</v>
      </c>
      <c r="D22" s="203" t="s">
        <v>304</v>
      </c>
      <c r="E22" s="203"/>
      <c r="F22" s="215"/>
      <c r="G22" s="216"/>
      <c r="H22" s="449"/>
      <c r="I22" s="449"/>
      <c r="J22" s="206"/>
    </row>
    <row r="23" spans="1:19" ht="14.25" thickBot="1">
      <c r="B23" s="211" t="s">
        <v>375</v>
      </c>
      <c r="C23" s="226"/>
      <c r="D23" s="208"/>
      <c r="E23" s="217"/>
      <c r="F23" s="217"/>
      <c r="G23" s="218"/>
      <c r="H23" s="448"/>
      <c r="I23" s="448"/>
      <c r="J23" s="219"/>
      <c r="K23" s="1614" t="s">
        <v>376</v>
      </c>
      <c r="L23" s="1615"/>
      <c r="M23" s="1616"/>
    </row>
    <row r="24" spans="1:19" ht="13.5" thickBot="1">
      <c r="A24" s="69">
        <v>17</v>
      </c>
      <c r="B24" s="205" t="s">
        <v>377</v>
      </c>
      <c r="C24" s="227"/>
      <c r="D24" s="228"/>
      <c r="E24" s="221"/>
      <c r="F24" s="221"/>
      <c r="G24" s="289"/>
      <c r="H24" s="204"/>
      <c r="I24" s="450"/>
      <c r="J24" s="229"/>
      <c r="K24" s="252" t="s">
        <v>378</v>
      </c>
      <c r="L24" s="70" t="s">
        <v>379</v>
      </c>
      <c r="M24" s="71" t="s">
        <v>380</v>
      </c>
      <c r="O24" s="548" t="s">
        <v>243</v>
      </c>
    </row>
    <row r="25" spans="1:19" ht="15.75" customHeight="1" thickBot="1">
      <c r="A25" s="69">
        <v>18</v>
      </c>
      <c r="B25" s="205" t="s">
        <v>381</v>
      </c>
      <c r="C25" s="227"/>
      <c r="D25" s="228"/>
      <c r="E25" s="221"/>
      <c r="F25" s="221"/>
      <c r="G25" s="286"/>
      <c r="H25" s="204"/>
      <c r="I25" s="450"/>
      <c r="J25" s="222"/>
      <c r="K25" s="194" t="s">
        <v>382</v>
      </c>
      <c r="L25" s="195" t="s">
        <v>383</v>
      </c>
      <c r="M25" s="1617" t="s">
        <v>384</v>
      </c>
      <c r="O25" s="549"/>
    </row>
    <row r="26" spans="1:19" ht="15.75" customHeight="1" thickBot="1">
      <c r="A26" s="69">
        <v>19</v>
      </c>
      <c r="B26" s="205" t="s">
        <v>385</v>
      </c>
      <c r="C26" s="227"/>
      <c r="D26" s="228"/>
      <c r="E26" s="221"/>
      <c r="F26" s="221"/>
      <c r="G26" s="286"/>
      <c r="H26" s="204"/>
      <c r="I26" s="450"/>
      <c r="J26" s="229"/>
      <c r="K26" s="194" t="s">
        <v>322</v>
      </c>
      <c r="L26" s="195" t="s">
        <v>325</v>
      </c>
      <c r="M26" s="1618"/>
      <c r="O26" s="550"/>
    </row>
    <row r="27" spans="1:19" ht="13.15" thickBot="1">
      <c r="A27" s="69">
        <v>20</v>
      </c>
      <c r="B27" s="205" t="s">
        <v>386</v>
      </c>
      <c r="C27" s="227"/>
      <c r="D27" s="228"/>
      <c r="E27" s="221"/>
      <c r="F27" s="221"/>
      <c r="G27" s="286"/>
      <c r="H27" s="204"/>
      <c r="I27" s="450"/>
      <c r="J27" s="229"/>
      <c r="K27" s="196" t="s">
        <v>387</v>
      </c>
      <c r="L27" s="197" t="s">
        <v>322</v>
      </c>
      <c r="M27" s="1618"/>
      <c r="O27" s="551"/>
    </row>
    <row r="28" spans="1:19" ht="13.15" thickBot="1">
      <c r="A28" s="69">
        <v>21</v>
      </c>
      <c r="B28" s="205" t="s">
        <v>388</v>
      </c>
      <c r="C28" s="227"/>
      <c r="D28" s="228"/>
      <c r="E28" s="221"/>
      <c r="F28" s="221"/>
      <c r="G28" s="289"/>
      <c r="H28" s="204"/>
      <c r="I28" s="450"/>
      <c r="J28" s="222"/>
      <c r="K28" s="198" t="s">
        <v>389</v>
      </c>
      <c r="L28" s="199" t="s">
        <v>390</v>
      </c>
      <c r="M28" s="1619"/>
    </row>
    <row r="29" spans="1:19" ht="13.15" thickBot="1">
      <c r="A29" s="69">
        <v>22</v>
      </c>
      <c r="B29" s="205" t="s">
        <v>391</v>
      </c>
      <c r="C29" s="227"/>
      <c r="D29" s="228"/>
      <c r="E29" s="221"/>
      <c r="F29" s="221"/>
      <c r="G29" s="289"/>
      <c r="H29" s="204"/>
      <c r="I29" s="450"/>
      <c r="J29" s="222"/>
    </row>
    <row r="30" spans="1:19" ht="26.25" customHeight="1" thickBot="1">
      <c r="A30" s="69">
        <v>23</v>
      </c>
      <c r="B30" s="205" t="s">
        <v>392</v>
      </c>
      <c r="C30" s="227"/>
      <c r="D30" s="228"/>
      <c r="E30" s="221"/>
      <c r="F30" s="221"/>
      <c r="G30" s="289"/>
      <c r="H30" s="204"/>
      <c r="I30" s="450"/>
      <c r="J30" s="229"/>
    </row>
    <row r="31" spans="1:19" ht="20.25" customHeight="1" thickBot="1">
      <c r="A31" s="69">
        <v>24</v>
      </c>
      <c r="B31" s="230" t="s">
        <v>393</v>
      </c>
      <c r="C31" s="227"/>
      <c r="D31" s="228"/>
      <c r="E31" s="221"/>
      <c r="F31" s="221"/>
      <c r="G31" s="289"/>
      <c r="H31" s="204"/>
      <c r="I31" s="450"/>
      <c r="J31" s="220"/>
      <c r="L31" s="536"/>
    </row>
    <row r="32" spans="1:19" ht="13.5" customHeight="1" thickBot="1">
      <c r="A32" s="69">
        <v>25</v>
      </c>
      <c r="B32" s="205" t="s">
        <v>394</v>
      </c>
      <c r="C32" s="227"/>
      <c r="D32" s="221"/>
      <c r="E32" s="221"/>
      <c r="F32" s="221"/>
      <c r="G32" s="286"/>
      <c r="H32" s="204"/>
      <c r="I32" s="450"/>
      <c r="J32" s="222"/>
      <c r="L32" s="537"/>
    </row>
    <row r="33" spans="1:27" ht="13.5" customHeight="1" thickBot="1">
      <c r="A33" s="69">
        <v>26</v>
      </c>
      <c r="B33" s="205" t="s">
        <v>395</v>
      </c>
      <c r="C33" s="227"/>
      <c r="D33" s="221"/>
      <c r="E33" s="221"/>
      <c r="F33" s="221"/>
      <c r="G33" s="289"/>
      <c r="H33" s="204"/>
      <c r="I33" s="450"/>
      <c r="J33" s="222"/>
      <c r="L33" s="287"/>
      <c r="N33" s="287"/>
    </row>
    <row r="34" spans="1:27" ht="13.5" customHeight="1" thickBot="1">
      <c r="A34" s="69">
        <v>27</v>
      </c>
      <c r="B34" s="205" t="s">
        <v>396</v>
      </c>
      <c r="C34" s="227"/>
      <c r="D34" s="231"/>
      <c r="E34" s="221"/>
      <c r="F34" s="221"/>
      <c r="G34" s="289"/>
      <c r="H34" s="204"/>
      <c r="I34" s="450"/>
      <c r="J34" s="222"/>
      <c r="L34" s="288"/>
      <c r="N34" s="288"/>
    </row>
    <row r="35" spans="1:27">
      <c r="B35" s="76"/>
      <c r="C35" s="76"/>
      <c r="D35" s="76"/>
      <c r="E35" s="76"/>
      <c r="F35" s="76"/>
      <c r="G35" s="76"/>
      <c r="H35" s="451"/>
      <c r="I35" s="451"/>
      <c r="J35" s="76"/>
      <c r="T35" s="77"/>
    </row>
    <row r="36" spans="1:27" ht="17.649999999999999">
      <c r="B36" s="78"/>
      <c r="T36" s="77"/>
    </row>
    <row r="37" spans="1:27">
      <c r="K37"/>
      <c r="T37" s="77"/>
    </row>
    <row r="38" spans="1:27">
      <c r="C38"/>
      <c r="D38"/>
      <c r="E38"/>
      <c r="F38"/>
      <c r="G38"/>
      <c r="H38" s="453"/>
      <c r="I38" s="453"/>
      <c r="J38"/>
      <c r="K38"/>
      <c r="L38"/>
      <c r="M38"/>
      <c r="N38"/>
      <c r="O38"/>
      <c r="P38"/>
      <c r="Q38"/>
      <c r="R38"/>
      <c r="S38"/>
      <c r="T38"/>
      <c r="U38"/>
      <c r="V38"/>
      <c r="W38"/>
      <c r="X38"/>
      <c r="Y38"/>
      <c r="Z38"/>
      <c r="AA38"/>
    </row>
    <row r="39" spans="1:27">
      <c r="C39"/>
      <c r="D39"/>
      <c r="E39"/>
      <c r="F39"/>
      <c r="G39"/>
      <c r="H39" s="453"/>
      <c r="I39" s="453"/>
      <c r="J39"/>
      <c r="M39"/>
      <c r="N39"/>
      <c r="O39"/>
      <c r="P39"/>
      <c r="Q39"/>
      <c r="R39"/>
      <c r="S39"/>
      <c r="T39"/>
      <c r="U39"/>
      <c r="V39"/>
      <c r="W39"/>
      <c r="X39"/>
      <c r="Y39"/>
      <c r="Z39"/>
      <c r="AA39"/>
    </row>
    <row r="54" spans="14:19">
      <c r="N54" s="1613"/>
      <c r="O54" s="1613"/>
      <c r="P54" s="1613"/>
      <c r="Q54" s="1613"/>
      <c r="R54" s="1613"/>
      <c r="S54" s="1613"/>
    </row>
    <row r="55" spans="14:19">
      <c r="O55" s="454"/>
      <c r="P55" s="454"/>
      <c r="Q55" s="454"/>
      <c r="R55" s="454"/>
      <c r="S55" s="454"/>
    </row>
    <row r="56" spans="14:19">
      <c r="N56" s="455"/>
      <c r="O56" s="455"/>
      <c r="P56" s="455"/>
      <c r="Q56" s="455"/>
      <c r="R56" s="455"/>
      <c r="S56" s="455"/>
    </row>
    <row r="57" spans="14:19">
      <c r="N57" s="455"/>
      <c r="O57" s="455"/>
      <c r="P57" s="455"/>
      <c r="Q57" s="455"/>
      <c r="R57" s="455"/>
      <c r="S57" s="455"/>
    </row>
    <row r="58" spans="14:19">
      <c r="N58" s="455"/>
      <c r="O58" s="455"/>
      <c r="P58" s="455"/>
      <c r="Q58" s="455"/>
      <c r="R58" s="455"/>
      <c r="S58" s="455"/>
    </row>
    <row r="59" spans="14:19">
      <c r="N59" s="455"/>
      <c r="O59" s="455"/>
      <c r="P59" s="455"/>
      <c r="Q59" s="455"/>
      <c r="R59" s="455"/>
      <c r="S59" s="455"/>
    </row>
    <row r="60" spans="14:19">
      <c r="N60" s="455"/>
      <c r="O60" s="455"/>
      <c r="P60" s="455"/>
      <c r="Q60" s="455"/>
      <c r="R60" s="455"/>
      <c r="S60" s="455"/>
    </row>
    <row r="61" spans="14:19">
      <c r="N61" s="455"/>
      <c r="O61" s="455"/>
      <c r="P61" s="455"/>
      <c r="Q61" s="455"/>
      <c r="R61" s="455"/>
      <c r="S61" s="455"/>
    </row>
    <row r="62" spans="14:19">
      <c r="N62" s="455"/>
      <c r="O62" s="455"/>
      <c r="P62" s="455"/>
      <c r="Q62" s="455"/>
      <c r="R62" s="455"/>
      <c r="S62" s="455"/>
    </row>
    <row r="63" spans="14:19">
      <c r="N63" s="455"/>
      <c r="O63" s="455"/>
      <c r="P63" s="455"/>
      <c r="Q63" s="455"/>
      <c r="R63" s="455"/>
      <c r="S63" s="455"/>
    </row>
    <row r="64" spans="14:19">
      <c r="N64" s="455"/>
      <c r="O64" s="455"/>
      <c r="P64" s="455"/>
      <c r="Q64" s="455"/>
      <c r="R64" s="455"/>
      <c r="S64" s="455"/>
    </row>
    <row r="65" spans="14:19">
      <c r="N65" s="455"/>
      <c r="O65" s="455"/>
      <c r="P65" s="455"/>
      <c r="Q65" s="455"/>
      <c r="R65" s="455"/>
      <c r="S65" s="455"/>
    </row>
    <row r="66" spans="14:19">
      <c r="N66" s="1610"/>
      <c r="O66" s="1610"/>
      <c r="P66" s="1610"/>
      <c r="Q66" s="1610"/>
      <c r="R66" s="1610"/>
      <c r="S66" s="1610"/>
    </row>
    <row r="67" spans="14:19">
      <c r="N67" s="455"/>
      <c r="O67" s="455"/>
      <c r="P67" s="455"/>
      <c r="Q67" s="455"/>
      <c r="R67" s="455"/>
      <c r="S67" s="455"/>
    </row>
    <row r="68" spans="14:19">
      <c r="N68" s="455"/>
      <c r="O68" s="455"/>
      <c r="P68" s="455"/>
      <c r="Q68" s="455"/>
      <c r="R68" s="455"/>
      <c r="S68" s="455"/>
    </row>
    <row r="69" spans="14:19">
      <c r="N69" s="455"/>
      <c r="O69" s="455"/>
      <c r="P69" s="455"/>
      <c r="Q69" s="455"/>
      <c r="R69" s="455"/>
      <c r="S69" s="455"/>
    </row>
    <row r="70" spans="14:19">
      <c r="N70" s="455"/>
      <c r="O70" s="455"/>
      <c r="P70" s="455"/>
      <c r="Q70" s="455"/>
      <c r="R70" s="455"/>
      <c r="S70" s="455"/>
    </row>
    <row r="71" spans="14:19">
      <c r="N71" s="455"/>
      <c r="O71" s="455"/>
      <c r="P71" s="455"/>
      <c r="Q71" s="455"/>
      <c r="R71" s="455"/>
      <c r="S71" s="455"/>
    </row>
    <row r="72" spans="14:19">
      <c r="N72" s="455"/>
      <c r="O72" s="455"/>
      <c r="P72" s="455"/>
      <c r="Q72" s="455"/>
      <c r="R72" s="455"/>
      <c r="S72" s="455"/>
    </row>
    <row r="73" spans="14:19">
      <c r="N73" s="455"/>
      <c r="O73" s="455"/>
      <c r="P73" s="455"/>
      <c r="Q73" s="455"/>
      <c r="R73" s="455"/>
      <c r="S73" s="455"/>
    </row>
    <row r="74" spans="14:19">
      <c r="N74" s="456"/>
      <c r="O74" s="455"/>
      <c r="P74" s="455"/>
      <c r="Q74" s="455"/>
      <c r="R74" s="455"/>
      <c r="S74" s="455"/>
    </row>
    <row r="75" spans="14:19">
      <c r="N75" s="456"/>
      <c r="O75" s="455"/>
      <c r="P75" s="455"/>
      <c r="Q75" s="455"/>
      <c r="R75" s="455"/>
      <c r="S75" s="455"/>
    </row>
    <row r="76" spans="14:19">
      <c r="N76" s="456"/>
      <c r="O76" s="455"/>
      <c r="P76" s="455"/>
      <c r="Q76" s="455"/>
      <c r="R76" s="455"/>
      <c r="S76" s="455"/>
    </row>
    <row r="77" spans="14:19">
      <c r="N77" s="455"/>
      <c r="O77" s="455"/>
      <c r="P77" s="455"/>
      <c r="Q77" s="455"/>
      <c r="R77" s="455"/>
      <c r="S77" s="455"/>
    </row>
    <row r="78" spans="14:19">
      <c r="N78" s="1610"/>
      <c r="O78" s="1610"/>
      <c r="P78" s="1610"/>
      <c r="Q78" s="1610"/>
      <c r="R78" s="1610"/>
      <c r="S78" s="1610"/>
    </row>
    <row r="79" spans="14:19">
      <c r="N79" s="455"/>
      <c r="O79" s="455"/>
      <c r="P79" s="455"/>
      <c r="Q79" s="455"/>
      <c r="R79" s="455"/>
      <c r="S79" s="455"/>
    </row>
    <row r="80" spans="14:19">
      <c r="N80" s="455"/>
      <c r="O80" s="455"/>
      <c r="P80" s="455"/>
      <c r="Q80" s="455"/>
      <c r="R80" s="455"/>
      <c r="S80" s="455"/>
    </row>
    <row r="81" spans="14:19">
      <c r="N81" s="455"/>
      <c r="O81" s="455"/>
      <c r="P81" s="455"/>
      <c r="Q81" s="455"/>
      <c r="R81" s="455"/>
      <c r="S81" s="455"/>
    </row>
    <row r="82" spans="14:19">
      <c r="N82" s="455"/>
      <c r="O82" s="455"/>
      <c r="P82" s="455"/>
      <c r="Q82" s="455"/>
      <c r="R82" s="455"/>
      <c r="S82" s="455"/>
    </row>
    <row r="83" spans="14:19">
      <c r="N83" s="455"/>
      <c r="O83" s="455"/>
      <c r="P83" s="455"/>
      <c r="Q83" s="455"/>
      <c r="R83" s="455"/>
      <c r="S83" s="455"/>
    </row>
    <row r="84" spans="14:19">
      <c r="N84" s="455"/>
      <c r="O84" s="455"/>
      <c r="P84" s="455"/>
      <c r="Q84" s="455"/>
      <c r="R84" s="455"/>
      <c r="S84" s="455"/>
    </row>
    <row r="85" spans="14:19">
      <c r="N85" s="455"/>
      <c r="O85" s="455"/>
      <c r="P85" s="455"/>
      <c r="Q85" s="455"/>
      <c r="R85" s="455"/>
      <c r="S85" s="455"/>
    </row>
    <row r="86" spans="14:19">
      <c r="N86" s="456"/>
      <c r="O86" s="455"/>
      <c r="P86" s="455"/>
      <c r="Q86" s="455"/>
      <c r="R86" s="455"/>
      <c r="S86" s="455"/>
    </row>
    <row r="87" spans="14:19">
      <c r="N87" s="456"/>
      <c r="O87" s="455"/>
      <c r="P87" s="455"/>
      <c r="Q87" s="455"/>
      <c r="R87" s="455"/>
      <c r="S87" s="455"/>
    </row>
    <row r="88" spans="14:19">
      <c r="N88" s="456"/>
      <c r="O88" s="455"/>
      <c r="P88" s="455"/>
      <c r="Q88" s="455"/>
      <c r="R88" s="455"/>
      <c r="S88" s="455"/>
    </row>
    <row r="89" spans="14:19">
      <c r="N89" s="455"/>
      <c r="O89" s="455"/>
      <c r="P89" s="455"/>
      <c r="Q89" s="455"/>
      <c r="R89" s="455"/>
      <c r="S89" s="455"/>
    </row>
    <row r="90" spans="14:19">
      <c r="N90" s="1610"/>
      <c r="O90" s="1610"/>
      <c r="P90" s="1610"/>
      <c r="Q90" s="1610"/>
      <c r="R90" s="1610"/>
      <c r="S90" s="1610"/>
    </row>
    <row r="91" spans="14:19">
      <c r="N91" s="455"/>
      <c r="O91" s="455"/>
      <c r="P91" s="455"/>
      <c r="Q91" s="455"/>
      <c r="R91" s="455"/>
      <c r="S91" s="455"/>
    </row>
    <row r="92" spans="14:19">
      <c r="N92" s="456"/>
      <c r="O92" s="455"/>
      <c r="P92" s="455"/>
      <c r="Q92" s="455"/>
      <c r="R92" s="455"/>
      <c r="S92" s="455"/>
    </row>
    <row r="93" spans="14:19">
      <c r="N93" s="456"/>
      <c r="O93" s="455"/>
      <c r="P93" s="455"/>
      <c r="Q93" s="455"/>
      <c r="R93" s="455"/>
      <c r="S93" s="455"/>
    </row>
    <row r="94" spans="14:19">
      <c r="N94" s="456"/>
      <c r="O94" s="455"/>
      <c r="P94" s="455"/>
      <c r="Q94" s="455"/>
      <c r="R94" s="455"/>
      <c r="S94" s="455"/>
    </row>
    <row r="95" spans="14:19">
      <c r="N95" s="456"/>
      <c r="O95" s="455"/>
      <c r="P95" s="455"/>
      <c r="Q95" s="455"/>
      <c r="R95" s="455"/>
      <c r="S95" s="455"/>
    </row>
    <row r="96" spans="14:19">
      <c r="N96" s="456"/>
      <c r="O96" s="455"/>
      <c r="P96" s="455"/>
      <c r="Q96" s="455"/>
      <c r="R96" s="455"/>
      <c r="S96" s="455"/>
    </row>
    <row r="97" spans="14:19">
      <c r="N97" s="456"/>
      <c r="O97" s="455"/>
      <c r="P97" s="455"/>
      <c r="Q97" s="455"/>
      <c r="R97" s="455"/>
      <c r="S97" s="455"/>
    </row>
    <row r="98" spans="14:19">
      <c r="N98" s="456"/>
      <c r="O98" s="455"/>
      <c r="P98" s="455"/>
      <c r="Q98" s="455"/>
      <c r="R98" s="455"/>
      <c r="S98" s="455"/>
    </row>
    <row r="99" spans="14:19">
      <c r="N99" s="456"/>
      <c r="O99" s="455"/>
      <c r="P99" s="455"/>
      <c r="Q99" s="455"/>
      <c r="R99" s="455"/>
      <c r="S99" s="455"/>
    </row>
    <row r="100" spans="14:19">
      <c r="N100" s="456"/>
      <c r="O100" s="455"/>
      <c r="P100" s="455"/>
      <c r="Q100" s="455"/>
      <c r="R100" s="455"/>
      <c r="S100" s="455"/>
    </row>
  </sheetData>
  <mergeCells count="8">
    <mergeCell ref="N90:S90"/>
    <mergeCell ref="B3:J3"/>
    <mergeCell ref="K3:Q3"/>
    <mergeCell ref="N54:S54"/>
    <mergeCell ref="N66:S66"/>
    <mergeCell ref="N78:S78"/>
    <mergeCell ref="K23:M23"/>
    <mergeCell ref="M25:M28"/>
  </mergeCells>
  <conditionalFormatting sqref="C10:G10">
    <cfRule type="expression" dxfId="115" priority="18">
      <formula>$C$10="Low"</formula>
    </cfRule>
  </conditionalFormatting>
  <conditionalFormatting sqref="D6:F6 H6:J6">
    <cfRule type="expression" dxfId="114" priority="35">
      <formula>$C$6="Low"</formula>
    </cfRule>
  </conditionalFormatting>
  <conditionalFormatting sqref="D7:F7 J7">
    <cfRule type="expression" dxfId="113" priority="34">
      <formula>$C$7="Low"</formula>
    </cfRule>
  </conditionalFormatting>
  <conditionalFormatting sqref="D8:F8 J8">
    <cfRule type="expression" dxfId="112" priority="33">
      <formula>$C$8="Low"</formula>
    </cfRule>
  </conditionalFormatting>
  <conditionalFormatting sqref="D12:G12 J12">
    <cfRule type="expression" dxfId="111" priority="30">
      <formula>$C$12="Low"</formula>
    </cfRule>
  </conditionalFormatting>
  <conditionalFormatting sqref="D13:G13 J13">
    <cfRule type="expression" dxfId="110" priority="29">
      <formula>$C$13="Low"</formula>
    </cfRule>
  </conditionalFormatting>
  <conditionalFormatting sqref="D14:G14 J14">
    <cfRule type="expression" dxfId="109" priority="28">
      <formula>$C$14="Low"</formula>
    </cfRule>
  </conditionalFormatting>
  <conditionalFormatting sqref="D16:G16 I16:J16">
    <cfRule type="expression" dxfId="108" priority="26">
      <formula>$C$16="Low"</formula>
    </cfRule>
  </conditionalFormatting>
  <conditionalFormatting sqref="D17:G17 J17">
    <cfRule type="expression" dxfId="107" priority="25">
      <formula>$C$17="Low"</formula>
    </cfRule>
  </conditionalFormatting>
  <conditionalFormatting sqref="D19:G19 J20">
    <cfRule type="expression" dxfId="106" priority="23">
      <formula>$C$19="Low"</formula>
    </cfRule>
  </conditionalFormatting>
  <conditionalFormatting sqref="D21:G21 J21">
    <cfRule type="expression" dxfId="105" priority="21">
      <formula>$C$21="Low"</formula>
    </cfRule>
  </conditionalFormatting>
  <conditionalFormatting sqref="D15:J15">
    <cfRule type="expression" dxfId="104" priority="27">
      <formula>$C$15="Low"</formula>
    </cfRule>
  </conditionalFormatting>
  <conditionalFormatting sqref="D18:J18">
    <cfRule type="expression" dxfId="103" priority="24">
      <formula>$C$18="Low"</formula>
    </cfRule>
  </conditionalFormatting>
  <conditionalFormatting sqref="D20:J20">
    <cfRule type="expression" dxfId="102" priority="22">
      <formula>$C$20="Low"</formula>
    </cfRule>
  </conditionalFormatting>
  <conditionalFormatting sqref="D22:J22">
    <cfRule type="expression" dxfId="101" priority="20">
      <formula>$C$22="Low"</formula>
    </cfRule>
  </conditionalFormatting>
  <conditionalFormatting sqref="G6:G8 D9:G9 J9:J10">
    <cfRule type="expression" dxfId="100" priority="32">
      <formula>$C$9="Low"</formula>
    </cfRule>
  </conditionalFormatting>
  <conditionalFormatting sqref="H16:H17">
    <cfRule type="expression" dxfId="99" priority="5">
      <formula>$C$6="Low"</formula>
    </cfRule>
  </conditionalFormatting>
  <conditionalFormatting sqref="H19">
    <cfRule type="expression" dxfId="98" priority="4">
      <formula>$C$6="Low"</formula>
    </cfRule>
  </conditionalFormatting>
  <conditionalFormatting sqref="H21">
    <cfRule type="expression" dxfId="97" priority="3">
      <formula>$C$6="Low"</formula>
    </cfRule>
  </conditionalFormatting>
  <conditionalFormatting sqref="H24:H34">
    <cfRule type="expression" dxfId="96" priority="2">
      <formula>$C$6="Low"</formula>
    </cfRule>
  </conditionalFormatting>
  <conditionalFormatting sqref="H7:I10">
    <cfRule type="expression" dxfId="95" priority="13">
      <formula>$C$6="Low"</formula>
    </cfRule>
  </conditionalFormatting>
  <conditionalFormatting sqref="H12:I14">
    <cfRule type="expression" dxfId="94" priority="6">
      <formula>$C$6="Low"</formula>
    </cfRule>
  </conditionalFormatting>
  <conditionalFormatting sqref="I17">
    <cfRule type="expression" dxfId="93" priority="10">
      <formula>$C$16="Low"</formula>
    </cfRule>
  </conditionalFormatting>
  <conditionalFormatting sqref="I19">
    <cfRule type="expression" dxfId="92" priority="9">
      <formula>$C$16="Low"</formula>
    </cfRule>
  </conditionalFormatting>
  <conditionalFormatting sqref="I21">
    <cfRule type="expression" dxfId="91" priority="8">
      <formula>$C$16="Low"</formula>
    </cfRule>
  </conditionalFormatting>
  <conditionalFormatting sqref="I24:I34">
    <cfRule type="expression" dxfId="90" priority="7">
      <formula>$C$16="Low"</formula>
    </cfRule>
  </conditionalFormatting>
  <conditionalFormatting sqref="J19">
    <cfRule type="expression" dxfId="89" priority="1">
      <formula>$C$17="Low"</formula>
    </cfRule>
  </conditionalFormatting>
  <dataValidations count="3">
    <dataValidation type="list" allowBlank="1" showInputMessage="1" showErrorMessage="1" sqref="D6:D22 D32:D34 F24:F34 F6:F10 F12:F22 C11"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87"/>
  <sheetViews>
    <sheetView showGridLines="0" topLeftCell="G42" zoomScale="84" zoomScaleNormal="84" workbookViewId="0">
      <selection activeCell="G36" sqref="G36"/>
    </sheetView>
  </sheetViews>
  <sheetFormatPr defaultColWidth="11.42578125" defaultRowHeight="12.75" outlineLevelCol="1"/>
  <cols>
    <col min="1" max="1" width="24.42578125" bestFit="1" customWidth="1"/>
    <col min="2" max="2" width="11.42578125" customWidth="1" outlineLevel="1"/>
    <col min="3" max="3" width="32.140625" customWidth="1" outlineLevel="1"/>
    <col min="4" max="4" width="20" customWidth="1" outlineLevel="1"/>
    <col min="5" max="5" width="24" customWidth="1"/>
    <col min="6" max="6" width="27.140625" customWidth="1"/>
    <col min="7" max="7" width="14.140625" style="2" customWidth="1"/>
    <col min="8" max="8" width="21.5703125" style="2" bestFit="1" customWidth="1"/>
    <col min="9" max="32" width="11.140625" style="2" customWidth="1"/>
    <col min="33" max="33" width="14.42578125" customWidth="1"/>
  </cols>
  <sheetData>
    <row r="1" spans="1:40" ht="21" customHeight="1">
      <c r="A1" s="1626" t="s">
        <v>397</v>
      </c>
      <c r="B1" s="1626"/>
      <c r="C1" s="1626"/>
      <c r="D1" s="1626"/>
      <c r="E1" s="1626"/>
      <c r="F1" s="1626"/>
      <c r="G1" s="1626"/>
      <c r="H1" s="1626"/>
      <c r="I1" s="1626"/>
      <c r="J1" s="1626"/>
      <c r="K1" s="1626"/>
      <c r="L1" s="1626"/>
      <c r="M1" s="1626"/>
      <c r="N1" s="1626"/>
      <c r="O1" s="1626"/>
      <c r="P1" s="1626"/>
      <c r="Q1" s="1626"/>
      <c r="R1" s="1626"/>
      <c r="S1" s="1626"/>
      <c r="T1" s="1626"/>
      <c r="U1" s="1626"/>
      <c r="V1" s="1626"/>
      <c r="W1" s="1626"/>
      <c r="X1" s="1626"/>
      <c r="Y1" s="1626"/>
      <c r="Z1" s="1626"/>
      <c r="AA1" s="1626"/>
      <c r="AB1" s="1626"/>
      <c r="AC1" s="1626"/>
      <c r="AD1" s="1626"/>
      <c r="AE1" s="1626"/>
      <c r="AF1" s="1626"/>
      <c r="AG1" s="10"/>
      <c r="AH1" s="10"/>
      <c r="AI1" s="10"/>
      <c r="AJ1" s="10"/>
      <c r="AK1" s="10"/>
      <c r="AL1" s="10"/>
      <c r="AM1" s="10"/>
      <c r="AN1" s="10"/>
    </row>
    <row r="2" spans="1:40" ht="3.75" customHeight="1" thickBot="1">
      <c r="A2" s="1627"/>
      <c r="B2" s="1627"/>
      <c r="C2" s="1627"/>
      <c r="D2" s="1627"/>
      <c r="E2" s="1627"/>
      <c r="F2" s="1627"/>
      <c r="G2" s="1627"/>
      <c r="H2" s="1627"/>
      <c r="I2" s="1627"/>
      <c r="J2" s="1627"/>
      <c r="K2" s="1627"/>
      <c r="L2" s="1627"/>
      <c r="M2" s="1627"/>
      <c r="N2" s="1627"/>
      <c r="O2" s="1627"/>
      <c r="P2" s="1627"/>
      <c r="Q2" s="1627"/>
      <c r="R2" s="1627"/>
      <c r="S2" s="1627"/>
      <c r="T2" s="1627"/>
      <c r="U2" s="1627"/>
      <c r="V2" s="1627"/>
      <c r="W2" s="1627"/>
      <c r="X2" s="1627"/>
      <c r="Y2" s="1627"/>
      <c r="Z2" s="1627"/>
      <c r="AA2" s="1627"/>
      <c r="AB2" s="1627"/>
      <c r="AC2" s="1627"/>
      <c r="AD2" s="1627"/>
      <c r="AE2" s="1627"/>
      <c r="AF2" s="1627"/>
      <c r="AG2" s="457"/>
      <c r="AH2" s="10"/>
      <c r="AI2" s="10"/>
      <c r="AJ2" s="10"/>
      <c r="AK2" s="10"/>
      <c r="AL2" s="10"/>
      <c r="AM2" s="10"/>
      <c r="AN2" s="10"/>
    </row>
    <row r="3" spans="1:40" ht="18">
      <c r="A3" s="234"/>
      <c r="B3" s="234"/>
      <c r="C3" s="234"/>
      <c r="D3" s="234"/>
      <c r="E3" s="234"/>
      <c r="F3" s="234"/>
      <c r="G3" s="1633" t="s">
        <v>398</v>
      </c>
      <c r="H3" s="1634"/>
      <c r="I3" s="1634"/>
      <c r="J3" s="1634"/>
      <c r="K3" s="1635" t="s">
        <v>399</v>
      </c>
      <c r="L3" s="1636"/>
      <c r="M3" s="1636"/>
      <c r="N3" s="1636"/>
      <c r="O3" s="1636"/>
      <c r="P3" s="1636"/>
      <c r="Q3" s="1636"/>
      <c r="R3" s="1636"/>
      <c r="S3" s="1636"/>
      <c r="T3" s="1636"/>
      <c r="U3" s="1636"/>
      <c r="V3" s="1636"/>
      <c r="W3" s="1636"/>
      <c r="X3" s="1636"/>
      <c r="Y3" s="1636"/>
      <c r="Z3" s="1636"/>
      <c r="AA3" s="1636"/>
      <c r="AB3" s="1636"/>
      <c r="AC3" s="1636"/>
      <c r="AD3" s="1636"/>
      <c r="AE3" s="1636"/>
      <c r="AF3" s="1637"/>
      <c r="AG3" s="457"/>
      <c r="AH3" s="10"/>
      <c r="AI3" s="10"/>
      <c r="AJ3" s="10"/>
      <c r="AK3" s="10"/>
      <c r="AL3" s="10"/>
      <c r="AM3" s="10"/>
      <c r="AN3" s="10"/>
    </row>
    <row r="4" spans="1:40" ht="14.25">
      <c r="A4" s="255" t="s">
        <v>400</v>
      </c>
      <c r="B4" s="652" t="s">
        <v>401</v>
      </c>
      <c r="C4" s="653" t="s">
        <v>402</v>
      </c>
      <c r="D4" s="262" t="s">
        <v>403</v>
      </c>
      <c r="E4" s="262" t="s">
        <v>404</v>
      </c>
      <c r="F4" s="263" t="s">
        <v>405</v>
      </c>
      <c r="G4" s="262">
        <v>2024</v>
      </c>
      <c r="H4" s="262">
        <f>G4+1</f>
        <v>2025</v>
      </c>
      <c r="I4" s="262">
        <f t="shared" ref="I4:AF4" si="0">H4+1</f>
        <v>2026</v>
      </c>
      <c r="J4" s="263">
        <f t="shared" si="0"/>
        <v>2027</v>
      </c>
      <c r="K4" s="264">
        <f t="shared" si="0"/>
        <v>2028</v>
      </c>
      <c r="L4" s="264">
        <f t="shared" si="0"/>
        <v>2029</v>
      </c>
      <c r="M4" s="264">
        <f t="shared" si="0"/>
        <v>2030</v>
      </c>
      <c r="N4" s="264">
        <f t="shared" si="0"/>
        <v>2031</v>
      </c>
      <c r="O4" s="264">
        <f t="shared" si="0"/>
        <v>2032</v>
      </c>
      <c r="P4" s="264">
        <f t="shared" si="0"/>
        <v>2033</v>
      </c>
      <c r="Q4" s="264">
        <f t="shared" si="0"/>
        <v>2034</v>
      </c>
      <c r="R4" s="264">
        <f t="shared" si="0"/>
        <v>2035</v>
      </c>
      <c r="S4" s="264">
        <f t="shared" si="0"/>
        <v>2036</v>
      </c>
      <c r="T4" s="264">
        <f t="shared" si="0"/>
        <v>2037</v>
      </c>
      <c r="U4" s="264">
        <f t="shared" si="0"/>
        <v>2038</v>
      </c>
      <c r="V4" s="264">
        <f t="shared" si="0"/>
        <v>2039</v>
      </c>
      <c r="W4" s="264">
        <f t="shared" si="0"/>
        <v>2040</v>
      </c>
      <c r="X4" s="264">
        <f t="shared" si="0"/>
        <v>2041</v>
      </c>
      <c r="Y4" s="264">
        <f t="shared" si="0"/>
        <v>2042</v>
      </c>
      <c r="Z4" s="264">
        <f t="shared" si="0"/>
        <v>2043</v>
      </c>
      <c r="AA4" s="264">
        <f t="shared" si="0"/>
        <v>2044</v>
      </c>
      <c r="AB4" s="264">
        <f t="shared" si="0"/>
        <v>2045</v>
      </c>
      <c r="AC4" s="264">
        <f t="shared" si="0"/>
        <v>2046</v>
      </c>
      <c r="AD4" s="264">
        <f t="shared" si="0"/>
        <v>2047</v>
      </c>
      <c r="AE4" s="264">
        <f t="shared" si="0"/>
        <v>2048</v>
      </c>
      <c r="AF4" s="265">
        <f t="shared" si="0"/>
        <v>2049</v>
      </c>
      <c r="AG4" s="457"/>
      <c r="AH4" s="10"/>
      <c r="AI4" s="10"/>
      <c r="AJ4" s="10"/>
      <c r="AK4" s="10"/>
      <c r="AL4" s="10"/>
      <c r="AM4" s="10"/>
      <c r="AN4" s="10"/>
    </row>
    <row r="5" spans="1:40" ht="13.15">
      <c r="A5" s="1396" t="s">
        <v>406</v>
      </c>
      <c r="B5" s="639">
        <v>1</v>
      </c>
      <c r="C5" s="654" t="s">
        <v>407</v>
      </c>
      <c r="D5" s="644">
        <f>'Fin. Data'!D6</f>
        <v>0.81151936444885808</v>
      </c>
      <c r="E5" s="270">
        <f t="shared" ref="E5:AE5" si="1">+E6/D6-1</f>
        <v>0.1378138362021708</v>
      </c>
      <c r="F5" s="305">
        <f t="shared" si="1"/>
        <v>-0.16375987666216996</v>
      </c>
      <c r="G5" s="320">
        <f>+G6/F6-1</f>
        <v>-0.10541208967275462</v>
      </c>
      <c r="H5" s="321">
        <f>+H6/G6-1</f>
        <v>-3.5996523142521775E-2</v>
      </c>
      <c r="I5" s="321">
        <f>+I6/H6-1</f>
        <v>-1.3013247650522031E-2</v>
      </c>
      <c r="J5" s="322">
        <f>+J6/I6-1</f>
        <v>-1.2944607473735825E-2</v>
      </c>
      <c r="K5" s="320">
        <f t="shared" si="1"/>
        <v>2.0795344188835996E-2</v>
      </c>
      <c r="L5" s="321">
        <f t="shared" si="1"/>
        <v>2.0441751220319437E-2</v>
      </c>
      <c r="M5" s="321">
        <f t="shared" si="1"/>
        <v>2.362473323311054E-2</v>
      </c>
      <c r="N5" s="321">
        <f t="shared" si="1"/>
        <v>4.3606890152102284E-2</v>
      </c>
      <c r="O5" s="321">
        <f t="shared" si="1"/>
        <v>4.4178209286320547E-2</v>
      </c>
      <c r="P5" s="321">
        <f t="shared" si="1"/>
        <v>4.5073215498757646E-2</v>
      </c>
      <c r="Q5" s="321">
        <f t="shared" si="1"/>
        <v>4.5981812053077276E-2</v>
      </c>
      <c r="R5" s="321">
        <f t="shared" si="1"/>
        <v>4.6902810828128638E-2</v>
      </c>
      <c r="S5" s="321">
        <f t="shared" si="1"/>
        <v>4.7834937869654315E-2</v>
      </c>
      <c r="T5" s="321">
        <f t="shared" si="1"/>
        <v>4.8776839899209223E-2</v>
      </c>
      <c r="U5" s="321">
        <f t="shared" si="1"/>
        <v>4.9727091889796293E-2</v>
      </c>
      <c r="V5" s="321">
        <f t="shared" si="1"/>
        <v>5.0684205633202417E-2</v>
      </c>
      <c r="W5" s="321">
        <f t="shared" si="1"/>
        <v>4.921980183509489E-2</v>
      </c>
      <c r="X5" s="321">
        <f t="shared" si="1"/>
        <v>5.0163156793740393E-2</v>
      </c>
      <c r="Y5" s="321">
        <f t="shared" si="1"/>
        <v>5.0984464624096892E-2</v>
      </c>
      <c r="Z5" s="321">
        <f t="shared" si="1"/>
        <v>5.1805998712397106E-2</v>
      </c>
      <c r="AA5" s="321">
        <f t="shared" si="1"/>
        <v>5.2626591413746038E-2</v>
      </c>
      <c r="AB5" s="321">
        <f t="shared" si="1"/>
        <v>5.3445075631707972E-2</v>
      </c>
      <c r="AC5" s="321">
        <f t="shared" si="1"/>
        <v>5.4260291896849111E-2</v>
      </c>
      <c r="AD5" s="321">
        <f t="shared" si="1"/>
        <v>5.507109534679766E-2</v>
      </c>
      <c r="AE5" s="321">
        <f t="shared" si="1"/>
        <v>5.58763625200418E-2</v>
      </c>
      <c r="AF5" s="322">
        <v>0.02</v>
      </c>
      <c r="AG5" s="374"/>
      <c r="AH5" s="10"/>
      <c r="AI5" s="10"/>
      <c r="AJ5" s="10"/>
      <c r="AK5" s="10"/>
      <c r="AL5" s="10"/>
      <c r="AM5" s="10"/>
      <c r="AN5" s="10"/>
    </row>
    <row r="6" spans="1:40" ht="14.25">
      <c r="A6" s="1396"/>
      <c r="B6" s="639">
        <v>2</v>
      </c>
      <c r="C6" s="640" t="s">
        <v>408</v>
      </c>
      <c r="D6" s="1251">
        <f>Inputs!D6</f>
        <v>36484</v>
      </c>
      <c r="E6" s="1252">
        <f>Inputs!C6</f>
        <v>41512</v>
      </c>
      <c r="F6" s="306">
        <f>Inputs!B6</f>
        <v>34714</v>
      </c>
      <c r="G6" s="314">
        <f>Assumptions!K170</f>
        <v>31054.724719099995</v>
      </c>
      <c r="H6" s="312">
        <f>Assumptions!L170</f>
        <v>29936.86260206427</v>
      </c>
      <c r="I6" s="312">
        <f>Assumptions!M170</f>
        <v>29547.286795143955</v>
      </c>
      <c r="J6" s="315">
        <f>Assumptions!N170</f>
        <v>29164.808765666919</v>
      </c>
      <c r="K6" s="314">
        <f>Assumptions!O170</f>
        <v>29771.301002150543</v>
      </c>
      <c r="L6" s="312">
        <f>Assumptions!P170</f>
        <v>30379.878530741749</v>
      </c>
      <c r="M6" s="312">
        <f>Assumptions!Q170</f>
        <v>31097.595056684822</v>
      </c>
      <c r="N6" s="312">
        <f>Assumptions!R170</f>
        <v>32453.664468316234</v>
      </c>
      <c r="O6" s="312">
        <f>Assumptions!S170</f>
        <v>33887.409249305536</v>
      </c>
      <c r="P6" s="312">
        <f>Assumptions!T170</f>
        <v>35414.823749094081</v>
      </c>
      <c r="Q6" s="312">
        <f>Assumptions!U170</f>
        <v>37043.261518617779</v>
      </c>
      <c r="R6" s="312">
        <f>Assumptions!V170</f>
        <v>38780.694606082405</v>
      </c>
      <c r="S6" s="312">
        <f>Assumptions!W170</f>
        <v>40635.766723106397</v>
      </c>
      <c r="T6" s="312">
        <f>Assumptions!X170</f>
        <v>42617.851010740975</v>
      </c>
      <c r="U6" s="312">
        <f>Assumptions!Y170</f>
        <v>44737.112804097742</v>
      </c>
      <c r="V6" s="312">
        <f>Assumptions!Z170</f>
        <v>47004.577828896407</v>
      </c>
      <c r="W6" s="312">
        <f>Assumptions!AA170</f>
        <v>49318.133834976979</v>
      </c>
      <c r="X6" s="312">
        <f>Assumptions!AB170</f>
        <v>51792.087115315604</v>
      </c>
      <c r="Y6" s="312">
        <f>Assumptions!AC170</f>
        <v>54432.67894865456</v>
      </c>
      <c r="Z6" s="312">
        <f>Assumptions!AD170</f>
        <v>57252.618244180878</v>
      </c>
      <c r="AA6" s="312">
        <f>Assumptions!AE170</f>
        <v>60265.628391884573</v>
      </c>
      <c r="AB6" s="312">
        <f>Assumptions!AF170</f>
        <v>63486.529459281257</v>
      </c>
      <c r="AC6" s="312">
        <f>Assumptions!AG170</f>
        <v>66931.327079259761</v>
      </c>
      <c r="AD6" s="312">
        <f>Assumptions!AH170</f>
        <v>70617.308574529379</v>
      </c>
      <c r="AE6" s="312">
        <f>Assumptions!AI170</f>
        <v>74563.146908629438</v>
      </c>
      <c r="AF6" s="315">
        <f>AE6*(1+AF5)</f>
        <v>76054.409846802024</v>
      </c>
      <c r="AG6" s="458"/>
      <c r="AH6" s="10"/>
      <c r="AI6" s="10"/>
      <c r="AJ6" s="10"/>
      <c r="AK6" s="10"/>
      <c r="AL6" s="10"/>
      <c r="AM6" s="10"/>
      <c r="AN6" s="10"/>
    </row>
    <row r="7" spans="1:40" ht="13.15">
      <c r="A7" s="1396"/>
      <c r="B7" s="639">
        <v>3</v>
      </c>
      <c r="C7" s="641" t="s">
        <v>409</v>
      </c>
      <c r="D7" s="645">
        <f>D8/D6</f>
        <v>0.25541086503672844</v>
      </c>
      <c r="E7" s="302">
        <f t="shared" ref="E7:F7" si="2">E8/E6</f>
        <v>0.25309019078820583</v>
      </c>
      <c r="F7" s="307">
        <f t="shared" si="2"/>
        <v>0.17947802039522959</v>
      </c>
      <c r="G7" s="323">
        <f>Assumptions!K181</f>
        <v>0.12904277927529109</v>
      </c>
      <c r="H7" s="324">
        <f>Assumptions!L181</f>
        <v>0.14099638759184777</v>
      </c>
      <c r="I7" s="324">
        <f>Assumptions!M181</f>
        <v>0.16202048396977803</v>
      </c>
      <c r="J7" s="325">
        <f>Assumptions!N181</f>
        <v>0.17579154341001693</v>
      </c>
      <c r="K7" s="323">
        <f>Assumptions!O181</f>
        <v>0.17640177375456365</v>
      </c>
      <c r="L7" s="324">
        <f>Assumptions!P181</f>
        <v>0.17674056204997615</v>
      </c>
      <c r="M7" s="324">
        <f>Assumptions!Q181</f>
        <v>0.16422649653214774</v>
      </c>
      <c r="N7" s="324">
        <f>Assumptions!R181</f>
        <v>0.1569733744512769</v>
      </c>
      <c r="O7" s="324">
        <f>Assumptions!S181</f>
        <v>0.16014261603518498</v>
      </c>
      <c r="P7" s="324">
        <f>Assumptions!T181</f>
        <v>0.16397205443939267</v>
      </c>
      <c r="Q7" s="324">
        <f>Assumptions!U181</f>
        <v>0.16470892184002273</v>
      </c>
      <c r="R7" s="324">
        <f>Assumptions!V181</f>
        <v>0.16613441954667904</v>
      </c>
      <c r="S7" s="324">
        <f>Assumptions!W181</f>
        <v>0.1682524776497886</v>
      </c>
      <c r="T7" s="324">
        <f>Assumptions!X181</f>
        <v>0.17106409426968319</v>
      </c>
      <c r="U7" s="324">
        <f>Assumptions!Y181</f>
        <v>0.17086184644781333</v>
      </c>
      <c r="V7" s="324">
        <f>Assumptions!Z181</f>
        <v>0.1713685700715393</v>
      </c>
      <c r="W7" s="324">
        <f>Assumptions!AA181</f>
        <v>0.16579032458518686</v>
      </c>
      <c r="X7" s="324">
        <f>Assumptions!AB181</f>
        <v>0.16591122979375084</v>
      </c>
      <c r="Y7" s="324">
        <f>Assumptions!AC181</f>
        <v>0.16664007107966758</v>
      </c>
      <c r="Z7" s="324">
        <f>Assumptions!AD181</f>
        <v>0.16797483341456368</v>
      </c>
      <c r="AA7" s="324">
        <f>Assumptions!AE181</f>
        <v>0.16991122857694194</v>
      </c>
      <c r="AB7" s="324">
        <f>Assumptions!AF181</f>
        <v>0.17244272682483031</v>
      </c>
      <c r="AC7" s="324">
        <f>Assumptions!AG181</f>
        <v>0.17556060883568456</v>
      </c>
      <c r="AD7" s="324">
        <f>Assumptions!AH181</f>
        <v>0.17925403711555657</v>
      </c>
      <c r="AE7" s="324">
        <f>Assumptions!AI181</f>
        <v>0.18351014575968017</v>
      </c>
      <c r="AF7" s="325">
        <f>Assumptions!AJ181</f>
        <v>0.18831414715536671</v>
      </c>
      <c r="AG7" s="374"/>
      <c r="AH7" s="10"/>
      <c r="AI7" s="10"/>
      <c r="AJ7" s="10"/>
      <c r="AK7" s="10"/>
      <c r="AL7" s="10"/>
      <c r="AM7" s="10"/>
      <c r="AN7" s="10"/>
    </row>
    <row r="8" spans="1:40" ht="14.25">
      <c r="A8" s="1396"/>
      <c r="B8" s="639">
        <v>4</v>
      </c>
      <c r="C8" s="642" t="s">
        <v>63</v>
      </c>
      <c r="D8" s="646">
        <f>'Fin. Data'!D11</f>
        <v>9318.41</v>
      </c>
      <c r="E8" s="303">
        <f>'Fin. Data'!C11</f>
        <v>10506.28</v>
      </c>
      <c r="F8" s="308">
        <f>'Fin. Data'!B11</f>
        <v>6230.4</v>
      </c>
      <c r="G8" s="314">
        <f t="shared" ref="G8:AF8" si="3">G7*G6</f>
        <v>4007.3879873817468</v>
      </c>
      <c r="H8" s="312">
        <f t="shared" si="3"/>
        <v>4220.9894827245462</v>
      </c>
      <c r="I8" s="312">
        <f t="shared" si="3"/>
        <v>4787.2657065430549</v>
      </c>
      <c r="J8" s="315">
        <f t="shared" si="3"/>
        <v>5126.9267461745785</v>
      </c>
      <c r="K8" s="314">
        <f t="shared" si="3"/>
        <v>5251.7103037603738</v>
      </c>
      <c r="L8" s="312">
        <f t="shared" si="3"/>
        <v>5369.3568065333002</v>
      </c>
      <c r="M8" s="312">
        <f t="shared" si="3"/>
        <v>5107.0490867347844</v>
      </c>
      <c r="N8" s="312">
        <f t="shared" si="3"/>
        <v>5094.3612249011048</v>
      </c>
      <c r="O8" s="312">
        <f t="shared" si="3"/>
        <v>5426.8183678387122</v>
      </c>
      <c r="P8" s="312">
        <f t="shared" si="3"/>
        <v>5807.0414077479509</v>
      </c>
      <c r="Q8" s="312">
        <f t="shared" si="3"/>
        <v>6101.3556661695375</v>
      </c>
      <c r="R8" s="312">
        <f t="shared" si="3"/>
        <v>6442.8081879985275</v>
      </c>
      <c r="S8" s="312">
        <f t="shared" si="3"/>
        <v>6837.0684323614823</v>
      </c>
      <c r="T8" s="312">
        <f t="shared" si="3"/>
        <v>7290.384082872707</v>
      </c>
      <c r="U8" s="312">
        <f t="shared" si="3"/>
        <v>7643.8656984522522</v>
      </c>
      <c r="V8" s="312">
        <f t="shared" si="3"/>
        <v>8055.1072893543569</v>
      </c>
      <c r="W8" s="312">
        <f t="shared" si="3"/>
        <v>8176.4694164365201</v>
      </c>
      <c r="X8" s="312">
        <f t="shared" si="3"/>
        <v>8592.8888668870895</v>
      </c>
      <c r="Y8" s="312">
        <f t="shared" si="3"/>
        <v>9070.6654890605205</v>
      </c>
      <c r="Z8" s="312">
        <f t="shared" si="3"/>
        <v>9616.9990121138926</v>
      </c>
      <c r="AA8" s="312">
        <f t="shared" si="3"/>
        <v>10239.806961026541</v>
      </c>
      <c r="AB8" s="312">
        <f t="shared" si="3"/>
        <v>10947.790256603379</v>
      </c>
      <c r="AC8" s="312">
        <f t="shared" si="3"/>
        <v>11750.504532215184</v>
      </c>
      <c r="AD8" s="312">
        <f t="shared" si="3"/>
        <v>12658.4376522194</v>
      </c>
      <c r="AE8" s="312">
        <f t="shared" si="3"/>
        <v>13683.093957503033</v>
      </c>
      <c r="AF8" s="315">
        <f t="shared" si="3"/>
        <v>14322.121327705247</v>
      </c>
      <c r="AG8" s="443"/>
      <c r="AH8" s="7"/>
      <c r="AI8" s="7"/>
      <c r="AJ8" s="7"/>
      <c r="AK8" s="10"/>
      <c r="AL8" s="10"/>
      <c r="AM8" s="10"/>
      <c r="AN8" s="10"/>
    </row>
    <row r="9" spans="1:40" ht="14.25">
      <c r="A9" s="1396"/>
      <c r="B9" s="639" t="s">
        <v>410</v>
      </c>
      <c r="C9" s="640" t="s">
        <v>411</v>
      </c>
      <c r="D9" s="647">
        <v>735.40599999999995</v>
      </c>
      <c r="E9" s="431">
        <v>826.69200000000001</v>
      </c>
      <c r="F9" s="432">
        <v>930.58500000000004</v>
      </c>
      <c r="G9" s="433">
        <f>$D$53*DCF!F40</f>
        <v>-455.25052400000004</v>
      </c>
      <c r="H9" s="434">
        <f>$D$53*DCF!G40</f>
        <v>-544.81235008988449</v>
      </c>
      <c r="I9" s="434">
        <f>$D$53*DCF!H40</f>
        <v>-631.15026183423777</v>
      </c>
      <c r="J9" s="435">
        <f>$D$53*DCF!I40</f>
        <v>-716.36463695143289</v>
      </c>
      <c r="K9" s="436">
        <f>$E$53*DCF!J40</f>
        <v>-800.47594543161631</v>
      </c>
      <c r="L9" s="437">
        <f>$E$53*DCF!K40</f>
        <v>-861.80482549604642</v>
      </c>
      <c r="M9" s="437">
        <f>$E$53*DCF!L40</f>
        <v>-924.3873752693745</v>
      </c>
      <c r="N9" s="437">
        <f>$E$53*DCF!M40</f>
        <v>-988.44842108614523</v>
      </c>
      <c r="O9" s="437">
        <f>$E$53*DCF!N40</f>
        <v>-1055.3029698908765</v>
      </c>
      <c r="P9" s="437">
        <f>$E$53*DCF!O40</f>
        <v>-1125.1110329444462</v>
      </c>
      <c r="Q9" s="437">
        <f>$E$53*DCF!P40</f>
        <v>-1198.0655698675798</v>
      </c>
      <c r="R9" s="437">
        <f>$E$53*DCF!Q40</f>
        <v>-1274.3746885959324</v>
      </c>
      <c r="S9" s="437">
        <f>$E$53*DCF!R40</f>
        <v>-1354.2629194844624</v>
      </c>
      <c r="T9" s="437">
        <f>$E$53*DCF!S40</f>
        <v>-1437.9725989340616</v>
      </c>
      <c r="U9" s="437">
        <f>$E$53*DCF!T40</f>
        <v>-1525.7653720161879</v>
      </c>
      <c r="V9" s="437">
        <f>$E$53*DCF!U40</f>
        <v>-1617.9238243926293</v>
      </c>
      <c r="W9" s="437">
        <f>$E$53*DCF!V40</f>
        <v>-1714.7532547201558</v>
      </c>
      <c r="X9" s="437">
        <f>$E$53*DCF!W40</f>
        <v>-1816.3486104202086</v>
      </c>
      <c r="Y9" s="437">
        <f>$E$53*DCF!X40</f>
        <v>-1923.0403098777588</v>
      </c>
      <c r="Z9" s="437">
        <f>$E$53*DCF!Y40</f>
        <v>-2035.1716285119871</v>
      </c>
      <c r="AA9" s="437">
        <f>$E$53*DCF!Z40</f>
        <v>-2153.1120220949997</v>
      </c>
      <c r="AB9" s="437">
        <f>$E$53*DCF!AA40</f>
        <v>-2277.2592165822821</v>
      </c>
      <c r="AC9" s="437">
        <f>$E$53*DCF!AB40</f>
        <v>-2408.0414672684014</v>
      </c>
      <c r="AD9" s="437">
        <f>$E$53*DCF!AC40</f>
        <v>-2545.9200010516765</v>
      </c>
      <c r="AE9" s="437">
        <f>$E$53*DCF!AD40</f>
        <v>-2691.3916567152073</v>
      </c>
      <c r="AF9" s="438">
        <f>$E$53*DCF!AE40</f>
        <v>-2844.9917393469841</v>
      </c>
      <c r="AG9" s="444">
        <f>SUM(D9:AF9)</f>
        <v>-36428.820222874579</v>
      </c>
      <c r="AH9" s="7"/>
      <c r="AI9" s="7"/>
      <c r="AJ9" s="7"/>
      <c r="AK9" s="10"/>
      <c r="AL9" s="10"/>
      <c r="AM9" s="10"/>
      <c r="AN9" s="10"/>
    </row>
    <row r="10" spans="1:40" ht="14.25">
      <c r="A10" s="1396"/>
      <c r="B10" s="639" t="s">
        <v>412</v>
      </c>
      <c r="C10" s="640" t="s">
        <v>413</v>
      </c>
      <c r="D10" s="647">
        <v>129.154</v>
      </c>
      <c r="E10" s="431">
        <v>234.9380000000001</v>
      </c>
      <c r="F10" s="432">
        <v>237.7349999999999</v>
      </c>
      <c r="G10" s="433">
        <f t="shared" ref="G10:J10" si="4">F38*$D$54</f>
        <v>-353.84310000000005</v>
      </c>
      <c r="H10" s="439">
        <f t="shared" si="4"/>
        <v>-371.53525500000001</v>
      </c>
      <c r="I10" s="439">
        <f t="shared" si="4"/>
        <v>-390.11201775000001</v>
      </c>
      <c r="J10" s="440">
        <f t="shared" si="4"/>
        <v>-409.61761863750002</v>
      </c>
      <c r="K10" s="436">
        <f t="shared" ref="K10:AF10" si="5">J38*$E$54</f>
        <v>-387.08864961243745</v>
      </c>
      <c r="L10" s="437">
        <f t="shared" si="5"/>
        <v>-404.50763884499708</v>
      </c>
      <c r="M10" s="437">
        <f t="shared" si="5"/>
        <v>-422.71048259302199</v>
      </c>
      <c r="N10" s="437">
        <f t="shared" si="5"/>
        <v>-441.73245430970798</v>
      </c>
      <c r="O10" s="437">
        <f t="shared" si="5"/>
        <v>-461.61041475364482</v>
      </c>
      <c r="P10" s="437">
        <f t="shared" si="5"/>
        <v>-482.38288341755884</v>
      </c>
      <c r="Q10" s="437">
        <f t="shared" si="5"/>
        <v>-504.09011317134895</v>
      </c>
      <c r="R10" s="437">
        <f t="shared" si="5"/>
        <v>-526.77416826405965</v>
      </c>
      <c r="S10" s="437">
        <f t="shared" si="5"/>
        <v>-550.4790058359423</v>
      </c>
      <c r="T10" s="437">
        <f t="shared" si="5"/>
        <v>-575.25056109855973</v>
      </c>
      <c r="U10" s="437">
        <f t="shared" si="5"/>
        <v>-601.13683634799486</v>
      </c>
      <c r="V10" s="437">
        <f t="shared" si="5"/>
        <v>-628.18799398365468</v>
      </c>
      <c r="W10" s="437">
        <f t="shared" si="5"/>
        <v>-656.45645371291914</v>
      </c>
      <c r="X10" s="437">
        <f t="shared" si="5"/>
        <v>-685.99699413000042</v>
      </c>
      <c r="Y10" s="437">
        <f t="shared" si="5"/>
        <v>-716.86685886585042</v>
      </c>
      <c r="Z10" s="437">
        <f t="shared" si="5"/>
        <v>-749.12586751481365</v>
      </c>
      <c r="AA10" s="437">
        <f t="shared" si="5"/>
        <v>-782.8365315529802</v>
      </c>
      <c r="AB10" s="437">
        <f t="shared" si="5"/>
        <v>-818.06417547286435</v>
      </c>
      <c r="AC10" s="437">
        <f t="shared" si="5"/>
        <v>-854.87706336914323</v>
      </c>
      <c r="AD10" s="437">
        <f t="shared" si="5"/>
        <v>-893.34653122075463</v>
      </c>
      <c r="AE10" s="437">
        <f t="shared" si="5"/>
        <v>-933.54712512568869</v>
      </c>
      <c r="AF10" s="438">
        <f t="shared" si="5"/>
        <v>-975.55674575634464</v>
      </c>
      <c r="AG10" s="443"/>
      <c r="AH10" s="7"/>
      <c r="AI10" s="7"/>
      <c r="AJ10" s="7"/>
      <c r="AK10" s="10"/>
      <c r="AL10" s="10"/>
      <c r="AM10" s="10"/>
      <c r="AN10" s="10"/>
    </row>
    <row r="11" spans="1:40" ht="14.25">
      <c r="A11" s="1396"/>
      <c r="B11" s="639" t="s">
        <v>414</v>
      </c>
      <c r="C11" s="640" t="s">
        <v>415</v>
      </c>
      <c r="D11" s="647">
        <v>135.77500000000001</v>
      </c>
      <c r="E11" s="431">
        <v>136.834</v>
      </c>
      <c r="F11" s="432">
        <v>130.16200000000001</v>
      </c>
      <c r="G11" s="433">
        <f>G6*$D$55</f>
        <v>-114.90248146066999</v>
      </c>
      <c r="H11" s="439">
        <f t="shared" ref="H11:AF11" si="6">H6*$D$55</f>
        <v>-110.7663916276378</v>
      </c>
      <c r="I11" s="439">
        <f t="shared" si="6"/>
        <v>-109.32496114203263</v>
      </c>
      <c r="J11" s="440">
        <f t="shared" si="6"/>
        <v>-107.90979243296761</v>
      </c>
      <c r="K11" s="433">
        <f t="shared" si="6"/>
        <v>-110.15381370795701</v>
      </c>
      <c r="L11" s="439">
        <f t="shared" si="6"/>
        <v>-112.40555056374448</v>
      </c>
      <c r="M11" s="439">
        <f t="shared" si="6"/>
        <v>-115.06110170973385</v>
      </c>
      <c r="N11" s="439">
        <f t="shared" si="6"/>
        <v>-120.07855853277007</v>
      </c>
      <c r="O11" s="439">
        <f t="shared" si="6"/>
        <v>-125.38341422243049</v>
      </c>
      <c r="P11" s="439">
        <f t="shared" si="6"/>
        <v>-131.03484787164811</v>
      </c>
      <c r="Q11" s="439">
        <f t="shared" si="6"/>
        <v>-137.0600676188858</v>
      </c>
      <c r="R11" s="439">
        <f t="shared" si="6"/>
        <v>-143.4885700425049</v>
      </c>
      <c r="S11" s="439">
        <f t="shared" si="6"/>
        <v>-150.35233687549368</v>
      </c>
      <c r="T11" s="439">
        <f t="shared" si="6"/>
        <v>-157.68604873974161</v>
      </c>
      <c r="U11" s="439">
        <f t="shared" si="6"/>
        <v>-165.52731737516166</v>
      </c>
      <c r="V11" s="439">
        <f t="shared" si="6"/>
        <v>-173.91693796691672</v>
      </c>
      <c r="W11" s="439">
        <f t="shared" si="6"/>
        <v>-182.47709518941483</v>
      </c>
      <c r="X11" s="439">
        <f t="shared" si="6"/>
        <v>-191.63072232666775</v>
      </c>
      <c r="Y11" s="439">
        <f t="shared" si="6"/>
        <v>-201.40091211002189</v>
      </c>
      <c r="Z11" s="439">
        <f t="shared" si="6"/>
        <v>-211.83468750346927</v>
      </c>
      <c r="AA11" s="439">
        <f t="shared" si="6"/>
        <v>-222.98282504997292</v>
      </c>
      <c r="AB11" s="439">
        <f t="shared" si="6"/>
        <v>-234.90015899934068</v>
      </c>
      <c r="AC11" s="439">
        <f t="shared" si="6"/>
        <v>-247.64591019326113</v>
      </c>
      <c r="AD11" s="439">
        <f t="shared" si="6"/>
        <v>-261.2840417257587</v>
      </c>
      <c r="AE11" s="439">
        <f t="shared" si="6"/>
        <v>-275.88364356192892</v>
      </c>
      <c r="AF11" s="440">
        <f t="shared" si="6"/>
        <v>-281.40131643316749</v>
      </c>
      <c r="AG11" s="443"/>
      <c r="AH11" s="7"/>
      <c r="AI11" s="7"/>
      <c r="AJ11" s="7"/>
      <c r="AK11" s="10"/>
      <c r="AL11" s="10"/>
      <c r="AM11" s="10"/>
      <c r="AN11" s="10"/>
    </row>
    <row r="12" spans="1:40" ht="14.25">
      <c r="A12" s="1396"/>
      <c r="B12" s="639">
        <v>6</v>
      </c>
      <c r="C12" s="642" t="s">
        <v>55</v>
      </c>
      <c r="D12" s="646">
        <f>D8-D9-D10</f>
        <v>8453.85</v>
      </c>
      <c r="E12" s="277">
        <f t="shared" ref="E12:AF12" si="7">E8-E9-E10</f>
        <v>9444.65</v>
      </c>
      <c r="F12" s="309">
        <f t="shared" si="7"/>
        <v>5062.08</v>
      </c>
      <c r="G12" s="326">
        <f>G8-G9-G10</f>
        <v>4816.4816113817469</v>
      </c>
      <c r="H12" s="327">
        <f t="shared" si="7"/>
        <v>5137.3370878144306</v>
      </c>
      <c r="I12" s="327">
        <f t="shared" si="7"/>
        <v>5808.527986127292</v>
      </c>
      <c r="J12" s="328">
        <f t="shared" si="7"/>
        <v>6252.9090017635108</v>
      </c>
      <c r="K12" s="326">
        <f t="shared" si="7"/>
        <v>6439.2748988044277</v>
      </c>
      <c r="L12" s="327">
        <f t="shared" si="7"/>
        <v>6635.669270874344</v>
      </c>
      <c r="M12" s="327">
        <f t="shared" si="7"/>
        <v>6454.1469445971807</v>
      </c>
      <c r="N12" s="327">
        <f t="shared" si="7"/>
        <v>6524.5421002969588</v>
      </c>
      <c r="O12" s="327">
        <f t="shared" si="7"/>
        <v>6943.7317524832342</v>
      </c>
      <c r="P12" s="327">
        <f t="shared" si="7"/>
        <v>7414.5353241099565</v>
      </c>
      <c r="Q12" s="327">
        <f t="shared" si="7"/>
        <v>7803.5113492084665</v>
      </c>
      <c r="R12" s="327">
        <f t="shared" si="7"/>
        <v>8243.95704485852</v>
      </c>
      <c r="S12" s="327">
        <f t="shared" si="7"/>
        <v>8741.8103576818867</v>
      </c>
      <c r="T12" s="327">
        <f t="shared" si="7"/>
        <v>9303.6072429053274</v>
      </c>
      <c r="U12" s="327">
        <f t="shared" si="7"/>
        <v>9770.7679068164343</v>
      </c>
      <c r="V12" s="327">
        <f t="shared" si="7"/>
        <v>10301.219107730642</v>
      </c>
      <c r="W12" s="327">
        <f t="shared" si="7"/>
        <v>10547.679124869595</v>
      </c>
      <c r="X12" s="327">
        <f t="shared" si="7"/>
        <v>11095.234471437299</v>
      </c>
      <c r="Y12" s="327">
        <f t="shared" si="7"/>
        <v>11710.57265780413</v>
      </c>
      <c r="Z12" s="327">
        <f t="shared" si="7"/>
        <v>12401.296508140693</v>
      </c>
      <c r="AA12" s="327">
        <f t="shared" si="7"/>
        <v>13175.755514674522</v>
      </c>
      <c r="AB12" s="327">
        <f t="shared" si="7"/>
        <v>14043.113648658526</v>
      </c>
      <c r="AC12" s="327">
        <f t="shared" si="7"/>
        <v>15013.423062852729</v>
      </c>
      <c r="AD12" s="327">
        <f t="shared" si="7"/>
        <v>16097.704184491831</v>
      </c>
      <c r="AE12" s="327">
        <f t="shared" si="7"/>
        <v>17308.032739343929</v>
      </c>
      <c r="AF12" s="328">
        <f t="shared" si="7"/>
        <v>18142.669812808577</v>
      </c>
      <c r="AG12" s="296"/>
      <c r="AH12" s="7"/>
      <c r="AI12" s="7"/>
      <c r="AJ12" s="7"/>
      <c r="AK12" s="10"/>
      <c r="AL12" s="10"/>
      <c r="AM12" s="10"/>
      <c r="AN12" s="10"/>
    </row>
    <row r="13" spans="1:40" ht="14.25">
      <c r="A13" s="1396"/>
      <c r="B13" s="639">
        <v>7</v>
      </c>
      <c r="C13" s="640" t="s">
        <v>416</v>
      </c>
      <c r="D13" s="648">
        <f>'Fin. Data'!D14</f>
        <v>-158.85400000000001</v>
      </c>
      <c r="E13" s="429">
        <f>'Fin. Data'!C14</f>
        <v>-170.21600000000001</v>
      </c>
      <c r="F13" s="430">
        <f>'Fin. Data'!B14</f>
        <v>29.632000000000001</v>
      </c>
      <c r="G13" s="436">
        <v>129.96313966843482</v>
      </c>
      <c r="H13" s="437">
        <f t="shared" ref="H13:J13" si="8">G43*$D$58-G44*$D$57</f>
        <v>451.85563808911115</v>
      </c>
      <c r="I13" s="437">
        <f t="shared" si="8"/>
        <v>507.92126898223256</v>
      </c>
      <c r="J13" s="438">
        <f t="shared" si="8"/>
        <v>620.12051511822506</v>
      </c>
      <c r="K13" s="436">
        <f>J43*$E$58-J44*$E$57</f>
        <v>577.48263036668141</v>
      </c>
      <c r="L13" s="437">
        <f t="shared" ref="L13:AF13" si="9">K43*$E$58-K44*$E$57</f>
        <v>542.0755021834326</v>
      </c>
      <c r="M13" s="437">
        <f t="shared" si="9"/>
        <v>586.25829342339171</v>
      </c>
      <c r="N13" s="437">
        <f t="shared" si="9"/>
        <v>613.64466864469273</v>
      </c>
      <c r="O13" s="437">
        <f t="shared" si="9"/>
        <v>651.64938747035285</v>
      </c>
      <c r="P13" s="437">
        <f t="shared" si="9"/>
        <v>706.84398980458877</v>
      </c>
      <c r="Q13" s="437">
        <f t="shared" si="9"/>
        <v>767.28825906854627</v>
      </c>
      <c r="R13" s="437">
        <f t="shared" si="9"/>
        <v>826.79829484246943</v>
      </c>
      <c r="S13" s="437">
        <f t="shared" si="9"/>
        <v>891.26553920034451</v>
      </c>
      <c r="T13" s="437">
        <f t="shared" si="9"/>
        <v>961.32418559436815</v>
      </c>
      <c r="U13" s="437">
        <f t="shared" si="9"/>
        <v>1037.6698815861207</v>
      </c>
      <c r="V13" s="437">
        <f t="shared" si="9"/>
        <v>1113.0217858401006</v>
      </c>
      <c r="W13" s="437">
        <f t="shared" si="9"/>
        <v>1194.3448578558182</v>
      </c>
      <c r="X13" s="437">
        <f t="shared" si="9"/>
        <v>1265.2113548481093</v>
      </c>
      <c r="Y13" s="437">
        <f t="shared" si="9"/>
        <v>1351.9908686509148</v>
      </c>
      <c r="Z13" s="437">
        <f t="shared" si="9"/>
        <v>1445.4567026015634</v>
      </c>
      <c r="AA13" s="437">
        <f t="shared" si="9"/>
        <v>1546.4243074560984</v>
      </c>
      <c r="AB13" s="437">
        <f t="shared" si="9"/>
        <v>1655.7965570726144</v>
      </c>
      <c r="AC13" s="437">
        <f t="shared" si="9"/>
        <v>1774.5751293060389</v>
      </c>
      <c r="AD13" s="437">
        <f t="shared" si="9"/>
        <v>1903.8687172426405</v>
      </c>
      <c r="AE13" s="437">
        <f t="shared" si="9"/>
        <v>2044.9031826334958</v>
      </c>
      <c r="AF13" s="438">
        <f t="shared" si="9"/>
        <v>2199.0332424722269</v>
      </c>
      <c r="AG13" s="443"/>
      <c r="AH13" s="7"/>
      <c r="AI13" s="7"/>
      <c r="AJ13" s="7"/>
      <c r="AK13" s="10"/>
      <c r="AL13" s="10"/>
      <c r="AM13" s="10"/>
      <c r="AN13" s="10"/>
    </row>
    <row r="14" spans="1:40" ht="14.25">
      <c r="A14" s="1396"/>
      <c r="B14" s="639">
        <v>8</v>
      </c>
      <c r="C14" s="640" t="s">
        <v>417</v>
      </c>
      <c r="D14" s="649">
        <f>'Fin. Data'!D15</f>
        <v>-40.906999999999996</v>
      </c>
      <c r="E14" s="304">
        <f>'Fin. Data'!C15</f>
        <v>91.042000000000002</v>
      </c>
      <c r="F14" s="310">
        <f>'Fin. Data'!B15</f>
        <v>-12.782999999999999</v>
      </c>
      <c r="G14" s="314">
        <f>AVERAGE(D14:F14)*(1+G5)</f>
        <v>11.138215875514424</v>
      </c>
      <c r="H14" s="312">
        <f t="shared" ref="H14:AF14" si="10">AVERAGE(E14:G14)*(1+H5)</f>
        <v>28.726408975124819</v>
      </c>
      <c r="I14" s="312">
        <f t="shared" si="10"/>
        <v>8.9097349865597817</v>
      </c>
      <c r="J14" s="315">
        <f t="shared" si="10"/>
        <v>16.047664964774583</v>
      </c>
      <c r="K14" s="314">
        <f t="shared" si="10"/>
        <v>18.266727403484204</v>
      </c>
      <c r="L14" s="312">
        <f t="shared" si="10"/>
        <v>14.702568070973726</v>
      </c>
      <c r="M14" s="312">
        <f t="shared" si="10"/>
        <v>16.724991017835769</v>
      </c>
      <c r="N14" s="312">
        <f t="shared" si="10"/>
        <v>17.287099928183416</v>
      </c>
      <c r="O14" s="312">
        <f t="shared" si="10"/>
        <v>16.955595139452456</v>
      </c>
      <c r="P14" s="312">
        <f t="shared" si="10"/>
        <v>17.75498786129171</v>
      </c>
      <c r="Q14" s="312">
        <f t="shared" si="10"/>
        <v>18.129543537520345</v>
      </c>
      <c r="R14" s="312">
        <f t="shared" si="10"/>
        <v>18.439492332474373</v>
      </c>
      <c r="S14" s="312">
        <f t="shared" si="10"/>
        <v>18.974203343767382</v>
      </c>
      <c r="T14" s="312">
        <f t="shared" si="10"/>
        <v>19.417487633458421</v>
      </c>
      <c r="U14" s="312">
        <f t="shared" si="10"/>
        <v>19.885744261449169</v>
      </c>
      <c r="V14" s="312">
        <f t="shared" si="10"/>
        <v>20.410393583362538</v>
      </c>
      <c r="W14" s="312">
        <f t="shared" si="10"/>
        <v>20.884239430388551</v>
      </c>
      <c r="X14" s="312">
        <f t="shared" si="10"/>
        <v>21.416459377718773</v>
      </c>
      <c r="Y14" s="312">
        <f t="shared" si="10"/>
        <v>21.96946128768041</v>
      </c>
      <c r="Z14" s="312">
        <f t="shared" si="10"/>
        <v>22.533246642318552</v>
      </c>
      <c r="AA14" s="312">
        <f t="shared" si="10"/>
        <v>23.129422797318458</v>
      </c>
      <c r="AB14" s="312">
        <f t="shared" si="10"/>
        <v>23.748911689724153</v>
      </c>
      <c r="AC14" s="312">
        <f t="shared" si="10"/>
        <v>24.392624594154043</v>
      </c>
      <c r="AD14" s="312">
        <f t="shared" si="10"/>
        <v>25.065309621404982</v>
      </c>
      <c r="AE14" s="312">
        <f t="shared" si="10"/>
        <v>25.765792722011874</v>
      </c>
      <c r="AF14" s="315">
        <f t="shared" si="10"/>
        <v>25.576067158774105</v>
      </c>
      <c r="AG14" s="443"/>
      <c r="AH14" s="7"/>
      <c r="AI14" s="7"/>
      <c r="AJ14" s="7"/>
      <c r="AK14" s="10"/>
      <c r="AL14" s="10"/>
      <c r="AM14" s="10"/>
      <c r="AN14" s="10"/>
    </row>
    <row r="15" spans="1:40" ht="14.25">
      <c r="A15" s="1396"/>
      <c r="B15" s="639">
        <v>9</v>
      </c>
      <c r="C15" s="642" t="s">
        <v>418</v>
      </c>
      <c r="D15" s="646">
        <f>D8+D13+D14</f>
        <v>9118.6490000000013</v>
      </c>
      <c r="E15" s="277">
        <f t="shared" ref="E15:AF15" si="11">E8+E13+E14</f>
        <v>10427.106</v>
      </c>
      <c r="F15" s="309">
        <f t="shared" si="11"/>
        <v>6247.2489999999989</v>
      </c>
      <c r="G15" s="326">
        <f t="shared" si="11"/>
        <v>4148.4893429256954</v>
      </c>
      <c r="H15" s="327">
        <f t="shared" si="11"/>
        <v>4701.5715297887828</v>
      </c>
      <c r="I15" s="327">
        <f t="shared" si="11"/>
        <v>5304.096710511847</v>
      </c>
      <c r="J15" s="328">
        <f t="shared" si="11"/>
        <v>5763.0949262575778</v>
      </c>
      <c r="K15" s="326">
        <f t="shared" si="11"/>
        <v>5847.4596615305391</v>
      </c>
      <c r="L15" s="327">
        <f t="shared" si="11"/>
        <v>5926.1348767877071</v>
      </c>
      <c r="M15" s="327">
        <f t="shared" si="11"/>
        <v>5710.032371176012</v>
      </c>
      <c r="N15" s="327">
        <f t="shared" si="11"/>
        <v>5725.2929934739805</v>
      </c>
      <c r="O15" s="327">
        <f t="shared" si="11"/>
        <v>6095.4233504485173</v>
      </c>
      <c r="P15" s="327">
        <f t="shared" si="11"/>
        <v>6531.6403854138316</v>
      </c>
      <c r="Q15" s="327">
        <f t="shared" si="11"/>
        <v>6886.7734687756047</v>
      </c>
      <c r="R15" s="327">
        <f t="shared" si="11"/>
        <v>7288.0459751734716</v>
      </c>
      <c r="S15" s="327">
        <f t="shared" si="11"/>
        <v>7747.3081749055937</v>
      </c>
      <c r="T15" s="327">
        <f t="shared" si="11"/>
        <v>8271.1257561005332</v>
      </c>
      <c r="U15" s="327">
        <f t="shared" si="11"/>
        <v>8701.421324299823</v>
      </c>
      <c r="V15" s="327">
        <f t="shared" si="11"/>
        <v>9188.5394687778207</v>
      </c>
      <c r="W15" s="327">
        <f t="shared" si="11"/>
        <v>9391.6985137227257</v>
      </c>
      <c r="X15" s="327">
        <f t="shared" si="11"/>
        <v>9879.5166811129184</v>
      </c>
      <c r="Y15" s="327">
        <f t="shared" si="11"/>
        <v>10444.625818999117</v>
      </c>
      <c r="Z15" s="327">
        <f t="shared" si="11"/>
        <v>11084.988961357774</v>
      </c>
      <c r="AA15" s="327">
        <f t="shared" si="11"/>
        <v>11809.360691279957</v>
      </c>
      <c r="AB15" s="327">
        <f t="shared" si="11"/>
        <v>12627.335725365718</v>
      </c>
      <c r="AC15" s="327">
        <f t="shared" si="11"/>
        <v>13549.472286115377</v>
      </c>
      <c r="AD15" s="327">
        <f t="shared" si="11"/>
        <v>14587.371679083444</v>
      </c>
      <c r="AE15" s="327">
        <f t="shared" si="11"/>
        <v>15753.762932858541</v>
      </c>
      <c r="AF15" s="328">
        <f t="shared" si="11"/>
        <v>16546.730637336248</v>
      </c>
      <c r="AG15" s="443"/>
      <c r="AH15" s="7"/>
      <c r="AI15" s="7"/>
      <c r="AJ15" s="7"/>
      <c r="AK15" s="10"/>
      <c r="AL15" s="10"/>
      <c r="AM15" s="10"/>
      <c r="AN15" s="10"/>
    </row>
    <row r="16" spans="1:40" ht="14.25">
      <c r="A16" s="1396"/>
      <c r="B16" s="639">
        <v>10</v>
      </c>
      <c r="C16" s="640" t="s">
        <v>419</v>
      </c>
      <c r="D16" s="650">
        <f>'Fin. Data'!D21</f>
        <v>-2078.4879999999998</v>
      </c>
      <c r="E16" s="427">
        <f>'Fin. Data'!C21</f>
        <v>-2165.2040000000002</v>
      </c>
      <c r="F16" s="428">
        <f>'Fin. Data'!B21</f>
        <v>-1359.9659999999999</v>
      </c>
      <c r="G16" s="419">
        <f>-$D$56*G15</f>
        <v>-871.18276201439596</v>
      </c>
      <c r="H16" s="387">
        <f>-$D$56*H15</f>
        <v>-987.3300212556444</v>
      </c>
      <c r="I16" s="387">
        <f t="shared" ref="I16:J16" si="12">-$D$56*I15</f>
        <v>-1113.8603092074879</v>
      </c>
      <c r="J16" s="387">
        <f t="shared" si="12"/>
        <v>-1210.2499345140914</v>
      </c>
      <c r="K16" s="386">
        <f>-$E$56*K15</f>
        <v>-1227.9665289214131</v>
      </c>
      <c r="L16" s="387">
        <f>-$E$56*L15</f>
        <v>-1244.4883241254183</v>
      </c>
      <c r="M16" s="387">
        <f t="shared" ref="M16:AE16" si="13">-$E$56*M15</f>
        <v>-1199.1067979469624</v>
      </c>
      <c r="N16" s="387">
        <f t="shared" si="13"/>
        <v>-1202.3115286295358</v>
      </c>
      <c r="O16" s="387">
        <f t="shared" si="13"/>
        <v>-1280.0389035941887</v>
      </c>
      <c r="P16" s="387">
        <f t="shared" si="13"/>
        <v>-1371.6444809369045</v>
      </c>
      <c r="Q16" s="387">
        <f t="shared" si="13"/>
        <v>-1446.2224284428769</v>
      </c>
      <c r="R16" s="387">
        <f t="shared" si="13"/>
        <v>-1530.4896547864289</v>
      </c>
      <c r="S16" s="387">
        <f t="shared" si="13"/>
        <v>-1626.9347167301746</v>
      </c>
      <c r="T16" s="387">
        <f t="shared" si="13"/>
        <v>-1736.9364087811118</v>
      </c>
      <c r="U16" s="387">
        <f t="shared" si="13"/>
        <v>-1827.2984781029627</v>
      </c>
      <c r="V16" s="387">
        <f t="shared" si="13"/>
        <v>-1929.5932884433423</v>
      </c>
      <c r="W16" s="387">
        <f t="shared" si="13"/>
        <v>-1972.2566878817722</v>
      </c>
      <c r="X16" s="387">
        <f t="shared" si="13"/>
        <v>-2074.6985030337128</v>
      </c>
      <c r="Y16" s="387">
        <f t="shared" si="13"/>
        <v>-2193.3714219898143</v>
      </c>
      <c r="Z16" s="387">
        <f t="shared" si="13"/>
        <v>-2327.8476818851327</v>
      </c>
      <c r="AA16" s="387">
        <f t="shared" si="13"/>
        <v>-2479.9657451687908</v>
      </c>
      <c r="AB16" s="387">
        <f t="shared" si="13"/>
        <v>-2651.7405023268007</v>
      </c>
      <c r="AC16" s="387">
        <f t="shared" si="13"/>
        <v>-2845.3891800842289</v>
      </c>
      <c r="AD16" s="387">
        <f t="shared" si="13"/>
        <v>-3063.3480526075232</v>
      </c>
      <c r="AE16" s="387">
        <f t="shared" si="13"/>
        <v>-3308.2902159002933</v>
      </c>
      <c r="AF16" s="388">
        <f>-$E$56*AF15</f>
        <v>-3474.8134338406121</v>
      </c>
      <c r="AG16" s="443"/>
      <c r="AH16" s="7"/>
      <c r="AI16" s="7"/>
      <c r="AJ16" s="7"/>
      <c r="AK16" s="10"/>
      <c r="AL16" s="10"/>
      <c r="AM16" s="10"/>
      <c r="AN16" s="10"/>
    </row>
    <row r="17" spans="1:40" ht="14.25">
      <c r="A17" s="1396"/>
      <c r="B17" s="1101">
        <v>11</v>
      </c>
      <c r="C17" s="643" t="s">
        <v>420</v>
      </c>
      <c r="D17" s="651">
        <f>'Fin. Data'!D23</f>
        <v>6826.9750000000004</v>
      </c>
      <c r="E17" s="584">
        <f>'Fin. Data'!C23</f>
        <v>7607.8180000000011</v>
      </c>
      <c r="F17" s="311">
        <f>'Fin. Data'!B23</f>
        <v>4524.8490000000002</v>
      </c>
      <c r="G17" s="317">
        <f t="shared" ref="G17:AF17" si="14">G16+G15</f>
        <v>3277.3065809112995</v>
      </c>
      <c r="H17" s="318">
        <f t="shared" si="14"/>
        <v>3714.2415085331386</v>
      </c>
      <c r="I17" s="318">
        <f t="shared" si="14"/>
        <v>4190.2364013043589</v>
      </c>
      <c r="J17" s="319">
        <f t="shared" si="14"/>
        <v>4552.8449917434864</v>
      </c>
      <c r="K17" s="317">
        <f t="shared" si="14"/>
        <v>4619.4931326091264</v>
      </c>
      <c r="L17" s="318">
        <f t="shared" si="14"/>
        <v>4681.6465526622887</v>
      </c>
      <c r="M17" s="318">
        <f t="shared" si="14"/>
        <v>4510.9255732290494</v>
      </c>
      <c r="N17" s="318">
        <f t="shared" si="14"/>
        <v>4522.9814648444444</v>
      </c>
      <c r="O17" s="318">
        <f t="shared" si="14"/>
        <v>4815.3844468543284</v>
      </c>
      <c r="P17" s="318">
        <f t="shared" si="14"/>
        <v>5159.9959044769275</v>
      </c>
      <c r="Q17" s="318">
        <f t="shared" si="14"/>
        <v>5440.551040332728</v>
      </c>
      <c r="R17" s="318">
        <f t="shared" si="14"/>
        <v>5757.5563203870424</v>
      </c>
      <c r="S17" s="318">
        <f t="shared" si="14"/>
        <v>6120.3734581754188</v>
      </c>
      <c r="T17" s="318">
        <f t="shared" si="14"/>
        <v>6534.1893473194214</v>
      </c>
      <c r="U17" s="318">
        <f t="shared" si="14"/>
        <v>6874.1228461968603</v>
      </c>
      <c r="V17" s="318">
        <f t="shared" si="14"/>
        <v>7258.9461803344784</v>
      </c>
      <c r="W17" s="318">
        <f t="shared" si="14"/>
        <v>7419.4418258409532</v>
      </c>
      <c r="X17" s="318">
        <f t="shared" si="14"/>
        <v>7804.8181780792056</v>
      </c>
      <c r="Y17" s="318">
        <f t="shared" si="14"/>
        <v>8251.2543970093029</v>
      </c>
      <c r="Z17" s="318">
        <f t="shared" si="14"/>
        <v>8757.1412794726421</v>
      </c>
      <c r="AA17" s="318">
        <f t="shared" si="14"/>
        <v>9329.3949461111661</v>
      </c>
      <c r="AB17" s="318">
        <f t="shared" si="14"/>
        <v>9975.5952230389175</v>
      </c>
      <c r="AC17" s="318">
        <f t="shared" si="14"/>
        <v>10704.083106031148</v>
      </c>
      <c r="AD17" s="318">
        <f t="shared" si="14"/>
        <v>11524.023626475921</v>
      </c>
      <c r="AE17" s="318">
        <f t="shared" si="14"/>
        <v>12445.472716958247</v>
      </c>
      <c r="AF17" s="319">
        <f t="shared" si="14"/>
        <v>13071.917203495635</v>
      </c>
      <c r="AG17" s="443"/>
      <c r="AH17" s="7"/>
      <c r="AI17" s="7"/>
      <c r="AJ17" s="7"/>
      <c r="AK17" s="10"/>
      <c r="AL17" s="10"/>
      <c r="AM17" s="10"/>
      <c r="AN17" s="10"/>
    </row>
    <row r="18" spans="1:40" ht="14.65" thickBot="1">
      <c r="A18" s="246"/>
      <c r="B18" s="256"/>
      <c r="C18" s="257" t="s">
        <v>421</v>
      </c>
      <c r="D18" s="261" t="s">
        <v>421</v>
      </c>
      <c r="E18" s="261" t="s">
        <v>421</v>
      </c>
      <c r="F18" s="261" t="s">
        <v>421</v>
      </c>
      <c r="G18" s="258" t="s">
        <v>421</v>
      </c>
      <c r="H18" s="258" t="s">
        <v>421</v>
      </c>
      <c r="I18" s="258" t="s">
        <v>421</v>
      </c>
      <c r="J18" s="258" t="s">
        <v>421</v>
      </c>
      <c r="K18" s="258" t="s">
        <v>421</v>
      </c>
      <c r="L18" s="258" t="s">
        <v>421</v>
      </c>
      <c r="M18" s="258" t="s">
        <v>421</v>
      </c>
      <c r="N18" s="258" t="s">
        <v>421</v>
      </c>
      <c r="O18" s="258" t="s">
        <v>421</v>
      </c>
      <c r="P18" s="258" t="s">
        <v>421</v>
      </c>
      <c r="Q18" s="258" t="s">
        <v>421</v>
      </c>
      <c r="R18" s="258" t="s">
        <v>421</v>
      </c>
      <c r="S18" s="258" t="s">
        <v>421</v>
      </c>
      <c r="T18" s="258" t="s">
        <v>421</v>
      </c>
      <c r="U18" s="258" t="s">
        <v>421</v>
      </c>
      <c r="V18" s="258" t="s">
        <v>421</v>
      </c>
      <c r="W18" s="258" t="s">
        <v>421</v>
      </c>
      <c r="X18" s="258" t="s">
        <v>421</v>
      </c>
      <c r="Y18" s="258" t="s">
        <v>421</v>
      </c>
      <c r="Z18" s="258" t="s">
        <v>421</v>
      </c>
      <c r="AA18" s="258" t="s">
        <v>421</v>
      </c>
      <c r="AB18" s="258" t="s">
        <v>421</v>
      </c>
      <c r="AC18" s="258" t="s">
        <v>421</v>
      </c>
      <c r="AD18" s="258" t="s">
        <v>421</v>
      </c>
      <c r="AE18" s="258" t="s">
        <v>421</v>
      </c>
      <c r="AF18" s="266" t="s">
        <v>421</v>
      </c>
      <c r="AG18" s="443"/>
      <c r="AH18" s="7"/>
      <c r="AI18" s="7"/>
      <c r="AJ18" s="7"/>
      <c r="AK18" s="10"/>
      <c r="AL18" s="10"/>
      <c r="AM18" s="10"/>
      <c r="AN18" s="10"/>
    </row>
    <row r="19" spans="1:40" ht="14.25">
      <c r="A19" s="1631" t="s">
        <v>422</v>
      </c>
      <c r="B19" s="236">
        <v>12</v>
      </c>
      <c r="C19" s="254" t="s">
        <v>423</v>
      </c>
      <c r="D19" s="385">
        <f>Inputs!D59+Inputs!D60+Inputs!D62</f>
        <v>8093.69</v>
      </c>
      <c r="E19" s="385">
        <f>Inputs!C59+Inputs!C60+Inputs!C62</f>
        <v>9194.56</v>
      </c>
      <c r="F19" s="385">
        <f>Inputs!B59+Inputs!B60+Inputs!B62</f>
        <v>6253.49</v>
      </c>
      <c r="G19" s="613">
        <f>G17-G10-G9-G11</f>
        <v>4201.3026863719697</v>
      </c>
      <c r="H19" s="614">
        <f t="shared" ref="H19:AF19" si="15">H17-H10-H9-H11</f>
        <v>4741.3555052506608</v>
      </c>
      <c r="I19" s="614">
        <f t="shared" si="15"/>
        <v>5320.8236420306284</v>
      </c>
      <c r="J19" s="615">
        <f t="shared" si="15"/>
        <v>5786.7370397653867</v>
      </c>
      <c r="K19" s="616">
        <f t="shared" si="15"/>
        <v>5917.2115413611373</v>
      </c>
      <c r="L19" s="614">
        <f t="shared" si="15"/>
        <v>6060.3645675670768</v>
      </c>
      <c r="M19" s="614">
        <f t="shared" si="15"/>
        <v>5973.0845328011792</v>
      </c>
      <c r="N19" s="614">
        <f t="shared" si="15"/>
        <v>6073.2408987730687</v>
      </c>
      <c r="O19" s="614">
        <f t="shared" si="15"/>
        <v>6457.68124572128</v>
      </c>
      <c r="P19" s="614">
        <f t="shared" si="15"/>
        <v>6898.524668710581</v>
      </c>
      <c r="Q19" s="614">
        <f t="shared" si="15"/>
        <v>7279.7667909905431</v>
      </c>
      <c r="R19" s="614">
        <f t="shared" si="15"/>
        <v>7702.1937472895397</v>
      </c>
      <c r="S19" s="614">
        <f t="shared" si="15"/>
        <v>8175.4677203713172</v>
      </c>
      <c r="T19" s="614">
        <f t="shared" si="15"/>
        <v>8705.0985560917834</v>
      </c>
      <c r="U19" s="614">
        <f t="shared" si="15"/>
        <v>9166.5523719362045</v>
      </c>
      <c r="V19" s="614">
        <f t="shared" si="15"/>
        <v>9678.9749366776796</v>
      </c>
      <c r="W19" s="614">
        <f t="shared" si="15"/>
        <v>9973.1286294634428</v>
      </c>
      <c r="X19" s="614">
        <f t="shared" si="15"/>
        <v>10498.794504956084</v>
      </c>
      <c r="Y19" s="614">
        <f t="shared" si="15"/>
        <v>11092.562477862935</v>
      </c>
      <c r="Z19" s="614">
        <f t="shared" si="15"/>
        <v>11753.273463002912</v>
      </c>
      <c r="AA19" s="614">
        <f t="shared" si="15"/>
        <v>12488.326324809119</v>
      </c>
      <c r="AB19" s="614">
        <f t="shared" si="15"/>
        <v>13305.818774093404</v>
      </c>
      <c r="AC19" s="614">
        <f t="shared" si="15"/>
        <v>14214.647546861956</v>
      </c>
      <c r="AD19" s="614">
        <f t="shared" si="15"/>
        <v>15224.574200474111</v>
      </c>
      <c r="AE19" s="614">
        <f t="shared" si="15"/>
        <v>16346.295142361074</v>
      </c>
      <c r="AF19" s="617">
        <f t="shared" si="15"/>
        <v>17173.867005032131</v>
      </c>
      <c r="AG19" s="443"/>
      <c r="AH19" s="7"/>
      <c r="AI19" s="7"/>
      <c r="AJ19" s="7"/>
      <c r="AK19" s="10"/>
      <c r="AL19" s="10"/>
      <c r="AM19" s="10"/>
      <c r="AN19" s="10"/>
    </row>
    <row r="20" spans="1:40" ht="14.25">
      <c r="A20" s="1632"/>
      <c r="B20" s="236">
        <v>13</v>
      </c>
      <c r="C20" s="254" t="s">
        <v>424</v>
      </c>
      <c r="D20" s="271">
        <v>135.77500000000001</v>
      </c>
      <c r="E20" s="272">
        <v>136.834</v>
      </c>
      <c r="F20" s="633">
        <v>130.16200000000001</v>
      </c>
      <c r="G20" s="618">
        <f>G11</f>
        <v>-114.90248146066999</v>
      </c>
      <c r="H20" s="441">
        <f t="shared" ref="H20:AF20" si="16">H11</f>
        <v>-110.7663916276378</v>
      </c>
      <c r="I20" s="441">
        <f t="shared" si="16"/>
        <v>-109.32496114203263</v>
      </c>
      <c r="J20" s="442">
        <f t="shared" si="16"/>
        <v>-107.90979243296761</v>
      </c>
      <c r="K20" s="424">
        <f t="shared" si="16"/>
        <v>-110.15381370795701</v>
      </c>
      <c r="L20" s="441">
        <f t="shared" si="16"/>
        <v>-112.40555056374448</v>
      </c>
      <c r="M20" s="441">
        <f t="shared" si="16"/>
        <v>-115.06110170973385</v>
      </c>
      <c r="N20" s="441">
        <f t="shared" si="16"/>
        <v>-120.07855853277007</v>
      </c>
      <c r="O20" s="441">
        <f t="shared" si="16"/>
        <v>-125.38341422243049</v>
      </c>
      <c r="P20" s="441">
        <f t="shared" si="16"/>
        <v>-131.03484787164811</v>
      </c>
      <c r="Q20" s="441">
        <f t="shared" si="16"/>
        <v>-137.0600676188858</v>
      </c>
      <c r="R20" s="441">
        <f t="shared" si="16"/>
        <v>-143.4885700425049</v>
      </c>
      <c r="S20" s="441">
        <f t="shared" si="16"/>
        <v>-150.35233687549368</v>
      </c>
      <c r="T20" s="441">
        <f t="shared" si="16"/>
        <v>-157.68604873974161</v>
      </c>
      <c r="U20" s="441">
        <f t="shared" si="16"/>
        <v>-165.52731737516166</v>
      </c>
      <c r="V20" s="441">
        <f t="shared" si="16"/>
        <v>-173.91693796691672</v>
      </c>
      <c r="W20" s="441">
        <f t="shared" si="16"/>
        <v>-182.47709518941483</v>
      </c>
      <c r="X20" s="441">
        <f t="shared" si="16"/>
        <v>-191.63072232666775</v>
      </c>
      <c r="Y20" s="441">
        <f t="shared" si="16"/>
        <v>-201.40091211002189</v>
      </c>
      <c r="Z20" s="441">
        <f t="shared" si="16"/>
        <v>-211.83468750346927</v>
      </c>
      <c r="AA20" s="441">
        <f t="shared" si="16"/>
        <v>-222.98282504997292</v>
      </c>
      <c r="AB20" s="441">
        <f t="shared" si="16"/>
        <v>-234.90015899934068</v>
      </c>
      <c r="AC20" s="441">
        <f t="shared" si="16"/>
        <v>-247.64591019326113</v>
      </c>
      <c r="AD20" s="441">
        <f t="shared" si="16"/>
        <v>-261.2840417257587</v>
      </c>
      <c r="AE20" s="441">
        <f t="shared" si="16"/>
        <v>-275.88364356192892</v>
      </c>
      <c r="AF20" s="619">
        <f t="shared" si="16"/>
        <v>-281.40131643316749</v>
      </c>
      <c r="AG20" s="443"/>
      <c r="AH20" s="7"/>
      <c r="AI20" s="7"/>
      <c r="AJ20" s="7"/>
      <c r="AK20" s="10"/>
      <c r="AL20" s="10"/>
      <c r="AM20" s="10"/>
      <c r="AN20" s="10"/>
    </row>
    <row r="21" spans="1:40" ht="14.25">
      <c r="A21" s="1632"/>
      <c r="B21" s="236">
        <v>14</v>
      </c>
      <c r="C21" s="254" t="s">
        <v>425</v>
      </c>
      <c r="D21" s="276">
        <f>Inputs!D61</f>
        <v>-1862.89</v>
      </c>
      <c r="E21" s="275">
        <f>Inputs!C61</f>
        <v>877.44</v>
      </c>
      <c r="F21" s="634">
        <f>Inputs!B61</f>
        <v>858.41</v>
      </c>
      <c r="G21" s="620">
        <f>G6*$D$60</f>
        <v>931.64174157299976</v>
      </c>
      <c r="H21" s="413">
        <f t="shared" ref="H21:J21" si="17">H6*$D$60</f>
        <v>898.10587806192802</v>
      </c>
      <c r="I21" s="413">
        <f t="shared" si="17"/>
        <v>886.41860385431858</v>
      </c>
      <c r="J21" s="414">
        <f t="shared" si="17"/>
        <v>874.94426297000757</v>
      </c>
      <c r="K21" s="316">
        <f>K6*$E$60</f>
        <v>744.28252505376361</v>
      </c>
      <c r="L21" s="313">
        <f t="shared" ref="L21:AF21" si="18">L6*$E$60</f>
        <v>759.49696326854382</v>
      </c>
      <c r="M21" s="313">
        <f t="shared" si="18"/>
        <v>777.43987641712056</v>
      </c>
      <c r="N21" s="313">
        <f t="shared" si="18"/>
        <v>811.34161170790594</v>
      </c>
      <c r="O21" s="313">
        <f t="shared" si="18"/>
        <v>847.18523123263844</v>
      </c>
      <c r="P21" s="313">
        <f t="shared" si="18"/>
        <v>885.37059372735212</v>
      </c>
      <c r="Q21" s="313">
        <f t="shared" si="18"/>
        <v>926.08153796544457</v>
      </c>
      <c r="R21" s="313">
        <f t="shared" si="18"/>
        <v>969.51736515206017</v>
      </c>
      <c r="S21" s="313">
        <f t="shared" si="18"/>
        <v>1015.89416807766</v>
      </c>
      <c r="T21" s="313">
        <f t="shared" si="18"/>
        <v>1065.4462752685245</v>
      </c>
      <c r="U21" s="313">
        <f t="shared" si="18"/>
        <v>1118.4278201024435</v>
      </c>
      <c r="V21" s="313">
        <f t="shared" si="18"/>
        <v>1175.1144457224102</v>
      </c>
      <c r="W21" s="313">
        <f t="shared" si="18"/>
        <v>1232.9533458744245</v>
      </c>
      <c r="X21" s="313">
        <f t="shared" si="18"/>
        <v>1294.8021778828902</v>
      </c>
      <c r="Y21" s="313">
        <f t="shared" si="18"/>
        <v>1360.8169737163641</v>
      </c>
      <c r="Z21" s="313">
        <f t="shared" si="18"/>
        <v>1431.3154561045221</v>
      </c>
      <c r="AA21" s="313">
        <f t="shared" si="18"/>
        <v>1506.6407097971144</v>
      </c>
      <c r="AB21" s="313">
        <f t="shared" si="18"/>
        <v>1587.1632364820316</v>
      </c>
      <c r="AC21" s="313">
        <f t="shared" si="18"/>
        <v>1673.2831769814941</v>
      </c>
      <c r="AD21" s="313">
        <f t="shared" si="18"/>
        <v>1765.4327143632345</v>
      </c>
      <c r="AE21" s="313">
        <f t="shared" si="18"/>
        <v>1864.078672715736</v>
      </c>
      <c r="AF21" s="621">
        <f t="shared" si="18"/>
        <v>1901.3602461700507</v>
      </c>
      <c r="AG21" s="443"/>
      <c r="AH21" s="7"/>
      <c r="AI21" s="7"/>
      <c r="AJ21" s="7"/>
      <c r="AK21" s="10"/>
      <c r="AL21" s="10"/>
      <c r="AM21" s="10"/>
      <c r="AN21" s="10"/>
    </row>
    <row r="22" spans="1:40" ht="14.25">
      <c r="A22" s="1632"/>
      <c r="B22" s="236">
        <v>15</v>
      </c>
      <c r="C22" s="259" t="s">
        <v>426</v>
      </c>
      <c r="D22" s="273">
        <f>D19+D20+D21</f>
        <v>6366.5749999999998</v>
      </c>
      <c r="E22" s="274">
        <f t="shared" ref="E22:AF22" si="19">E19+E20+E21</f>
        <v>10208.834000000001</v>
      </c>
      <c r="F22" s="635">
        <f>F19+F20+F21</f>
        <v>7242.0619999999999</v>
      </c>
      <c r="G22" s="622">
        <f>G19+G20+G21</f>
        <v>5018.0419464842998</v>
      </c>
      <c r="H22" s="411">
        <f t="shared" si="19"/>
        <v>5528.6949916849508</v>
      </c>
      <c r="I22" s="411">
        <f t="shared" si="19"/>
        <v>6097.9172847429145</v>
      </c>
      <c r="J22" s="412">
        <f t="shared" si="19"/>
        <v>6553.7715103024275</v>
      </c>
      <c r="K22" s="410">
        <f t="shared" si="19"/>
        <v>6551.3402527069438</v>
      </c>
      <c r="L22" s="411">
        <f t="shared" si="19"/>
        <v>6707.4559802718759</v>
      </c>
      <c r="M22" s="411">
        <f t="shared" si="19"/>
        <v>6635.4633075085658</v>
      </c>
      <c r="N22" s="411">
        <f t="shared" si="19"/>
        <v>6764.5039519482043</v>
      </c>
      <c r="O22" s="411">
        <f t="shared" si="19"/>
        <v>7179.4830627314877</v>
      </c>
      <c r="P22" s="411">
        <f t="shared" si="19"/>
        <v>7652.8604145662848</v>
      </c>
      <c r="Q22" s="411">
        <f t="shared" si="19"/>
        <v>8068.7882613371021</v>
      </c>
      <c r="R22" s="411">
        <f t="shared" si="19"/>
        <v>8528.2225423990949</v>
      </c>
      <c r="S22" s="411">
        <f t="shared" si="19"/>
        <v>9041.0095515734829</v>
      </c>
      <c r="T22" s="411">
        <f t="shared" si="19"/>
        <v>9612.8587826205676</v>
      </c>
      <c r="U22" s="411">
        <f t="shared" si="19"/>
        <v>10119.452874663486</v>
      </c>
      <c r="V22" s="411">
        <f t="shared" si="19"/>
        <v>10680.172444433174</v>
      </c>
      <c r="W22" s="411">
        <f t="shared" si="19"/>
        <v>11023.604880148452</v>
      </c>
      <c r="X22" s="411">
        <f t="shared" si="19"/>
        <v>11601.965960512305</v>
      </c>
      <c r="Y22" s="411">
        <f t="shared" si="19"/>
        <v>12251.978539469277</v>
      </c>
      <c r="Z22" s="411">
        <f t="shared" si="19"/>
        <v>12972.754231603965</v>
      </c>
      <c r="AA22" s="411">
        <f t="shared" si="19"/>
        <v>13771.984209556262</v>
      </c>
      <c r="AB22" s="411">
        <f t="shared" si="19"/>
        <v>14658.081851576095</v>
      </c>
      <c r="AC22" s="411">
        <f t="shared" si="19"/>
        <v>15640.284813650189</v>
      </c>
      <c r="AD22" s="411">
        <f t="shared" si="19"/>
        <v>16728.722873111587</v>
      </c>
      <c r="AE22" s="411">
        <f t="shared" si="19"/>
        <v>17934.490171514881</v>
      </c>
      <c r="AF22" s="623">
        <f t="shared" si="19"/>
        <v>18793.825934769015</v>
      </c>
      <c r="AG22" s="443"/>
      <c r="AH22" s="7"/>
      <c r="AI22" s="7"/>
      <c r="AJ22" s="7"/>
      <c r="AK22" s="10"/>
      <c r="AL22" s="10"/>
      <c r="AM22" s="10"/>
      <c r="AN22" s="10"/>
    </row>
    <row r="23" spans="1:40" ht="14.25">
      <c r="A23" s="1632"/>
      <c r="B23" s="236">
        <v>16</v>
      </c>
      <c r="C23" s="254" t="s">
        <v>427</v>
      </c>
      <c r="D23" s="293">
        <f>'Fin. Data'!D32</f>
        <v>-1602.6</v>
      </c>
      <c r="E23" s="292">
        <f>'Fin. Data'!C32</f>
        <v>-1915.6</v>
      </c>
      <c r="F23" s="636">
        <f>'Fin. Data'!B32</f>
        <v>-2199.3000000000002</v>
      </c>
      <c r="G23" s="624">
        <f>G6*$D$62</f>
        <v>-2173.8307303369997</v>
      </c>
      <c r="H23" s="313">
        <f t="shared" ref="H23:J23" si="20">H6*$D$62</f>
        <v>-2095.5803821444993</v>
      </c>
      <c r="I23" s="313">
        <f t="shared" si="20"/>
        <v>-2068.310075660077</v>
      </c>
      <c r="J23" s="398">
        <f t="shared" si="20"/>
        <v>-2041.5366135966844</v>
      </c>
      <c r="K23" s="316">
        <f t="shared" ref="K23:AF23" si="21">K6*$E$62</f>
        <v>-1488.5650501075272</v>
      </c>
      <c r="L23" s="313">
        <f t="shared" si="21"/>
        <v>-1518.9939265370876</v>
      </c>
      <c r="M23" s="313">
        <f t="shared" si="21"/>
        <v>-1554.8797528342411</v>
      </c>
      <c r="N23" s="313">
        <f t="shared" si="21"/>
        <v>-1622.6832234158119</v>
      </c>
      <c r="O23" s="313">
        <f t="shared" si="21"/>
        <v>-1694.3704624652769</v>
      </c>
      <c r="P23" s="313">
        <f t="shared" si="21"/>
        <v>-1770.7411874547042</v>
      </c>
      <c r="Q23" s="313">
        <f t="shared" si="21"/>
        <v>-1852.1630759308891</v>
      </c>
      <c r="R23" s="313">
        <f t="shared" si="21"/>
        <v>-1939.0347303041203</v>
      </c>
      <c r="S23" s="313">
        <f t="shared" si="21"/>
        <v>-2031.7883361553199</v>
      </c>
      <c r="T23" s="313">
        <f t="shared" si="21"/>
        <v>-2130.8925505370489</v>
      </c>
      <c r="U23" s="313">
        <f t="shared" si="21"/>
        <v>-2236.8556402048871</v>
      </c>
      <c r="V23" s="313">
        <f t="shared" si="21"/>
        <v>-2350.2288914448204</v>
      </c>
      <c r="W23" s="313">
        <f t="shared" si="21"/>
        <v>-2465.906691748849</v>
      </c>
      <c r="X23" s="313">
        <f t="shared" si="21"/>
        <v>-2589.6043557657804</v>
      </c>
      <c r="Y23" s="313">
        <f t="shared" si="21"/>
        <v>-2721.6339474327283</v>
      </c>
      <c r="Z23" s="313">
        <f t="shared" si="21"/>
        <v>-2862.6309122090443</v>
      </c>
      <c r="AA23" s="313">
        <f t="shared" si="21"/>
        <v>-3013.2814195942287</v>
      </c>
      <c r="AB23" s="313">
        <f t="shared" si="21"/>
        <v>-3174.3264729640632</v>
      </c>
      <c r="AC23" s="313">
        <f t="shared" si="21"/>
        <v>-3346.5663539629882</v>
      </c>
      <c r="AD23" s="313">
        <f t="shared" si="21"/>
        <v>-3530.865428726469</v>
      </c>
      <c r="AE23" s="313">
        <f t="shared" si="21"/>
        <v>-3728.1573454314721</v>
      </c>
      <c r="AF23" s="621">
        <f t="shared" si="21"/>
        <v>-3802.7204923401014</v>
      </c>
      <c r="AG23" s="444">
        <f>SUM(D23:AF23)</f>
        <v>-67523.648049305732</v>
      </c>
      <c r="AH23" s="7"/>
      <c r="AI23" s="7"/>
      <c r="AJ23" s="7"/>
      <c r="AK23" s="10"/>
      <c r="AL23" s="10"/>
      <c r="AM23" s="10"/>
      <c r="AN23" s="10"/>
    </row>
    <row r="24" spans="1:40" ht="14.25">
      <c r="A24" s="1632"/>
      <c r="B24" s="236">
        <v>17</v>
      </c>
      <c r="C24" s="254" t="s">
        <v>428</v>
      </c>
      <c r="D24" s="276">
        <f>Inputs!D65</f>
        <v>-1271.4260000000002</v>
      </c>
      <c r="E24" s="275">
        <f>'Fin. Data'!C33</f>
        <v>-3876.9160000000002</v>
      </c>
      <c r="F24" s="634">
        <f>'Fin. Data'!B33</f>
        <v>-225.0440000000001</v>
      </c>
      <c r="G24" s="624">
        <f>G6*$D$63</f>
        <v>-931.64174157299976</v>
      </c>
      <c r="H24" s="313">
        <f t="shared" ref="H24:J24" si="22">H6*$D$63</f>
        <v>-898.10587806192802</v>
      </c>
      <c r="I24" s="313">
        <f t="shared" si="22"/>
        <v>-886.41860385431858</v>
      </c>
      <c r="J24" s="398">
        <f t="shared" si="22"/>
        <v>-874.94426297000757</v>
      </c>
      <c r="K24" s="316">
        <f t="shared" ref="K24:AF24" si="23">K6*$E$63</f>
        <v>-744.28252505376361</v>
      </c>
      <c r="L24" s="313">
        <f t="shared" si="23"/>
        <v>-759.49696326854382</v>
      </c>
      <c r="M24" s="313">
        <f t="shared" si="23"/>
        <v>-777.43987641712056</v>
      </c>
      <c r="N24" s="313">
        <f t="shared" si="23"/>
        <v>-811.34161170790594</v>
      </c>
      <c r="O24" s="313">
        <f t="shared" si="23"/>
        <v>-847.18523123263844</v>
      </c>
      <c r="P24" s="313">
        <f t="shared" si="23"/>
        <v>-885.37059372735212</v>
      </c>
      <c r="Q24" s="313">
        <f t="shared" si="23"/>
        <v>-926.08153796544457</v>
      </c>
      <c r="R24" s="313">
        <f t="shared" si="23"/>
        <v>-969.51736515206017</v>
      </c>
      <c r="S24" s="313">
        <f t="shared" si="23"/>
        <v>-1015.89416807766</v>
      </c>
      <c r="T24" s="313">
        <f t="shared" si="23"/>
        <v>-1065.4462752685245</v>
      </c>
      <c r="U24" s="313">
        <f t="shared" si="23"/>
        <v>-1118.4278201024435</v>
      </c>
      <c r="V24" s="313">
        <f t="shared" si="23"/>
        <v>-1175.1144457224102</v>
      </c>
      <c r="W24" s="313">
        <f t="shared" si="23"/>
        <v>-1232.9533458744245</v>
      </c>
      <c r="X24" s="313">
        <f t="shared" si="23"/>
        <v>-1294.8021778828902</v>
      </c>
      <c r="Y24" s="313">
        <f t="shared" si="23"/>
        <v>-1360.8169737163641</v>
      </c>
      <c r="Z24" s="313">
        <f t="shared" si="23"/>
        <v>-1431.3154561045221</v>
      </c>
      <c r="AA24" s="313">
        <f t="shared" si="23"/>
        <v>-1506.6407097971144</v>
      </c>
      <c r="AB24" s="313">
        <f t="shared" si="23"/>
        <v>-1587.1632364820316</v>
      </c>
      <c r="AC24" s="313">
        <f t="shared" si="23"/>
        <v>-1673.2831769814941</v>
      </c>
      <c r="AD24" s="313">
        <f t="shared" si="23"/>
        <v>-1765.4327143632345</v>
      </c>
      <c r="AE24" s="313">
        <f t="shared" si="23"/>
        <v>-1864.078672715736</v>
      </c>
      <c r="AF24" s="621">
        <f t="shared" si="23"/>
        <v>-1901.3602461700507</v>
      </c>
      <c r="AG24" s="443"/>
      <c r="AH24" s="445">
        <f>AG9-AG23</f>
        <v>31094.827826431152</v>
      </c>
      <c r="AI24" s="7"/>
      <c r="AJ24" s="7"/>
      <c r="AK24" s="10"/>
      <c r="AL24" s="10"/>
      <c r="AM24" s="10"/>
      <c r="AN24" s="10"/>
    </row>
    <row r="25" spans="1:40" ht="14.25">
      <c r="A25" s="1632"/>
      <c r="B25" s="236">
        <v>18</v>
      </c>
      <c r="C25" s="254" t="s">
        <v>429</v>
      </c>
      <c r="D25" s="276">
        <f>Inputs!D66</f>
        <v>0.17600000000015825</v>
      </c>
      <c r="E25" s="275">
        <f>Inputs!C66</f>
        <v>89.80600000000004</v>
      </c>
      <c r="F25" s="634">
        <f>Inputs!B66</f>
        <v>-72.085999999999558</v>
      </c>
      <c r="G25" s="624">
        <f>(1+G5)*AVERAGE(D25:F25)</f>
        <v>5.336515081072319</v>
      </c>
      <c r="H25" s="313">
        <f t="shared" ref="H25:AF25" si="24">(1+H5)*AVERAGE(E25:G25)</f>
        <v>7.4088535674570206</v>
      </c>
      <c r="I25" s="313">
        <f t="shared" si="24"/>
        <v>-19.522805673318398</v>
      </c>
      <c r="J25" s="398">
        <f t="shared" si="24"/>
        <v>-2.2299019209417335</v>
      </c>
      <c r="K25" s="316">
        <f t="shared" si="24"/>
        <v>-4.8807131360949674</v>
      </c>
      <c r="L25" s="313">
        <f t="shared" si="24"/>
        <v>-9.0592848303570381</v>
      </c>
      <c r="M25" s="313">
        <f t="shared" si="24"/>
        <v>-5.5173031528798404</v>
      </c>
      <c r="N25" s="313">
        <f t="shared" si="24"/>
        <v>-6.7685911706329751</v>
      </c>
      <c r="O25" s="313">
        <f t="shared" si="24"/>
        <v>-7.4293903152611742</v>
      </c>
      <c r="P25" s="313">
        <f t="shared" si="24"/>
        <v>-6.8679719706389317</v>
      </c>
      <c r="Q25" s="313">
        <f t="shared" si="24"/>
        <v>-7.3448680563634197</v>
      </c>
      <c r="R25" s="313">
        <f t="shared" si="24"/>
        <v>-7.5524372593018336</v>
      </c>
      <c r="S25" s="313">
        <f t="shared" si="24"/>
        <v>-7.6021393243367807</v>
      </c>
      <c r="T25" s="313">
        <f t="shared" si="24"/>
        <v>-7.8656321496761779</v>
      </c>
      <c r="U25" s="313">
        <f t="shared" si="24"/>
        <v>-8.0549789227728752</v>
      </c>
      <c r="V25" s="313">
        <f t="shared" si="24"/>
        <v>-8.2383274383183398</v>
      </c>
      <c r="W25" s="313">
        <f t="shared" si="24"/>
        <v>-8.4493455589378677</v>
      </c>
      <c r="X25" s="313">
        <f t="shared" si="24"/>
        <v>-8.6612738159288138</v>
      </c>
      <c r="Y25" s="313">
        <f t="shared" si="24"/>
        <v>-8.8804497650799892</v>
      </c>
      <c r="Z25" s="313">
        <f t="shared" si="24"/>
        <v>-9.1125208114481886</v>
      </c>
      <c r="AA25" s="313">
        <f t="shared" si="24"/>
        <v>-9.3523221405136514</v>
      </c>
      <c r="AB25" s="313">
        <f t="shared" si="24"/>
        <v>-9.6022546514917728</v>
      </c>
      <c r="AC25" s="313">
        <f t="shared" si="24"/>
        <v>-9.8633421707047884</v>
      </c>
      <c r="AD25" s="313">
        <f t="shared" si="24"/>
        <v>-10.134984441867307</v>
      </c>
      <c r="AE25" s="313">
        <f t="shared" si="24"/>
        <v>-10.418184691192884</v>
      </c>
      <c r="AF25" s="621">
        <f t="shared" si="24"/>
        <v>-10.341613843280092</v>
      </c>
      <c r="AG25" s="296"/>
      <c r="AH25" s="7"/>
      <c r="AI25" s="7"/>
      <c r="AJ25" s="7"/>
      <c r="AK25" s="10"/>
      <c r="AL25" s="10"/>
      <c r="AM25" s="10"/>
      <c r="AN25" s="10"/>
    </row>
    <row r="26" spans="1:40" ht="14.25">
      <c r="A26" s="1632"/>
      <c r="B26" s="236">
        <v>19</v>
      </c>
      <c r="C26" s="259" t="s">
        <v>430</v>
      </c>
      <c r="D26" s="273">
        <f t="shared" ref="D26:AF26" si="25">D23+D24+D25</f>
        <v>-2873.8499999999995</v>
      </c>
      <c r="E26" s="274">
        <f t="shared" si="25"/>
        <v>-5702.7099999999991</v>
      </c>
      <c r="F26" s="635">
        <f t="shared" si="25"/>
        <v>-2496.4299999999994</v>
      </c>
      <c r="G26" s="625">
        <f>G23+G24+G25</f>
        <v>-3100.1359568289272</v>
      </c>
      <c r="H26" s="329">
        <f t="shared" si="25"/>
        <v>-2986.2774066389707</v>
      </c>
      <c r="I26" s="329">
        <f t="shared" si="25"/>
        <v>-2974.251485187714</v>
      </c>
      <c r="J26" s="397">
        <f t="shared" si="25"/>
        <v>-2918.7107784876339</v>
      </c>
      <c r="K26" s="330">
        <f t="shared" si="25"/>
        <v>-2237.7282882973859</v>
      </c>
      <c r="L26" s="329">
        <f t="shared" si="25"/>
        <v>-2287.5501746359887</v>
      </c>
      <c r="M26" s="329">
        <f t="shared" si="25"/>
        <v>-2337.8369324042415</v>
      </c>
      <c r="N26" s="329">
        <f t="shared" si="25"/>
        <v>-2440.7934262943509</v>
      </c>
      <c r="O26" s="329">
        <f t="shared" si="25"/>
        <v>-2548.9850840131767</v>
      </c>
      <c r="P26" s="329">
        <f t="shared" si="25"/>
        <v>-2662.9797531526951</v>
      </c>
      <c r="Q26" s="329">
        <f t="shared" si="25"/>
        <v>-2785.589481952697</v>
      </c>
      <c r="R26" s="329">
        <f t="shared" si="25"/>
        <v>-2916.1045327154825</v>
      </c>
      <c r="S26" s="329">
        <f t="shared" si="25"/>
        <v>-3055.2846435573169</v>
      </c>
      <c r="T26" s="329">
        <f t="shared" si="25"/>
        <v>-3204.2044579552494</v>
      </c>
      <c r="U26" s="329">
        <f t="shared" si="25"/>
        <v>-3363.3384392301036</v>
      </c>
      <c r="V26" s="329">
        <f t="shared" si="25"/>
        <v>-3533.5816646055491</v>
      </c>
      <c r="W26" s="329">
        <f t="shared" si="25"/>
        <v>-3707.3093831822111</v>
      </c>
      <c r="X26" s="329">
        <f t="shared" si="25"/>
        <v>-3893.0678074645994</v>
      </c>
      <c r="Y26" s="329">
        <f t="shared" si="25"/>
        <v>-4091.3313709141721</v>
      </c>
      <c r="Z26" s="329">
        <f t="shared" si="25"/>
        <v>-4303.0588891250145</v>
      </c>
      <c r="AA26" s="329">
        <f t="shared" si="25"/>
        <v>-4529.2744515318573</v>
      </c>
      <c r="AB26" s="329">
        <f t="shared" si="25"/>
        <v>-4771.0919640975862</v>
      </c>
      <c r="AC26" s="329">
        <f t="shared" si="25"/>
        <v>-5029.712873115187</v>
      </c>
      <c r="AD26" s="329">
        <f t="shared" si="25"/>
        <v>-5306.4331275315708</v>
      </c>
      <c r="AE26" s="329">
        <f t="shared" si="25"/>
        <v>-5602.654202838401</v>
      </c>
      <c r="AF26" s="626">
        <f t="shared" si="25"/>
        <v>-5714.4223523534329</v>
      </c>
      <c r="AG26" s="443"/>
      <c r="AH26" s="7"/>
      <c r="AI26" s="7"/>
      <c r="AJ26" s="7"/>
      <c r="AK26" s="10"/>
      <c r="AL26" s="10"/>
      <c r="AM26" s="10"/>
      <c r="AN26" s="10"/>
    </row>
    <row r="27" spans="1:40" ht="14.25">
      <c r="A27" s="1632"/>
      <c r="B27" s="236">
        <v>20</v>
      </c>
      <c r="C27" s="254" t="s">
        <v>431</v>
      </c>
      <c r="D27" s="276">
        <f>Inputs!D69+Inputs!D70</f>
        <v>11.425000000000001</v>
      </c>
      <c r="E27" s="275">
        <f>Inputs!C69+Inputs!C70</f>
        <v>16.007999999999999</v>
      </c>
      <c r="F27" s="636">
        <f>Inputs!B69+Inputs!B70</f>
        <v>16.84</v>
      </c>
      <c r="G27" s="1025">
        <f>G6*$D$66</f>
        <v>-15.527362359549999</v>
      </c>
      <c r="H27" s="1026">
        <f t="shared" ref="H27:J27" si="26">H6*$D$66</f>
        <v>-14.968431301032135</v>
      </c>
      <c r="I27" s="1026">
        <f t="shared" si="26"/>
        <v>-14.773643397571977</v>
      </c>
      <c r="J27" s="1027">
        <f t="shared" si="26"/>
        <v>-14.58240438283346</v>
      </c>
      <c r="K27" s="1028">
        <f>$E$66*K6</f>
        <v>-14.885650501075272</v>
      </c>
      <c r="L27" s="1026">
        <f>$E$66*L6</f>
        <v>-15.189939265370874</v>
      </c>
      <c r="M27" s="1026">
        <f t="shared" ref="M27:AE27" si="27">$E$66*M6</f>
        <v>-15.548797528342412</v>
      </c>
      <c r="N27" s="1026">
        <f t="shared" si="27"/>
        <v>-16.226832234158117</v>
      </c>
      <c r="O27" s="1026">
        <f t="shared" si="27"/>
        <v>-16.943704624652767</v>
      </c>
      <c r="P27" s="1026">
        <f t="shared" si="27"/>
        <v>-17.707411874547041</v>
      </c>
      <c r="Q27" s="1026">
        <f t="shared" si="27"/>
        <v>-18.521630759308891</v>
      </c>
      <c r="R27" s="1026">
        <f t="shared" si="27"/>
        <v>-19.390347303041203</v>
      </c>
      <c r="S27" s="1026">
        <f t="shared" si="27"/>
        <v>-20.3178833615532</v>
      </c>
      <c r="T27" s="1026">
        <f t="shared" si="27"/>
        <v>-21.308925505370489</v>
      </c>
      <c r="U27" s="1026">
        <f t="shared" si="27"/>
        <v>-22.368556402048871</v>
      </c>
      <c r="V27" s="1026">
        <f t="shared" si="27"/>
        <v>-23.502288914448204</v>
      </c>
      <c r="W27" s="1026">
        <f t="shared" si="27"/>
        <v>-24.659066917488492</v>
      </c>
      <c r="X27" s="1026">
        <f t="shared" si="27"/>
        <v>-25.896043557657801</v>
      </c>
      <c r="Y27" s="1026">
        <f t="shared" si="27"/>
        <v>-27.216339474327281</v>
      </c>
      <c r="Z27" s="1026">
        <f t="shared" si="27"/>
        <v>-28.62630912209044</v>
      </c>
      <c r="AA27" s="1026">
        <f t="shared" si="27"/>
        <v>-30.132814195942288</v>
      </c>
      <c r="AB27" s="1026">
        <f t="shared" si="27"/>
        <v>-31.743264729640629</v>
      </c>
      <c r="AC27" s="1026">
        <f t="shared" si="27"/>
        <v>-33.46566353962988</v>
      </c>
      <c r="AD27" s="1026">
        <f t="shared" si="27"/>
        <v>-35.308654287264687</v>
      </c>
      <c r="AE27" s="1026">
        <f t="shared" si="27"/>
        <v>-37.281573454314717</v>
      </c>
      <c r="AF27" s="1029">
        <f>$E$66*AF6</f>
        <v>-38.027204923401015</v>
      </c>
      <c r="AG27" s="443"/>
      <c r="AH27" s="7"/>
      <c r="AI27" s="7"/>
      <c r="AJ27" s="7"/>
      <c r="AK27" s="10"/>
      <c r="AL27" s="10"/>
      <c r="AM27" s="10"/>
      <c r="AN27" s="10"/>
    </row>
    <row r="28" spans="1:40" ht="14.25">
      <c r="A28" s="1632"/>
      <c r="B28" s="236">
        <v>21</v>
      </c>
      <c r="C28" s="254" t="s">
        <v>432</v>
      </c>
      <c r="D28" s="293">
        <f>+SUM(Inputs!D68:D68)</f>
        <v>246.81</v>
      </c>
      <c r="E28" s="275">
        <f>+SUM(Inputs!C68:C68)</f>
        <v>922.29</v>
      </c>
      <c r="F28" s="634">
        <f>+SUM(Inputs!B68:B68)</f>
        <v>-34.869999999999997</v>
      </c>
      <c r="G28" s="624">
        <f>G44-F44</f>
        <v>-580.75690520372882</v>
      </c>
      <c r="H28" s="313">
        <f t="shared" ref="H28:AF28" si="28">H44-G44</f>
        <v>417.11211936248856</v>
      </c>
      <c r="I28" s="313">
        <v>2500</v>
      </c>
      <c r="J28" s="398">
        <f t="shared" si="28"/>
        <v>577.69532032708503</v>
      </c>
      <c r="K28" s="316">
        <f t="shared" si="28"/>
        <v>-1689.5068034881369</v>
      </c>
      <c r="L28" s="313">
        <f>L44-K44</f>
        <v>196.39437206991624</v>
      </c>
      <c r="M28" s="313">
        <f t="shared" si="28"/>
        <v>-181.5223262771633</v>
      </c>
      <c r="N28" s="313">
        <f t="shared" si="28"/>
        <v>70.395155699778115</v>
      </c>
      <c r="O28" s="313">
        <f t="shared" si="28"/>
        <v>419.18965218627545</v>
      </c>
      <c r="P28" s="313">
        <f t="shared" si="28"/>
        <v>470.80357162672226</v>
      </c>
      <c r="Q28" s="313">
        <f t="shared" si="28"/>
        <v>388.97602509851004</v>
      </c>
      <c r="R28" s="313">
        <f t="shared" si="28"/>
        <v>440.44569565005349</v>
      </c>
      <c r="S28" s="313">
        <f t="shared" si="28"/>
        <v>497.85331282336665</v>
      </c>
      <c r="T28" s="313">
        <f t="shared" si="28"/>
        <v>561.79688522344077</v>
      </c>
      <c r="U28" s="313">
        <f t="shared" si="28"/>
        <v>467.16066391110689</v>
      </c>
      <c r="V28" s="313">
        <f t="shared" si="28"/>
        <v>530.45120091420722</v>
      </c>
      <c r="W28" s="313">
        <f t="shared" si="28"/>
        <v>246.46001713895384</v>
      </c>
      <c r="X28" s="313">
        <f t="shared" si="28"/>
        <v>547.55534656770396</v>
      </c>
      <c r="Y28" s="313">
        <f t="shared" si="28"/>
        <v>615.338186366831</v>
      </c>
      <c r="Z28" s="313">
        <f t="shared" si="28"/>
        <v>690.72385033656246</v>
      </c>
      <c r="AA28" s="313">
        <f t="shared" si="28"/>
        <v>774.45900653382887</v>
      </c>
      <c r="AB28" s="313">
        <f t="shared" si="28"/>
        <v>867.35813398400387</v>
      </c>
      <c r="AC28" s="313">
        <f t="shared" si="28"/>
        <v>970.30941419420378</v>
      </c>
      <c r="AD28" s="313">
        <f t="shared" si="28"/>
        <v>1084.2811216391019</v>
      </c>
      <c r="AE28" s="313">
        <f t="shared" si="28"/>
        <v>1210.328554852098</v>
      </c>
      <c r="AF28" s="621">
        <f t="shared" si="28"/>
        <v>834.63707346464798</v>
      </c>
      <c r="AG28" s="443"/>
      <c r="AH28" s="7"/>
      <c r="AI28" s="7"/>
      <c r="AJ28" s="7"/>
      <c r="AK28" s="10"/>
      <c r="AL28" s="10"/>
      <c r="AM28" s="10"/>
      <c r="AN28" s="10"/>
    </row>
    <row r="29" spans="1:40" ht="14.25">
      <c r="A29" s="1632"/>
      <c r="B29" s="236">
        <v>22</v>
      </c>
      <c r="C29" s="254" t="s">
        <v>433</v>
      </c>
      <c r="D29" s="293">
        <f>'Fin. Data'!D28</f>
        <v>-3204.09</v>
      </c>
      <c r="E29" s="275">
        <f>'Fin. Data'!C28</f>
        <v>-2803.8</v>
      </c>
      <c r="F29" s="636">
        <f>'Fin. Data'!B28</f>
        <v>-1591.52</v>
      </c>
      <c r="G29" s="624">
        <f>G34*$D$65</f>
        <v>-493.54477030954371</v>
      </c>
      <c r="H29" s="624">
        <f t="shared" ref="H29:J29" si="29">H34*$D$65</f>
        <v>-1208.5980272616946</v>
      </c>
      <c r="I29" s="624">
        <f t="shared" si="29"/>
        <v>-2383.0044742391647</v>
      </c>
      <c r="J29" s="624">
        <f t="shared" si="29"/>
        <v>-1771.1800958306624</v>
      </c>
      <c r="K29" s="316">
        <f>K34*$E$65</f>
        <v>-1162.6626475348403</v>
      </c>
      <c r="L29" s="316">
        <f t="shared" ref="L29:AF29" si="30">L34*$E$65</f>
        <v>-2154.3872549515336</v>
      </c>
      <c r="M29" s="316">
        <f t="shared" si="30"/>
        <v>-1907.2349707684216</v>
      </c>
      <c r="N29" s="316">
        <f t="shared" si="30"/>
        <v>-2038.9530678610029</v>
      </c>
      <c r="O29" s="316">
        <f t="shared" si="30"/>
        <v>-2363.5053606907891</v>
      </c>
      <c r="P29" s="316">
        <f t="shared" si="30"/>
        <v>-2566.157222872891</v>
      </c>
      <c r="Q29" s="316">
        <f t="shared" si="30"/>
        <v>-2667.0758254669954</v>
      </c>
      <c r="R29" s="316">
        <f t="shared" si="30"/>
        <v>-2853.2877943670424</v>
      </c>
      <c r="S29" s="316">
        <f t="shared" si="30"/>
        <v>-3064.5421183344292</v>
      </c>
      <c r="T29" s="316">
        <f t="shared" si="30"/>
        <v>-3303.2227873930838</v>
      </c>
      <c r="U29" s="316">
        <f t="shared" si="30"/>
        <v>-3424.8915625664749</v>
      </c>
      <c r="V29" s="316">
        <f t="shared" si="30"/>
        <v>-3646.7532791742115</v>
      </c>
      <c r="W29" s="316">
        <f t="shared" si="30"/>
        <v>-3584.7609386688973</v>
      </c>
      <c r="X29" s="316">
        <f t="shared" si="30"/>
        <v>-3926.2964209183579</v>
      </c>
      <c r="Y29" s="316">
        <f t="shared" si="30"/>
        <v>-4180.5527886024647</v>
      </c>
      <c r="Z29" s="316">
        <f t="shared" si="30"/>
        <v>-4467.0695881959109</v>
      </c>
      <c r="AA29" s="316">
        <f t="shared" si="30"/>
        <v>-4789.4344229085546</v>
      </c>
      <c r="AB29" s="316">
        <f t="shared" si="30"/>
        <v>-5151.7573606829783</v>
      </c>
      <c r="AC29" s="316">
        <f t="shared" si="30"/>
        <v>-5558.4787010396003</v>
      </c>
      <c r="AD29" s="316">
        <f t="shared" si="30"/>
        <v>-6014.4679072437084</v>
      </c>
      <c r="AE29" s="316">
        <f t="shared" si="30"/>
        <v>-6525.0981444921008</v>
      </c>
      <c r="AF29" s="316">
        <f t="shared" si="30"/>
        <v>-6712.3365962087855</v>
      </c>
      <c r="AG29" s="443"/>
      <c r="AH29" s="7"/>
      <c r="AI29" s="7"/>
      <c r="AJ29" s="7"/>
      <c r="AK29" s="10"/>
      <c r="AL29" s="10"/>
      <c r="AM29" s="10"/>
      <c r="AN29" s="10"/>
    </row>
    <row r="30" spans="1:40" s="7" customFormat="1" ht="14.25">
      <c r="A30" s="1632"/>
      <c r="B30" s="236">
        <v>23</v>
      </c>
      <c r="C30" s="254" t="s">
        <v>434</v>
      </c>
      <c r="D30" s="276">
        <f>'Fin. Data'!D27</f>
        <v>-483.47</v>
      </c>
      <c r="E30" s="275">
        <f>'Fin. Data'!C27</f>
        <v>-533.59</v>
      </c>
      <c r="F30" s="634">
        <f>'Fin. Data'!B27</f>
        <v>-514.53</v>
      </c>
      <c r="G30" s="624">
        <f>G34*$D$64</f>
        <v>-109.67661562434306</v>
      </c>
      <c r="H30" s="624">
        <f t="shared" ref="H30:J30" si="31">H34*$D$64</f>
        <v>-268.57733939148773</v>
      </c>
      <c r="I30" s="624">
        <f t="shared" si="31"/>
        <v>-529.55654983092552</v>
      </c>
      <c r="J30" s="624">
        <f t="shared" si="31"/>
        <v>-393.59557685125833</v>
      </c>
      <c r="K30" s="316">
        <f>K34*$E$64</f>
        <v>-348.7987942604521</v>
      </c>
      <c r="L30" s="316">
        <f t="shared" ref="L30:AF30" si="32">L34*$E$64</f>
        <v>-646.31617648546001</v>
      </c>
      <c r="M30" s="316">
        <f t="shared" si="32"/>
        <v>-572.17049123052641</v>
      </c>
      <c r="N30" s="316">
        <f t="shared" si="32"/>
        <v>-611.68592035830079</v>
      </c>
      <c r="O30" s="316">
        <f t="shared" si="32"/>
        <v>-709.05160820723665</v>
      </c>
      <c r="P30" s="316">
        <f t="shared" si="32"/>
        <v>-769.84716686186732</v>
      </c>
      <c r="Q30" s="316">
        <f t="shared" si="32"/>
        <v>-800.12274764009862</v>
      </c>
      <c r="R30" s="316">
        <f t="shared" si="32"/>
        <v>-855.98633831011273</v>
      </c>
      <c r="S30" s="316">
        <f t="shared" si="32"/>
        <v>-919.36263550032879</v>
      </c>
      <c r="T30" s="316">
        <f t="shared" si="32"/>
        <v>-990.96683621792511</v>
      </c>
      <c r="U30" s="316">
        <f t="shared" si="32"/>
        <v>-1027.4674687699423</v>
      </c>
      <c r="V30" s="316">
        <f t="shared" si="32"/>
        <v>-1094.0259837522633</v>
      </c>
      <c r="W30" s="316">
        <f t="shared" si="32"/>
        <v>-1075.4282816006692</v>
      </c>
      <c r="X30" s="316">
        <f t="shared" si="32"/>
        <v>-1177.8889262755074</v>
      </c>
      <c r="Y30" s="316">
        <f t="shared" si="32"/>
        <v>-1254.1658365807393</v>
      </c>
      <c r="Z30" s="316">
        <f t="shared" si="32"/>
        <v>-1340.1208764587732</v>
      </c>
      <c r="AA30" s="316">
        <f t="shared" si="32"/>
        <v>-1436.8303268725663</v>
      </c>
      <c r="AB30" s="316">
        <f t="shared" si="32"/>
        <v>-1545.5272082048934</v>
      </c>
      <c r="AC30" s="316">
        <f t="shared" si="32"/>
        <v>-1667.54361031188</v>
      </c>
      <c r="AD30" s="316">
        <f t="shared" si="32"/>
        <v>-1804.3403721731124</v>
      </c>
      <c r="AE30" s="316">
        <f t="shared" si="32"/>
        <v>-1957.5294433476301</v>
      </c>
      <c r="AF30" s="316">
        <f t="shared" si="32"/>
        <v>-2013.7009788626356</v>
      </c>
      <c r="AG30" s="443"/>
      <c r="AK30" s="10"/>
      <c r="AL30" s="10"/>
      <c r="AM30" s="10"/>
      <c r="AN30" s="10"/>
    </row>
    <row r="31" spans="1:40" s="3" customFormat="1" ht="14.25">
      <c r="A31" s="1632"/>
      <c r="B31" s="236">
        <v>24</v>
      </c>
      <c r="C31" s="254" t="s">
        <v>435</v>
      </c>
      <c r="D31" s="349">
        <f>Inputs!D73</f>
        <v>-173.55500000000029</v>
      </c>
      <c r="E31" s="348">
        <f>Inputs!C73</f>
        <v>-111.76799999999957</v>
      </c>
      <c r="F31" s="637">
        <f>Inputs!B73</f>
        <v>-468.73</v>
      </c>
      <c r="G31" s="624">
        <f>(1+G5)*AVERAGE(D31:F31)</f>
        <v>-224.85556584866342</v>
      </c>
      <c r="H31" s="313">
        <f t="shared" ref="H31:AF31" si="33">(1+H5)*AVERAGE(E31:G31)</f>
        <v>-258.78787919255973</v>
      </c>
      <c r="I31" s="313">
        <f t="shared" si="33"/>
        <v>-313.32665784837366</v>
      </c>
      <c r="J31" s="398">
        <f t="shared" si="33"/>
        <v>-262.2178792464627</v>
      </c>
      <c r="K31" s="422">
        <f t="shared" si="33"/>
        <v>-283.89421535066515</v>
      </c>
      <c r="L31" s="423">
        <f t="shared" si="33"/>
        <v>-292.33572853736473</v>
      </c>
      <c r="M31" s="423">
        <f t="shared" si="33"/>
        <v>-286.08530976197579</v>
      </c>
      <c r="N31" s="423">
        <f t="shared" si="33"/>
        <v>-299.97271339746788</v>
      </c>
      <c r="O31" s="423">
        <f t="shared" si="33"/>
        <v>-305.7332048983555</v>
      </c>
      <c r="P31" s="423">
        <f t="shared" si="33"/>
        <v>-310.66237541998333</v>
      </c>
      <c r="Q31" s="423">
        <f t="shared" si="33"/>
        <v>-319.50152278961536</v>
      </c>
      <c r="R31" s="423">
        <f t="shared" si="33"/>
        <v>-326.59776929654009</v>
      </c>
      <c r="S31" s="423">
        <f t="shared" si="33"/>
        <v>-334.17610080912061</v>
      </c>
      <c r="T31" s="423">
        <f t="shared" si="33"/>
        <v>-342.69670959722112</v>
      </c>
      <c r="U31" s="423">
        <f t="shared" si="33"/>
        <v>-351.1234178094914</v>
      </c>
      <c r="V31" s="423">
        <f t="shared" si="33"/>
        <v>-360.03313347896028</v>
      </c>
      <c r="W31" s="423">
        <f t="shared" si="33"/>
        <v>-368.57456984991137</v>
      </c>
      <c r="X31" s="423">
        <f t="shared" si="33"/>
        <v>-377.96461422103596</v>
      </c>
      <c r="Y31" s="423">
        <f t="shared" si="33"/>
        <v>-387.66343824267852</v>
      </c>
      <c r="Z31" s="423">
        <f t="shared" si="33"/>
        <v>-397.65370730160095</v>
      </c>
      <c r="AA31" s="423">
        <f t="shared" si="33"/>
        <v>-408.16710454518272</v>
      </c>
      <c r="AB31" s="423">
        <f t="shared" si="33"/>
        <v>-419.09003536691523</v>
      </c>
      <c r="AC31" s="423">
        <f t="shared" si="33"/>
        <v>-430.45828911037705</v>
      </c>
      <c r="AD31" s="423">
        <f t="shared" si="33"/>
        <v>-442.32639844443673</v>
      </c>
      <c r="AE31" s="423">
        <f t="shared" si="33"/>
        <v>-454.68666109006068</v>
      </c>
      <c r="AF31" s="627">
        <f t="shared" si="33"/>
        <v>-451.34025853925732</v>
      </c>
      <c r="AG31" s="443"/>
      <c r="AH31" s="461"/>
      <c r="AI31" s="461"/>
      <c r="AJ31" s="461"/>
      <c r="AK31" s="459"/>
      <c r="AL31" s="459"/>
      <c r="AM31" s="459"/>
      <c r="AN31" s="459"/>
    </row>
    <row r="32" spans="1:40" s="7" customFormat="1" ht="16.5" customHeight="1">
      <c r="A32" s="1632"/>
      <c r="B32" s="237">
        <v>25</v>
      </c>
      <c r="C32" s="260" t="s">
        <v>436</v>
      </c>
      <c r="D32" s="392">
        <f t="shared" ref="D32:AF32" si="34">D27+D28+D29+D30+D31</f>
        <v>-3602.88</v>
      </c>
      <c r="E32" s="393">
        <f t="shared" si="34"/>
        <v>-2510.8599999999997</v>
      </c>
      <c r="F32" s="394">
        <f t="shared" si="34"/>
        <v>-2592.81</v>
      </c>
      <c r="G32" s="628">
        <f>G27+G28+G29+G30+G31</f>
        <v>-1424.3612193458289</v>
      </c>
      <c r="H32" s="629">
        <f t="shared" si="34"/>
        <v>-1333.8195577842855</v>
      </c>
      <c r="I32" s="629">
        <f t="shared" si="34"/>
        <v>-740.6613253160358</v>
      </c>
      <c r="J32" s="630">
        <f t="shared" si="34"/>
        <v>-1863.8806359841319</v>
      </c>
      <c r="K32" s="631">
        <f t="shared" si="34"/>
        <v>-3499.7481111351699</v>
      </c>
      <c r="L32" s="629">
        <f t="shared" si="34"/>
        <v>-2911.834727169813</v>
      </c>
      <c r="M32" s="629">
        <f t="shared" si="34"/>
        <v>-2962.561895566429</v>
      </c>
      <c r="N32" s="629">
        <f t="shared" si="34"/>
        <v>-2896.4433781511516</v>
      </c>
      <c r="O32" s="629">
        <f t="shared" si="34"/>
        <v>-2976.0442262347583</v>
      </c>
      <c r="P32" s="629">
        <f t="shared" si="34"/>
        <v>-3193.5706054025663</v>
      </c>
      <c r="Q32" s="629">
        <f t="shared" si="34"/>
        <v>-3416.2457015575083</v>
      </c>
      <c r="R32" s="629">
        <f t="shared" si="34"/>
        <v>-3614.8165536266833</v>
      </c>
      <c r="S32" s="629">
        <f t="shared" si="34"/>
        <v>-3840.5454251820656</v>
      </c>
      <c r="T32" s="629">
        <f t="shared" si="34"/>
        <v>-4096.3983734901594</v>
      </c>
      <c r="U32" s="629">
        <f t="shared" si="34"/>
        <v>-4358.6903416368505</v>
      </c>
      <c r="V32" s="629">
        <f t="shared" si="34"/>
        <v>-4593.863484405676</v>
      </c>
      <c r="W32" s="629">
        <f t="shared" si="34"/>
        <v>-4806.9628398980121</v>
      </c>
      <c r="X32" s="629">
        <f t="shared" si="34"/>
        <v>-4960.4906584048549</v>
      </c>
      <c r="Y32" s="629">
        <f t="shared" si="34"/>
        <v>-5234.2602165333792</v>
      </c>
      <c r="Z32" s="629">
        <f t="shared" si="34"/>
        <v>-5542.7466307418126</v>
      </c>
      <c r="AA32" s="629">
        <f t="shared" si="34"/>
        <v>-5890.1056619884175</v>
      </c>
      <c r="AB32" s="629">
        <f t="shared" si="34"/>
        <v>-6280.7597350004235</v>
      </c>
      <c r="AC32" s="629">
        <f t="shared" si="34"/>
        <v>-6719.6368498072834</v>
      </c>
      <c r="AD32" s="629">
        <f t="shared" si="34"/>
        <v>-7212.1622105094193</v>
      </c>
      <c r="AE32" s="629">
        <f t="shared" si="34"/>
        <v>-7764.2672675320082</v>
      </c>
      <c r="AF32" s="632">
        <f t="shared" si="34"/>
        <v>-8380.7679650694317</v>
      </c>
      <c r="AG32" s="443"/>
      <c r="AK32" s="10"/>
      <c r="AL32" s="10"/>
      <c r="AM32" s="10"/>
      <c r="AN32" s="10"/>
    </row>
    <row r="33" spans="1:40">
      <c r="A33" s="1620"/>
      <c r="B33" s="1621"/>
      <c r="C33" s="1621"/>
      <c r="D33" s="1621"/>
      <c r="E33" s="1621"/>
      <c r="F33" s="1621"/>
      <c r="G33" s="1622"/>
      <c r="H33" s="1622"/>
      <c r="I33" s="1622"/>
      <c r="J33" s="1622"/>
      <c r="K33" s="1622"/>
      <c r="L33" s="1622"/>
      <c r="M33" s="1622"/>
      <c r="N33" s="1622"/>
      <c r="O33" s="1622"/>
      <c r="P33" s="1622"/>
      <c r="Q33" s="1622"/>
      <c r="R33" s="1622"/>
      <c r="S33" s="1622"/>
      <c r="T33" s="1622"/>
      <c r="U33" s="1622"/>
      <c r="V33" s="1622"/>
      <c r="W33" s="1622"/>
      <c r="X33" s="1622"/>
      <c r="Y33" s="1622"/>
      <c r="Z33" s="1622"/>
      <c r="AA33" s="1622"/>
      <c r="AB33" s="1622"/>
      <c r="AC33" s="1622"/>
      <c r="AD33" s="1622"/>
      <c r="AE33" s="1622"/>
      <c r="AF33" s="1623"/>
      <c r="AG33" s="7"/>
      <c r="AH33" s="7"/>
      <c r="AI33" s="7"/>
      <c r="AJ33" s="7"/>
      <c r="AK33" s="10"/>
      <c r="AL33" s="10"/>
      <c r="AM33" s="10"/>
      <c r="AN33" s="10"/>
    </row>
    <row r="34" spans="1:40" ht="14.25">
      <c r="A34" s="1644" t="s">
        <v>437</v>
      </c>
      <c r="B34" s="236">
        <v>26</v>
      </c>
      <c r="C34" s="240" t="s">
        <v>438</v>
      </c>
      <c r="D34" s="1127">
        <f>D22+D26+D27+D28+D31</f>
        <v>3577.4050000000002</v>
      </c>
      <c r="E34" s="389">
        <f t="shared" ref="E34:AF34" si="35">E22+E26+E27+E28+E31</f>
        <v>5332.6540000000023</v>
      </c>
      <c r="F34" s="1084">
        <f>F22+F26+F27+F28+F31</f>
        <v>4258.8720000000012</v>
      </c>
      <c r="G34" s="522">
        <f>G22+G26+G27+G28+G31</f>
        <v>1096.7661562434305</v>
      </c>
      <c r="H34" s="1085">
        <f>H22+H26+H27+H28+H31</f>
        <v>2685.773393914877</v>
      </c>
      <c r="I34" s="390">
        <f t="shared" si="35"/>
        <v>5295.5654983092545</v>
      </c>
      <c r="J34" s="391">
        <f t="shared" si="35"/>
        <v>3935.9557685125828</v>
      </c>
      <c r="K34" s="416">
        <f t="shared" si="35"/>
        <v>2325.3252950696806</v>
      </c>
      <c r="L34" s="390">
        <f>L22+L26+L27+L28+L31</f>
        <v>4308.7745099030672</v>
      </c>
      <c r="M34" s="390">
        <f t="shared" si="35"/>
        <v>3814.4699415368432</v>
      </c>
      <c r="N34" s="390">
        <f t="shared" si="35"/>
        <v>4077.9061357220057</v>
      </c>
      <c r="O34" s="390">
        <f t="shared" si="35"/>
        <v>4727.0107213815782</v>
      </c>
      <c r="P34" s="390">
        <f t="shared" si="35"/>
        <v>5132.314445745782</v>
      </c>
      <c r="Q34" s="390">
        <f t="shared" si="35"/>
        <v>5334.1516509339908</v>
      </c>
      <c r="R34" s="390">
        <f t="shared" si="35"/>
        <v>5706.5755887340847</v>
      </c>
      <c r="S34" s="390">
        <f t="shared" si="35"/>
        <v>6129.0842366688585</v>
      </c>
      <c r="T34" s="390">
        <f t="shared" si="35"/>
        <v>6606.4455747861675</v>
      </c>
      <c r="U34" s="390">
        <f t="shared" si="35"/>
        <v>6849.7831251329499</v>
      </c>
      <c r="V34" s="390">
        <f t="shared" si="35"/>
        <v>7293.5065583484229</v>
      </c>
      <c r="W34" s="390">
        <f t="shared" si="35"/>
        <v>7169.5218773377946</v>
      </c>
      <c r="X34" s="390">
        <f t="shared" si="35"/>
        <v>7852.5928418367157</v>
      </c>
      <c r="Y34" s="390">
        <f t="shared" si="35"/>
        <v>8361.1055772049294</v>
      </c>
      <c r="Z34" s="390">
        <f t="shared" si="35"/>
        <v>8934.1391763918218</v>
      </c>
      <c r="AA34" s="390">
        <f t="shared" si="35"/>
        <v>9578.8688458171091</v>
      </c>
      <c r="AB34" s="390">
        <f t="shared" si="35"/>
        <v>10303.514721365957</v>
      </c>
      <c r="AC34" s="390">
        <f t="shared" si="35"/>
        <v>11116.957402079201</v>
      </c>
      <c r="AD34" s="390">
        <f t="shared" si="35"/>
        <v>12028.935814487417</v>
      </c>
      <c r="AE34" s="390">
        <f t="shared" si="35"/>
        <v>13050.196288984202</v>
      </c>
      <c r="AF34" s="391">
        <f t="shared" si="35"/>
        <v>13424.673192417571</v>
      </c>
      <c r="AG34" s="443"/>
      <c r="AH34" s="7"/>
      <c r="AI34" s="7"/>
      <c r="AJ34" s="7"/>
      <c r="AK34" s="10"/>
      <c r="AL34" s="10"/>
      <c r="AM34" s="10"/>
      <c r="AN34" s="10"/>
    </row>
    <row r="35" spans="1:40" s="3" customFormat="1" ht="14.25">
      <c r="A35" s="1644"/>
      <c r="B35" s="236">
        <v>27</v>
      </c>
      <c r="C35" s="240" t="s">
        <v>439</v>
      </c>
      <c r="D35" s="334">
        <f>-1*(D29+D30)</f>
        <v>3687.5600000000004</v>
      </c>
      <c r="E35" s="331">
        <f t="shared" ref="E35:AF35" si="36">-1*(E29+E30)</f>
        <v>3337.3900000000003</v>
      </c>
      <c r="F35" s="336">
        <f t="shared" si="36"/>
        <v>2106.0500000000002</v>
      </c>
      <c r="G35" s="343">
        <f t="shared" si="36"/>
        <v>603.22138593388672</v>
      </c>
      <c r="H35" s="294">
        <f>-1*(H29+H30)</f>
        <v>1477.1753666531822</v>
      </c>
      <c r="I35" s="294">
        <f t="shared" si="36"/>
        <v>2912.5610240700903</v>
      </c>
      <c r="J35" s="344">
        <f t="shared" si="36"/>
        <v>2164.7756726819207</v>
      </c>
      <c r="K35" s="294">
        <f>-1*(K29+K30)</f>
        <v>1511.4614417952923</v>
      </c>
      <c r="L35" s="294">
        <f t="shared" si="36"/>
        <v>2800.7034314369935</v>
      </c>
      <c r="M35" s="294">
        <f t="shared" si="36"/>
        <v>2479.4054619989479</v>
      </c>
      <c r="N35" s="294">
        <f t="shared" si="36"/>
        <v>2650.6389882193034</v>
      </c>
      <c r="O35" s="294">
        <f t="shared" si="36"/>
        <v>3072.5569688980258</v>
      </c>
      <c r="P35" s="294">
        <f t="shared" si="36"/>
        <v>3336.0043897347582</v>
      </c>
      <c r="Q35" s="294">
        <f t="shared" si="36"/>
        <v>3467.198573107094</v>
      </c>
      <c r="R35" s="294">
        <f t="shared" si="36"/>
        <v>3709.2741326771552</v>
      </c>
      <c r="S35" s="294">
        <f t="shared" si="36"/>
        <v>3983.9047538347581</v>
      </c>
      <c r="T35" s="294">
        <f t="shared" si="36"/>
        <v>4294.1896236110088</v>
      </c>
      <c r="U35" s="294">
        <f t="shared" si="36"/>
        <v>4452.3590313364175</v>
      </c>
      <c r="V35" s="294">
        <f t="shared" si="36"/>
        <v>4740.779262926475</v>
      </c>
      <c r="W35" s="294">
        <f t="shared" si="36"/>
        <v>4660.1892202695662</v>
      </c>
      <c r="X35" s="294">
        <f t="shared" si="36"/>
        <v>5104.1853471938648</v>
      </c>
      <c r="Y35" s="294">
        <f t="shared" si="36"/>
        <v>5434.7186251832045</v>
      </c>
      <c r="Z35" s="294">
        <f t="shared" si="36"/>
        <v>5807.1904646546845</v>
      </c>
      <c r="AA35" s="294">
        <f t="shared" si="36"/>
        <v>6226.2647497811213</v>
      </c>
      <c r="AB35" s="294">
        <f t="shared" si="36"/>
        <v>6697.2845688878715</v>
      </c>
      <c r="AC35" s="294">
        <f t="shared" si="36"/>
        <v>7226.0223113514803</v>
      </c>
      <c r="AD35" s="294">
        <f t="shared" si="36"/>
        <v>7818.8082794168204</v>
      </c>
      <c r="AE35" s="294">
        <f t="shared" si="36"/>
        <v>8482.6275878397319</v>
      </c>
      <c r="AF35" s="344">
        <f t="shared" si="36"/>
        <v>8726.0375750714211</v>
      </c>
      <c r="AG35" s="443"/>
      <c r="AH35" s="461"/>
      <c r="AI35" s="461"/>
      <c r="AJ35" s="461"/>
      <c r="AK35" s="459"/>
      <c r="AL35" s="459"/>
      <c r="AM35" s="459"/>
      <c r="AN35" s="459"/>
    </row>
    <row r="36" spans="1:40" s="16" customFormat="1" ht="14.65" thickBot="1">
      <c r="A36" s="1644"/>
      <c r="B36" s="1087">
        <v>28</v>
      </c>
      <c r="C36" s="1088" t="s">
        <v>440</v>
      </c>
      <c r="D36" s="1094">
        <f>D34-D35</f>
        <v>-110.1550000000002</v>
      </c>
      <c r="E36" s="1095">
        <f>E34-E35</f>
        <v>1995.2640000000019</v>
      </c>
      <c r="F36" s="1096">
        <f>F34-F35</f>
        <v>2152.822000000001</v>
      </c>
      <c r="G36" s="1089">
        <f>G34-G35</f>
        <v>493.54477030954376</v>
      </c>
      <c r="H36" s="1090">
        <f t="shared" ref="H36:AF36" si="37">H34-H35</f>
        <v>1208.5980272616948</v>
      </c>
      <c r="I36" s="1090">
        <f t="shared" si="37"/>
        <v>2383.0044742391642</v>
      </c>
      <c r="J36" s="1091">
        <f t="shared" si="37"/>
        <v>1771.1800958306621</v>
      </c>
      <c r="K36" s="1090">
        <f t="shared" si="37"/>
        <v>813.86385327438825</v>
      </c>
      <c r="L36" s="1090">
        <f>L34-L35</f>
        <v>1508.0710784660737</v>
      </c>
      <c r="M36" s="1090">
        <f t="shared" si="37"/>
        <v>1335.0644795378953</v>
      </c>
      <c r="N36" s="1090">
        <f t="shared" si="37"/>
        <v>1427.2671475027023</v>
      </c>
      <c r="O36" s="1090">
        <f t="shared" si="37"/>
        <v>1654.4537524835523</v>
      </c>
      <c r="P36" s="1090">
        <f t="shared" si="37"/>
        <v>1796.3100560110238</v>
      </c>
      <c r="Q36" s="1090">
        <f t="shared" si="37"/>
        <v>1866.9530778268968</v>
      </c>
      <c r="R36" s="1090">
        <f t="shared" si="37"/>
        <v>1997.3014560569295</v>
      </c>
      <c r="S36" s="1090">
        <f t="shared" si="37"/>
        <v>2145.1794828341003</v>
      </c>
      <c r="T36" s="1090">
        <f t="shared" si="37"/>
        <v>2312.2559511751588</v>
      </c>
      <c r="U36" s="1090">
        <f t="shared" si="37"/>
        <v>2397.4240937965324</v>
      </c>
      <c r="V36" s="1090">
        <f t="shared" si="37"/>
        <v>2552.7272954219479</v>
      </c>
      <c r="W36" s="1090">
        <f t="shared" si="37"/>
        <v>2509.3326570682284</v>
      </c>
      <c r="X36" s="1090">
        <f t="shared" si="37"/>
        <v>2748.4074946428509</v>
      </c>
      <c r="Y36" s="1090">
        <f t="shared" si="37"/>
        <v>2926.3869520217249</v>
      </c>
      <c r="Z36" s="1090">
        <f t="shared" si="37"/>
        <v>3126.9487117371373</v>
      </c>
      <c r="AA36" s="1090">
        <f t="shared" si="37"/>
        <v>3352.6040960359878</v>
      </c>
      <c r="AB36" s="1090">
        <f t="shared" si="37"/>
        <v>3606.2301524780851</v>
      </c>
      <c r="AC36" s="1090">
        <f t="shared" si="37"/>
        <v>3890.9350907277203</v>
      </c>
      <c r="AD36" s="1090">
        <f t="shared" si="37"/>
        <v>4210.1275350705964</v>
      </c>
      <c r="AE36" s="1090">
        <f t="shared" si="37"/>
        <v>4567.5687011444697</v>
      </c>
      <c r="AF36" s="1091">
        <f t="shared" si="37"/>
        <v>4698.63561734615</v>
      </c>
      <c r="AG36" s="1092"/>
      <c r="AK36" s="1093"/>
      <c r="AL36" s="1093"/>
      <c r="AM36" s="1093"/>
      <c r="AN36" s="1093"/>
    </row>
    <row r="37" spans="1:40" ht="14.65" thickBot="1">
      <c r="A37" s="245"/>
      <c r="B37" s="243"/>
      <c r="C37" s="244"/>
      <c r="D37" s="395"/>
      <c r="E37" s="395"/>
      <c r="F37" s="395"/>
      <c r="G37" s="395"/>
      <c r="H37" s="395"/>
      <c r="I37" s="395"/>
      <c r="J37" s="395"/>
      <c r="K37" s="395"/>
      <c r="L37" s="395"/>
      <c r="M37" s="395"/>
      <c r="N37" s="395"/>
      <c r="O37" s="395"/>
      <c r="P37" s="395"/>
      <c r="Q37" s="395"/>
      <c r="R37" s="395"/>
      <c r="S37" s="395"/>
      <c r="T37" s="395"/>
      <c r="U37" s="395"/>
      <c r="V37" s="395"/>
      <c r="W37" s="395"/>
      <c r="X37" s="395"/>
      <c r="Y37" s="395"/>
      <c r="Z37" s="395"/>
      <c r="AA37" s="395"/>
      <c r="AB37" s="395"/>
      <c r="AC37" s="395"/>
      <c r="AD37" s="395"/>
      <c r="AE37" s="395"/>
      <c r="AF37" s="396"/>
      <c r="AG37" s="443"/>
      <c r="AH37" s="7"/>
      <c r="AI37" s="7"/>
      <c r="AJ37" s="7"/>
      <c r="AK37" s="10"/>
      <c r="AL37" s="10"/>
      <c r="AM37" s="10"/>
      <c r="AN37" s="10"/>
    </row>
    <row r="38" spans="1:40" ht="14.25">
      <c r="A38" s="1645" t="s">
        <v>441</v>
      </c>
      <c r="B38" s="238">
        <v>29</v>
      </c>
      <c r="C38" s="240" t="s">
        <v>442</v>
      </c>
      <c r="D38" s="332">
        <f>'Fin. Data'!D49</f>
        <v>3931.0030000000002</v>
      </c>
      <c r="E38" s="333">
        <f>'Fin. Data'!C49</f>
        <v>7242.3249999999998</v>
      </c>
      <c r="F38" s="335">
        <f>'Fin. Data'!B49</f>
        <v>7076.8620000000001</v>
      </c>
      <c r="G38" s="338">
        <f>+F38+(-G10)</f>
        <v>7430.7051000000001</v>
      </c>
      <c r="H38" s="339">
        <f t="shared" ref="H38:AF38" si="38">+G38+(-H10)</f>
        <v>7802.2403549999999</v>
      </c>
      <c r="I38" s="339">
        <f t="shared" si="38"/>
        <v>8192.3523727499996</v>
      </c>
      <c r="J38" s="340">
        <f t="shared" si="38"/>
        <v>8601.9699913874992</v>
      </c>
      <c r="K38" s="417">
        <f>+J38+(-K10)</f>
        <v>8989.058640999936</v>
      </c>
      <c r="L38" s="339">
        <f t="shared" si="38"/>
        <v>9393.5662798449339</v>
      </c>
      <c r="M38" s="339">
        <f t="shared" si="38"/>
        <v>9816.2767624379558</v>
      </c>
      <c r="N38" s="339">
        <f t="shared" si="38"/>
        <v>10258.009216747663</v>
      </c>
      <c r="O38" s="339">
        <f t="shared" si="38"/>
        <v>10719.619631501308</v>
      </c>
      <c r="P38" s="339">
        <f t="shared" si="38"/>
        <v>11202.002514918866</v>
      </c>
      <c r="Q38" s="339">
        <f t="shared" si="38"/>
        <v>11706.092628090215</v>
      </c>
      <c r="R38" s="339">
        <f t="shared" si="38"/>
        <v>12232.866796354274</v>
      </c>
      <c r="S38" s="339">
        <f t="shared" si="38"/>
        <v>12783.345802190217</v>
      </c>
      <c r="T38" s="339">
        <f t="shared" si="38"/>
        <v>13358.596363288776</v>
      </c>
      <c r="U38" s="339">
        <f t="shared" si="38"/>
        <v>13959.73319963677</v>
      </c>
      <c r="V38" s="339">
        <f t="shared" si="38"/>
        <v>14587.921193620425</v>
      </c>
      <c r="W38" s="339">
        <f t="shared" si="38"/>
        <v>15244.377647333344</v>
      </c>
      <c r="X38" s="339">
        <f t="shared" si="38"/>
        <v>15930.374641463344</v>
      </c>
      <c r="Y38" s="339">
        <f t="shared" si="38"/>
        <v>16647.241500329194</v>
      </c>
      <c r="Z38" s="339">
        <f t="shared" si="38"/>
        <v>17396.367367844006</v>
      </c>
      <c r="AA38" s="339">
        <f t="shared" si="38"/>
        <v>18179.203899396987</v>
      </c>
      <c r="AB38" s="339">
        <f t="shared" si="38"/>
        <v>18997.268074869851</v>
      </c>
      <c r="AC38" s="339">
        <f t="shared" si="38"/>
        <v>19852.145138238993</v>
      </c>
      <c r="AD38" s="339">
        <f t="shared" si="38"/>
        <v>20745.491669459749</v>
      </c>
      <c r="AE38" s="339">
        <f t="shared" si="38"/>
        <v>21679.038794585438</v>
      </c>
      <c r="AF38" s="340">
        <f t="shared" si="38"/>
        <v>22654.595540341783</v>
      </c>
      <c r="AG38" s="444">
        <f>SUM(G38:AF38)</f>
        <v>358360.4611226315</v>
      </c>
      <c r="AH38" s="7"/>
      <c r="AI38" s="7"/>
      <c r="AJ38" s="7"/>
      <c r="AK38" s="10"/>
      <c r="AL38" s="10"/>
      <c r="AM38" s="10"/>
      <c r="AN38" s="10"/>
    </row>
    <row r="39" spans="1:40" ht="14.25">
      <c r="A39" s="1644"/>
      <c r="B39" s="238">
        <v>30</v>
      </c>
      <c r="C39" s="240" t="s">
        <v>443</v>
      </c>
      <c r="D39" s="334">
        <v>1091.366</v>
      </c>
      <c r="E39" s="331">
        <v>1326.3109999999999</v>
      </c>
      <c r="F39" s="336">
        <v>1564.0409999999999</v>
      </c>
      <c r="G39" s="341">
        <f>F39-G10</f>
        <v>1917.8841</v>
      </c>
      <c r="H39" s="337">
        <f t="shared" ref="H39:AF39" si="39">G39-H10</f>
        <v>2289.419355</v>
      </c>
      <c r="I39" s="337">
        <f t="shared" si="39"/>
        <v>2679.5313727500002</v>
      </c>
      <c r="J39" s="342">
        <f t="shared" si="39"/>
        <v>3089.1489913875002</v>
      </c>
      <c r="K39" s="418">
        <f t="shared" si="39"/>
        <v>3476.2376409999379</v>
      </c>
      <c r="L39" s="337">
        <f t="shared" si="39"/>
        <v>3880.7452798449349</v>
      </c>
      <c r="M39" s="337">
        <f t="shared" si="39"/>
        <v>4303.4557624379568</v>
      </c>
      <c r="N39" s="337">
        <f t="shared" si="39"/>
        <v>4745.1882167476651</v>
      </c>
      <c r="O39" s="337">
        <f t="shared" si="39"/>
        <v>5206.7986315013095</v>
      </c>
      <c r="P39" s="337">
        <f t="shared" si="39"/>
        <v>5689.1815149188687</v>
      </c>
      <c r="Q39" s="337">
        <f t="shared" si="39"/>
        <v>6193.2716280902177</v>
      </c>
      <c r="R39" s="337">
        <f t="shared" si="39"/>
        <v>6720.0457963542776</v>
      </c>
      <c r="S39" s="337">
        <f t="shared" si="39"/>
        <v>7270.5248021902198</v>
      </c>
      <c r="T39" s="337">
        <f t="shared" si="39"/>
        <v>7845.7753632887798</v>
      </c>
      <c r="U39" s="337">
        <f t="shared" si="39"/>
        <v>8446.9121996367739</v>
      </c>
      <c r="V39" s="337">
        <f t="shared" si="39"/>
        <v>9075.1001936204284</v>
      </c>
      <c r="W39" s="337">
        <f t="shared" si="39"/>
        <v>9731.5566473333474</v>
      </c>
      <c r="X39" s="337">
        <f t="shared" si="39"/>
        <v>10417.553641463348</v>
      </c>
      <c r="Y39" s="337">
        <f t="shared" si="39"/>
        <v>11134.420500329199</v>
      </c>
      <c r="Z39" s="337">
        <f t="shared" si="39"/>
        <v>11883.546367844012</v>
      </c>
      <c r="AA39" s="337">
        <f t="shared" si="39"/>
        <v>12666.382899396993</v>
      </c>
      <c r="AB39" s="337">
        <f t="shared" si="39"/>
        <v>13484.447074869857</v>
      </c>
      <c r="AC39" s="337">
        <f t="shared" si="39"/>
        <v>14339.324138239001</v>
      </c>
      <c r="AD39" s="337">
        <f t="shared" si="39"/>
        <v>15232.670669459756</v>
      </c>
      <c r="AE39" s="337">
        <f t="shared" si="39"/>
        <v>16166.217794585446</v>
      </c>
      <c r="AF39" s="342">
        <f t="shared" si="39"/>
        <v>17141.77454034179</v>
      </c>
      <c r="AG39" s="444">
        <f>SUM(G39:AF39)</f>
        <v>215027.11512263163</v>
      </c>
      <c r="AH39" s="7"/>
      <c r="AI39" s="7"/>
      <c r="AJ39" s="7"/>
      <c r="AK39" s="10"/>
      <c r="AL39" s="10"/>
      <c r="AM39" s="10"/>
      <c r="AN39" s="10"/>
    </row>
    <row r="40" spans="1:40" ht="14.25">
      <c r="A40" s="1644"/>
      <c r="B40" s="238">
        <v>31</v>
      </c>
      <c r="C40" s="240" t="s">
        <v>444</v>
      </c>
      <c r="D40" s="334">
        <f>Inputs!D33</f>
        <v>8114.82</v>
      </c>
      <c r="E40" s="331">
        <f>Inputs!C33</f>
        <v>9616.92</v>
      </c>
      <c r="F40" s="336">
        <f>Inputs!B33</f>
        <v>11049.77</v>
      </c>
      <c r="G40" s="341">
        <f>F40+(-G23)</f>
        <v>13223.600730337001</v>
      </c>
      <c r="H40" s="337">
        <f t="shared" ref="H40:AF40" si="40">G40+(-H23)</f>
        <v>15319.181112481499</v>
      </c>
      <c r="I40" s="337">
        <f t="shared" si="40"/>
        <v>17387.491188141576</v>
      </c>
      <c r="J40" s="342">
        <f t="shared" si="40"/>
        <v>19429.027801738259</v>
      </c>
      <c r="K40" s="418">
        <f t="shared" si="40"/>
        <v>20917.592851845788</v>
      </c>
      <c r="L40" s="337">
        <f t="shared" si="40"/>
        <v>22436.586778382876</v>
      </c>
      <c r="M40" s="337">
        <f t="shared" si="40"/>
        <v>23991.466531217116</v>
      </c>
      <c r="N40" s="337">
        <f t="shared" si="40"/>
        <v>25614.149754632926</v>
      </c>
      <c r="O40" s="337">
        <f t="shared" si="40"/>
        <v>27308.520217098205</v>
      </c>
      <c r="P40" s="337">
        <f t="shared" si="40"/>
        <v>29079.261404552908</v>
      </c>
      <c r="Q40" s="337">
        <f t="shared" si="40"/>
        <v>30931.424480483798</v>
      </c>
      <c r="R40" s="337">
        <f t="shared" si="40"/>
        <v>32870.459210787922</v>
      </c>
      <c r="S40" s="337">
        <f t="shared" si="40"/>
        <v>34902.247546943239</v>
      </c>
      <c r="T40" s="337">
        <f t="shared" si="40"/>
        <v>37033.140097480289</v>
      </c>
      <c r="U40" s="337">
        <f t="shared" si="40"/>
        <v>39269.995737685174</v>
      </c>
      <c r="V40" s="337">
        <f t="shared" si="40"/>
        <v>41620.224629129996</v>
      </c>
      <c r="W40" s="337">
        <f t="shared" si="40"/>
        <v>44086.131320878849</v>
      </c>
      <c r="X40" s="337">
        <f t="shared" si="40"/>
        <v>46675.735676644632</v>
      </c>
      <c r="Y40" s="337">
        <f t="shared" si="40"/>
        <v>49397.369624077357</v>
      </c>
      <c r="Z40" s="337">
        <f t="shared" si="40"/>
        <v>52260.000536286403</v>
      </c>
      <c r="AA40" s="337">
        <f t="shared" si="40"/>
        <v>55273.28195588063</v>
      </c>
      <c r="AB40" s="337">
        <f t="shared" si="40"/>
        <v>58447.608428844695</v>
      </c>
      <c r="AC40" s="337">
        <f t="shared" si="40"/>
        <v>61794.174782807684</v>
      </c>
      <c r="AD40" s="337">
        <f t="shared" si="40"/>
        <v>65325.040211534157</v>
      </c>
      <c r="AE40" s="337">
        <f t="shared" si="40"/>
        <v>69053.197556965635</v>
      </c>
      <c r="AF40" s="342">
        <f t="shared" si="40"/>
        <v>72855.918049305736</v>
      </c>
      <c r="AG40" s="444">
        <f>SUM(G40:AF40)</f>
        <v>1006502.8282161644</v>
      </c>
      <c r="AH40" s="7"/>
      <c r="AI40" s="7"/>
      <c r="AJ40" s="7"/>
      <c r="AK40" s="10"/>
      <c r="AL40" s="10"/>
      <c r="AM40" s="10"/>
      <c r="AN40" s="10"/>
    </row>
    <row r="41" spans="1:40" ht="14.65" thickBot="1">
      <c r="A41" s="1644"/>
      <c r="B41" s="239">
        <v>32</v>
      </c>
      <c r="C41" s="235" t="s">
        <v>445</v>
      </c>
      <c r="D41" s="523">
        <v>10389.648999999999</v>
      </c>
      <c r="E41" s="524">
        <v>11115.127</v>
      </c>
      <c r="F41" s="525">
        <v>11788.982</v>
      </c>
      <c r="G41" s="526">
        <f>F41-G9</f>
        <v>12244.232523999999</v>
      </c>
      <c r="H41" s="527">
        <f t="shared" ref="H41:AF41" si="41">G41-H9</f>
        <v>12789.044874089883</v>
      </c>
      <c r="I41" s="527">
        <f t="shared" si="41"/>
        <v>13420.195135924121</v>
      </c>
      <c r="J41" s="528">
        <f t="shared" si="41"/>
        <v>14136.559772875555</v>
      </c>
      <c r="K41" s="529">
        <f t="shared" si="41"/>
        <v>14937.035718307172</v>
      </c>
      <c r="L41" s="527">
        <f t="shared" si="41"/>
        <v>15798.840543803219</v>
      </c>
      <c r="M41" s="527">
        <f t="shared" si="41"/>
        <v>16723.227919072593</v>
      </c>
      <c r="N41" s="527">
        <f t="shared" si="41"/>
        <v>17711.676340158738</v>
      </c>
      <c r="O41" s="527">
        <f t="shared" si="41"/>
        <v>18766.979310049614</v>
      </c>
      <c r="P41" s="527">
        <f t="shared" si="41"/>
        <v>19892.090342994059</v>
      </c>
      <c r="Q41" s="527">
        <f t="shared" si="41"/>
        <v>21090.155912861639</v>
      </c>
      <c r="R41" s="527">
        <f t="shared" si="41"/>
        <v>22364.530601457573</v>
      </c>
      <c r="S41" s="527">
        <f t="shared" si="41"/>
        <v>23718.793520942036</v>
      </c>
      <c r="T41" s="527">
        <f t="shared" si="41"/>
        <v>25156.766119876098</v>
      </c>
      <c r="U41" s="527">
        <f t="shared" si="41"/>
        <v>26682.531491892285</v>
      </c>
      <c r="V41" s="527">
        <f t="shared" si="41"/>
        <v>28300.455316284915</v>
      </c>
      <c r="W41" s="527">
        <f t="shared" si="41"/>
        <v>30015.208571005071</v>
      </c>
      <c r="X41" s="527">
        <f t="shared" si="41"/>
        <v>31831.55718142528</v>
      </c>
      <c r="Y41" s="527">
        <f t="shared" si="41"/>
        <v>33754.597491303037</v>
      </c>
      <c r="Z41" s="527">
        <f t="shared" si="41"/>
        <v>35789.769119815021</v>
      </c>
      <c r="AA41" s="527">
        <f t="shared" si="41"/>
        <v>37942.881141910024</v>
      </c>
      <c r="AB41" s="527">
        <f t="shared" si="41"/>
        <v>40220.140358492303</v>
      </c>
      <c r="AC41" s="527">
        <f t="shared" si="41"/>
        <v>42628.181825760701</v>
      </c>
      <c r="AD41" s="527">
        <f t="shared" si="41"/>
        <v>45174.101826812381</v>
      </c>
      <c r="AE41" s="527">
        <f t="shared" si="41"/>
        <v>47865.493483527585</v>
      </c>
      <c r="AF41" s="528">
        <f t="shared" si="41"/>
        <v>50710.485222874573</v>
      </c>
      <c r="AG41" s="444">
        <f>SUM(G41:AF41)</f>
        <v>699665.53166751552</v>
      </c>
      <c r="AH41" s="7"/>
      <c r="AI41" s="7"/>
      <c r="AJ41" s="7"/>
      <c r="AK41" s="10"/>
      <c r="AL41" s="10"/>
      <c r="AM41" s="10"/>
      <c r="AN41" s="10"/>
    </row>
    <row r="42" spans="1:40" s="7" customFormat="1" ht="14.65" thickBot="1">
      <c r="A42" s="1638"/>
      <c r="B42" s="1639"/>
      <c r="C42" s="1639"/>
      <c r="D42" s="1639"/>
      <c r="E42" s="1639"/>
      <c r="F42" s="1639"/>
      <c r="G42" s="1639"/>
      <c r="H42" s="1639"/>
      <c r="I42" s="1639"/>
      <c r="J42" s="1639"/>
      <c r="K42" s="1639"/>
      <c r="L42" s="1639"/>
      <c r="M42" s="1639"/>
      <c r="N42" s="1639"/>
      <c r="O42" s="1639"/>
      <c r="P42" s="1639"/>
      <c r="Q42" s="1639"/>
      <c r="R42" s="1639"/>
      <c r="S42" s="1639"/>
      <c r="T42" s="1639"/>
      <c r="U42" s="1639"/>
      <c r="V42" s="1639"/>
      <c r="W42" s="1639"/>
      <c r="X42" s="1639"/>
      <c r="Y42" s="1639"/>
      <c r="Z42" s="1639"/>
      <c r="AA42" s="1639"/>
      <c r="AB42" s="1639"/>
      <c r="AC42" s="1639"/>
      <c r="AD42" s="1639"/>
      <c r="AE42" s="1639"/>
      <c r="AF42" s="1640"/>
      <c r="AG42" s="443"/>
      <c r="AK42" s="10"/>
      <c r="AL42" s="10"/>
      <c r="AM42" s="10"/>
      <c r="AN42" s="10"/>
    </row>
    <row r="43" spans="1:40" ht="15" customHeight="1">
      <c r="A43" s="1632" t="s">
        <v>446</v>
      </c>
      <c r="B43" s="236">
        <v>33</v>
      </c>
      <c r="C43" s="240" t="s">
        <v>447</v>
      </c>
      <c r="D43" s="516">
        <f>'Fin. Data'!D41</f>
        <v>2364.9</v>
      </c>
      <c r="E43" s="301">
        <f>E36+D43</f>
        <v>4360.1640000000025</v>
      </c>
      <c r="F43" s="530">
        <f>F36+E43</f>
        <v>6512.9860000000035</v>
      </c>
      <c r="G43" s="531">
        <f>G36+F43</f>
        <v>7006.5307703095477</v>
      </c>
      <c r="H43" s="532">
        <f t="shared" ref="H43:AF43" si="42">H36+G43</f>
        <v>8215.1287975712421</v>
      </c>
      <c r="I43" s="532">
        <f t="shared" si="42"/>
        <v>10598.133271810406</v>
      </c>
      <c r="J43" s="533">
        <f t="shared" si="42"/>
        <v>12369.313367641069</v>
      </c>
      <c r="K43" s="593">
        <f t="shared" si="42"/>
        <v>13183.177220915457</v>
      </c>
      <c r="L43" s="594">
        <f>L36+K43</f>
        <v>14691.24829938153</v>
      </c>
      <c r="M43" s="594">
        <f t="shared" si="42"/>
        <v>16026.312778919426</v>
      </c>
      <c r="N43" s="594">
        <f t="shared" si="42"/>
        <v>17453.579926422128</v>
      </c>
      <c r="O43" s="594">
        <f t="shared" si="42"/>
        <v>19108.033678905682</v>
      </c>
      <c r="P43" s="594">
        <f t="shared" si="42"/>
        <v>20904.343734916707</v>
      </c>
      <c r="Q43" s="594">
        <f t="shared" si="42"/>
        <v>22771.296812743603</v>
      </c>
      <c r="R43" s="594">
        <f t="shared" si="42"/>
        <v>24768.598268800532</v>
      </c>
      <c r="S43" s="594">
        <f t="shared" si="42"/>
        <v>26913.777751634632</v>
      </c>
      <c r="T43" s="594">
        <f t="shared" si="42"/>
        <v>29226.033702809793</v>
      </c>
      <c r="U43" s="594">
        <f t="shared" si="42"/>
        <v>31623.457796606326</v>
      </c>
      <c r="V43" s="594">
        <f t="shared" si="42"/>
        <v>34176.185092028274</v>
      </c>
      <c r="W43" s="594">
        <f t="shared" si="42"/>
        <v>36685.5177490965</v>
      </c>
      <c r="X43" s="594">
        <f t="shared" si="42"/>
        <v>39433.925243739352</v>
      </c>
      <c r="Y43" s="594">
        <f t="shared" si="42"/>
        <v>42360.312195761078</v>
      </c>
      <c r="Z43" s="594">
        <f t="shared" si="42"/>
        <v>45487.260907498217</v>
      </c>
      <c r="AA43" s="594">
        <f t="shared" si="42"/>
        <v>48839.865003534207</v>
      </c>
      <c r="AB43" s="594">
        <f t="shared" si="42"/>
        <v>52446.095156012292</v>
      </c>
      <c r="AC43" s="594">
        <f t="shared" si="42"/>
        <v>56337.030246740011</v>
      </c>
      <c r="AD43" s="594">
        <f t="shared" si="42"/>
        <v>60547.157781810609</v>
      </c>
      <c r="AE43" s="594">
        <f t="shared" si="42"/>
        <v>65114.726482955077</v>
      </c>
      <c r="AF43" s="595">
        <f t="shared" si="42"/>
        <v>69813.362100301223</v>
      </c>
      <c r="AG43" s="443"/>
      <c r="AH43" s="7"/>
      <c r="AI43" s="7"/>
      <c r="AJ43" s="7"/>
      <c r="AK43" s="10"/>
      <c r="AL43" s="10"/>
      <c r="AM43" s="10"/>
      <c r="AN43" s="10"/>
    </row>
    <row r="44" spans="1:40" ht="14.25">
      <c r="A44" s="1632"/>
      <c r="B44" s="236">
        <v>34</v>
      </c>
      <c r="C44" s="1086" t="s">
        <v>301</v>
      </c>
      <c r="D44" s="516">
        <f>'Fin. Data'!D63</f>
        <v>5720.84</v>
      </c>
      <c r="E44" s="300">
        <f>'Fin. Data'!C63</f>
        <v>6691.3670000000002</v>
      </c>
      <c r="F44" s="517">
        <f>'Fin. Data'!B63</f>
        <v>6842.183</v>
      </c>
      <c r="G44" s="1099">
        <f>G12*$D$67</f>
        <v>6261.4260947962712</v>
      </c>
      <c r="H44" s="591">
        <f t="shared" ref="H44:J44" si="43">H12*$D$67</f>
        <v>6678.5382141587597</v>
      </c>
      <c r="I44" s="591">
        <f t="shared" si="43"/>
        <v>7551.0863819654796</v>
      </c>
      <c r="J44" s="592">
        <f t="shared" si="43"/>
        <v>8128.7817022925647</v>
      </c>
      <c r="K44" s="1078">
        <f>K12*$E$67</f>
        <v>6439.2748988044277</v>
      </c>
      <c r="L44" s="1078">
        <f>L12*$E$67</f>
        <v>6635.669270874344</v>
      </c>
      <c r="M44" s="1078">
        <f>M12*$E$67</f>
        <v>6454.1469445971807</v>
      </c>
      <c r="N44" s="1078">
        <f t="shared" ref="N44:AF44" si="44">N12*$E$67</f>
        <v>6524.5421002969588</v>
      </c>
      <c r="O44" s="1078">
        <f t="shared" si="44"/>
        <v>6943.7317524832342</v>
      </c>
      <c r="P44" s="1078">
        <f t="shared" si="44"/>
        <v>7414.5353241099565</v>
      </c>
      <c r="Q44" s="1078">
        <f t="shared" si="44"/>
        <v>7803.5113492084665</v>
      </c>
      <c r="R44" s="1078">
        <f t="shared" si="44"/>
        <v>8243.95704485852</v>
      </c>
      <c r="S44" s="1078">
        <f t="shared" si="44"/>
        <v>8741.8103576818867</v>
      </c>
      <c r="T44" s="1078">
        <f t="shared" si="44"/>
        <v>9303.6072429053274</v>
      </c>
      <c r="U44" s="1078">
        <f t="shared" si="44"/>
        <v>9770.7679068164343</v>
      </c>
      <c r="V44" s="1078">
        <f t="shared" si="44"/>
        <v>10301.219107730642</v>
      </c>
      <c r="W44" s="1078">
        <f t="shared" si="44"/>
        <v>10547.679124869595</v>
      </c>
      <c r="X44" s="1078">
        <f t="shared" si="44"/>
        <v>11095.234471437299</v>
      </c>
      <c r="Y44" s="1078">
        <f t="shared" si="44"/>
        <v>11710.57265780413</v>
      </c>
      <c r="Z44" s="1078">
        <f t="shared" si="44"/>
        <v>12401.296508140693</v>
      </c>
      <c r="AA44" s="1078">
        <f t="shared" si="44"/>
        <v>13175.755514674522</v>
      </c>
      <c r="AB44" s="1078">
        <f t="shared" si="44"/>
        <v>14043.113648658526</v>
      </c>
      <c r="AC44" s="1078">
        <f t="shared" si="44"/>
        <v>15013.423062852729</v>
      </c>
      <c r="AD44" s="1078">
        <f t="shared" si="44"/>
        <v>16097.704184491831</v>
      </c>
      <c r="AE44" s="1078">
        <f t="shared" si="44"/>
        <v>17308.032739343929</v>
      </c>
      <c r="AF44" s="1078">
        <f t="shared" si="44"/>
        <v>18142.669812808577</v>
      </c>
      <c r="AG44" s="458"/>
      <c r="AH44" s="10"/>
      <c r="AI44" s="10"/>
      <c r="AJ44" s="10"/>
      <c r="AK44" s="10"/>
      <c r="AL44" s="10"/>
      <c r="AM44" s="10"/>
      <c r="AN44" s="10"/>
    </row>
    <row r="45" spans="1:40" ht="14.25">
      <c r="A45" s="1632"/>
      <c r="B45" s="236">
        <v>35</v>
      </c>
      <c r="C45" s="240" t="s">
        <v>448</v>
      </c>
      <c r="D45" s="518"/>
      <c r="E45" s="384"/>
      <c r="F45" s="519">
        <f>1/((1+$F$50)^G50)</f>
        <v>1</v>
      </c>
      <c r="G45" s="345">
        <f t="shared" ref="G45:AF45" si="45">1/((1+$F$50)^G49)</f>
        <v>0.90909090909090906</v>
      </c>
      <c r="H45" s="295">
        <f t="shared" si="45"/>
        <v>0.82644628099173545</v>
      </c>
      <c r="I45" s="295">
        <f t="shared" si="45"/>
        <v>0.75131480090157754</v>
      </c>
      <c r="J45" s="346">
        <f t="shared" si="45"/>
        <v>0.68301345536507052</v>
      </c>
      <c r="K45" s="345">
        <f t="shared" si="45"/>
        <v>0.62092132305915493</v>
      </c>
      <c r="L45" s="295">
        <f t="shared" si="45"/>
        <v>0.56447393005377722</v>
      </c>
      <c r="M45" s="295">
        <f t="shared" si="45"/>
        <v>0.51315811823070645</v>
      </c>
      <c r="N45" s="295">
        <f t="shared" si="45"/>
        <v>0.46650738020973315</v>
      </c>
      <c r="O45" s="295">
        <f t="shared" si="45"/>
        <v>0.42409761837248466</v>
      </c>
      <c r="P45" s="295">
        <f t="shared" si="45"/>
        <v>0.38554328942953148</v>
      </c>
      <c r="Q45" s="295">
        <f t="shared" si="45"/>
        <v>0.3504938994813922</v>
      </c>
      <c r="R45" s="295">
        <f t="shared" si="45"/>
        <v>0.31863081771035656</v>
      </c>
      <c r="S45" s="295">
        <f t="shared" si="45"/>
        <v>0.28966437973668779</v>
      </c>
      <c r="T45" s="295">
        <f t="shared" si="45"/>
        <v>0.26333125430607973</v>
      </c>
      <c r="U45" s="295">
        <f t="shared" si="45"/>
        <v>0.23939204936916339</v>
      </c>
      <c r="V45" s="295">
        <f t="shared" si="45"/>
        <v>0.21762913579014853</v>
      </c>
      <c r="W45" s="295">
        <f t="shared" si="45"/>
        <v>0.19784466890013502</v>
      </c>
      <c r="X45" s="295">
        <f t="shared" si="45"/>
        <v>0.17985878990921364</v>
      </c>
      <c r="Y45" s="295">
        <f t="shared" si="45"/>
        <v>0.16350799082655781</v>
      </c>
      <c r="Z45" s="295">
        <f t="shared" si="45"/>
        <v>0.14864362802414349</v>
      </c>
      <c r="AA45" s="295">
        <f t="shared" si="45"/>
        <v>0.13513057093103953</v>
      </c>
      <c r="AB45" s="295">
        <f t="shared" si="45"/>
        <v>0.12284597357367227</v>
      </c>
      <c r="AC45" s="295">
        <f t="shared" si="45"/>
        <v>0.11167815779424752</v>
      </c>
      <c r="AD45" s="295">
        <f t="shared" si="45"/>
        <v>0.10152559799477048</v>
      </c>
      <c r="AE45" s="295">
        <f t="shared" si="45"/>
        <v>9.2295998177064048E-2</v>
      </c>
      <c r="AF45" s="589">
        <f t="shared" si="45"/>
        <v>8.3905452888240042E-2</v>
      </c>
      <c r="AG45" s="458"/>
      <c r="AH45" s="10"/>
      <c r="AI45" s="10"/>
      <c r="AJ45" s="10"/>
      <c r="AK45" s="10"/>
      <c r="AL45" s="10"/>
      <c r="AM45" s="10"/>
      <c r="AN45" s="10"/>
    </row>
    <row r="46" spans="1:40" ht="14.25">
      <c r="A46" s="1632"/>
      <c r="B46" s="236">
        <v>36</v>
      </c>
      <c r="C46" s="240" t="s">
        <v>449</v>
      </c>
      <c r="D46" s="520"/>
      <c r="E46" s="521" t="s">
        <v>450</v>
      </c>
      <c r="F46" s="346">
        <f>1/((1+$F$50+0.001)^G50)</f>
        <v>1</v>
      </c>
      <c r="G46" s="345">
        <f>1/((1+$F$50+0.001)^G49)</f>
        <v>0.90826521344232514</v>
      </c>
      <c r="H46" s="295">
        <f t="shared" ref="H46:AF46" si="46">1/((1+$F$50+0.001)^H49)</f>
        <v>0.82494569794943262</v>
      </c>
      <c r="I46" s="295">
        <f t="shared" si="46"/>
        <v>0.74926948042636932</v>
      </c>
      <c r="J46" s="346">
        <f t="shared" si="46"/>
        <v>0.68053540456527639</v>
      </c>
      <c r="K46" s="345">
        <f t="shared" si="46"/>
        <v>0.61810663448253989</v>
      </c>
      <c r="L46" s="295">
        <f t="shared" si="46"/>
        <v>0.56140475429840142</v>
      </c>
      <c r="M46" s="295">
        <f t="shared" si="46"/>
        <v>0.5099044089903737</v>
      </c>
      <c r="N46" s="295">
        <f t="shared" si="46"/>
        <v>0.46312843686682442</v>
      </c>
      <c r="O46" s="295">
        <f t="shared" si="46"/>
        <v>0.42064344856205671</v>
      </c>
      <c r="P46" s="295">
        <f t="shared" si="46"/>
        <v>0.38205581159133217</v>
      </c>
      <c r="Q46" s="295">
        <f t="shared" si="46"/>
        <v>0.34700800326188214</v>
      </c>
      <c r="R46" s="295">
        <f t="shared" si="46"/>
        <v>0.31517529814884848</v>
      </c>
      <c r="S46" s="295">
        <f t="shared" si="46"/>
        <v>0.28626275944491231</v>
      </c>
      <c r="T46" s="295">
        <f t="shared" si="46"/>
        <v>0.26000250630782229</v>
      </c>
      <c r="U46" s="295">
        <f t="shared" si="46"/>
        <v>0.23615123188721371</v>
      </c>
      <c r="V46" s="295">
        <f t="shared" si="46"/>
        <v>0.21448794903470819</v>
      </c>
      <c r="W46" s="295">
        <f t="shared" si="46"/>
        <v>0.19481194281081579</v>
      </c>
      <c r="X46" s="295">
        <f t="shared" si="46"/>
        <v>0.17694091081817967</v>
      </c>
      <c r="Y46" s="295">
        <f t="shared" si="46"/>
        <v>0.16070927413095337</v>
      </c>
      <c r="Z46" s="295">
        <f t="shared" si="46"/>
        <v>0.14596664317071154</v>
      </c>
      <c r="AA46" s="295">
        <f t="shared" si="46"/>
        <v>0.13257642431490602</v>
      </c>
      <c r="AB46" s="295">
        <f t="shared" si="46"/>
        <v>0.12041455432779839</v>
      </c>
      <c r="AC46" s="295">
        <f t="shared" si="46"/>
        <v>0.10936835088810026</v>
      </c>
      <c r="AD46" s="295">
        <f t="shared" si="46"/>
        <v>9.9335468563215498E-2</v>
      </c>
      <c r="AE46" s="295">
        <f t="shared" si="46"/>
        <v>9.022295055696232E-2</v>
      </c>
      <c r="AF46" s="346">
        <f t="shared" si="46"/>
        <v>8.1946367445015725E-2</v>
      </c>
      <c r="AG46" s="458"/>
      <c r="AH46" s="10"/>
      <c r="AI46" s="10"/>
      <c r="AJ46" s="10"/>
      <c r="AK46" s="10"/>
      <c r="AL46" s="10"/>
      <c r="AM46" s="10"/>
      <c r="AN46" s="10"/>
    </row>
    <row r="47" spans="1:40" ht="14.65" thickBot="1">
      <c r="A47" s="1632"/>
      <c r="B47" s="237">
        <v>37</v>
      </c>
      <c r="C47" s="235" t="s">
        <v>451</v>
      </c>
      <c r="D47" s="520"/>
      <c r="E47" s="521" t="s">
        <v>452</v>
      </c>
      <c r="F47" s="534">
        <f>1/((1+$F$50+0.005)^G50)</f>
        <v>1</v>
      </c>
      <c r="G47" s="1100">
        <f>1/((1+$F$50+0.005)^H50)</f>
        <v>1</v>
      </c>
      <c r="H47" s="535">
        <f t="shared" ref="H47:AF47" si="47">1/((1+$F$50+0.005)^H49)</f>
        <v>0.81898405028562071</v>
      </c>
      <c r="I47" s="535">
        <f t="shared" si="47"/>
        <v>0.74116203645757528</v>
      </c>
      <c r="J47" s="534">
        <f t="shared" si="47"/>
        <v>0.67073487462224002</v>
      </c>
      <c r="K47" s="596">
        <f t="shared" si="47"/>
        <v>0.60699988653596382</v>
      </c>
      <c r="L47" s="597">
        <f t="shared" si="47"/>
        <v>0.54932116428594002</v>
      </c>
      <c r="M47" s="597">
        <f t="shared" si="47"/>
        <v>0.49712322559813582</v>
      </c>
      <c r="N47" s="597">
        <f t="shared" si="47"/>
        <v>0.44988527203451206</v>
      </c>
      <c r="O47" s="597">
        <f t="shared" si="47"/>
        <v>0.40713599279141366</v>
      </c>
      <c r="P47" s="597">
        <f t="shared" si="47"/>
        <v>0.36844886225467294</v>
      </c>
      <c r="Q47" s="597">
        <f t="shared" si="47"/>
        <v>0.33343788439336919</v>
      </c>
      <c r="R47" s="597">
        <f t="shared" si="47"/>
        <v>0.30175374153246082</v>
      </c>
      <c r="S47" s="597">
        <f t="shared" si="47"/>
        <v>0.27308030907915004</v>
      </c>
      <c r="T47" s="597">
        <f t="shared" si="47"/>
        <v>0.24713150142909504</v>
      </c>
      <c r="U47" s="597">
        <f t="shared" si="47"/>
        <v>0.22364841758289142</v>
      </c>
      <c r="V47" s="597">
        <f t="shared" si="47"/>
        <v>0.20239675799356693</v>
      </c>
      <c r="W47" s="597">
        <f t="shared" si="47"/>
        <v>0.18316448687200629</v>
      </c>
      <c r="X47" s="597">
        <f t="shared" si="47"/>
        <v>0.16575971662625003</v>
      </c>
      <c r="Y47" s="597">
        <f t="shared" si="47"/>
        <v>0.1500087933269231</v>
      </c>
      <c r="Z47" s="597">
        <f t="shared" si="47"/>
        <v>0.13575456409676298</v>
      </c>
      <c r="AA47" s="597">
        <f t="shared" si="47"/>
        <v>0.12285480913734205</v>
      </c>
      <c r="AB47" s="597">
        <f t="shared" si="47"/>
        <v>0.11118082274872583</v>
      </c>
      <c r="AC47" s="597">
        <f t="shared" si="47"/>
        <v>0.10061612918436728</v>
      </c>
      <c r="AD47" s="597">
        <f t="shared" si="47"/>
        <v>9.1055320528839162E-2</v>
      </c>
      <c r="AE47" s="597">
        <f t="shared" si="47"/>
        <v>8.2403005003474361E-2</v>
      </c>
      <c r="AF47" s="598">
        <f t="shared" si="47"/>
        <v>7.4572855206764127E-2</v>
      </c>
      <c r="AG47" s="458"/>
      <c r="AH47" s="10"/>
      <c r="AI47" s="10"/>
      <c r="AJ47" s="10"/>
      <c r="AK47" s="10"/>
      <c r="AL47" s="10"/>
      <c r="AM47" s="10"/>
      <c r="AN47" s="10"/>
    </row>
    <row r="48" spans="1:40" ht="14.65" thickBot="1">
      <c r="A48" s="1641" t="s">
        <v>421</v>
      </c>
      <c r="B48" s="1642"/>
      <c r="C48" s="1642"/>
      <c r="D48" s="1642"/>
      <c r="E48" s="1642"/>
      <c r="F48" s="1642"/>
      <c r="G48" s="1642"/>
      <c r="H48" s="1642"/>
      <c r="I48" s="1642"/>
      <c r="J48" s="1642"/>
      <c r="K48" s="1642"/>
      <c r="L48" s="1642"/>
      <c r="M48" s="1642"/>
      <c r="N48" s="1642"/>
      <c r="O48" s="1642"/>
      <c r="P48" s="1642"/>
      <c r="Q48" s="1642"/>
      <c r="R48" s="1642"/>
      <c r="S48" s="1642"/>
      <c r="T48" s="1642"/>
      <c r="U48" s="1642"/>
      <c r="V48" s="1642"/>
      <c r="W48" s="1642"/>
      <c r="X48" s="1642"/>
      <c r="Y48" s="1642"/>
      <c r="Z48" s="1642"/>
      <c r="AA48" s="1642"/>
      <c r="AB48" s="1642"/>
      <c r="AC48" s="1642"/>
      <c r="AD48" s="1642"/>
      <c r="AE48" s="1642"/>
      <c r="AF48" s="1643"/>
      <c r="AG48" s="458"/>
      <c r="AH48" s="10"/>
      <c r="AI48" s="10"/>
      <c r="AJ48" s="460"/>
      <c r="AK48" s="10"/>
      <c r="AL48" s="10"/>
      <c r="AM48" s="10"/>
      <c r="AN48" s="10"/>
    </row>
    <row r="49" spans="1:40" ht="14.25">
      <c r="A49" s="1646" t="s">
        <v>453</v>
      </c>
      <c r="C49" s="250" t="s">
        <v>454</v>
      </c>
      <c r="D49" s="241" t="s">
        <v>455</v>
      </c>
      <c r="E49" s="242" t="s">
        <v>456</v>
      </c>
      <c r="F49" s="251" t="s">
        <v>457</v>
      </c>
      <c r="G49" s="296">
        <v>1</v>
      </c>
      <c r="H49" s="297">
        <v>2</v>
      </c>
      <c r="I49" s="297">
        <v>3</v>
      </c>
      <c r="J49" s="296">
        <v>4</v>
      </c>
      <c r="K49" s="297">
        <v>5</v>
      </c>
      <c r="L49" s="297">
        <v>6</v>
      </c>
      <c r="M49" s="296">
        <v>7</v>
      </c>
      <c r="N49" s="297">
        <v>8</v>
      </c>
      <c r="O49" s="297">
        <v>9</v>
      </c>
      <c r="P49" s="296">
        <v>10</v>
      </c>
      <c r="Q49" s="297">
        <v>11</v>
      </c>
      <c r="R49" s="297">
        <v>12</v>
      </c>
      <c r="S49" s="296">
        <v>13</v>
      </c>
      <c r="T49" s="297">
        <v>14</v>
      </c>
      <c r="U49" s="297">
        <v>15</v>
      </c>
      <c r="V49" s="296">
        <v>16</v>
      </c>
      <c r="W49" s="297">
        <v>17</v>
      </c>
      <c r="X49" s="297">
        <v>18</v>
      </c>
      <c r="Y49" s="296">
        <v>19</v>
      </c>
      <c r="Z49" s="297">
        <v>20</v>
      </c>
      <c r="AA49" s="297">
        <v>21</v>
      </c>
      <c r="AB49" s="296">
        <v>22</v>
      </c>
      <c r="AC49" s="297">
        <v>23</v>
      </c>
      <c r="AD49" s="297">
        <v>24</v>
      </c>
      <c r="AE49" s="296">
        <v>25</v>
      </c>
      <c r="AF49" s="297">
        <v>26</v>
      </c>
      <c r="AG49" s="458"/>
      <c r="AH49" s="10"/>
      <c r="AI49" s="10"/>
      <c r="AJ49" s="10"/>
      <c r="AK49" s="10"/>
      <c r="AL49" s="10"/>
      <c r="AM49" s="10"/>
      <c r="AN49" s="10"/>
    </row>
    <row r="50" spans="1:40" ht="14.65" thickBot="1">
      <c r="A50" s="1647"/>
      <c r="C50" s="247">
        <v>0.04</v>
      </c>
      <c r="D50" s="248">
        <v>0.04</v>
      </c>
      <c r="E50" s="248">
        <v>0.02</v>
      </c>
      <c r="F50" s="249">
        <f>E50+D50+C50</f>
        <v>0.1</v>
      </c>
      <c r="G50" s="296">
        <v>0</v>
      </c>
      <c r="S50" s="234"/>
      <c r="T50" s="234"/>
      <c r="U50" s="234"/>
      <c r="V50" s="234"/>
      <c r="W50" s="234"/>
      <c r="X50" s="234"/>
      <c r="Y50" s="234"/>
      <c r="Z50" s="234"/>
      <c r="AA50" s="234"/>
      <c r="AB50" s="234"/>
      <c r="AC50" s="234"/>
      <c r="AD50" s="234"/>
      <c r="AE50" s="234"/>
      <c r="AF50" s="234"/>
      <c r="AG50" s="457"/>
      <c r="AH50" s="10"/>
      <c r="AI50" s="10"/>
      <c r="AJ50" s="10"/>
      <c r="AK50" s="10"/>
      <c r="AL50" s="10"/>
      <c r="AM50" s="10"/>
      <c r="AN50" s="10"/>
    </row>
    <row r="51" spans="1:40" ht="14.65" thickBot="1">
      <c r="A51" s="234"/>
      <c r="C51" s="234"/>
      <c r="D51" s="234"/>
      <c r="G51"/>
      <c r="H51" s="1070" t="s">
        <v>458</v>
      </c>
      <c r="I51" s="1071">
        <f>I44/I12</f>
        <v>1.3</v>
      </c>
      <c r="J51" s="1071">
        <f t="shared" ref="J51:AF51" si="48">J44/J12</f>
        <v>1.3</v>
      </c>
      <c r="K51" s="1071">
        <f t="shared" si="48"/>
        <v>1</v>
      </c>
      <c r="L51" s="1071">
        <f t="shared" si="48"/>
        <v>1</v>
      </c>
      <c r="M51" s="1071">
        <f t="shared" si="48"/>
        <v>1</v>
      </c>
      <c r="N51" s="1071">
        <f t="shared" si="48"/>
        <v>1</v>
      </c>
      <c r="O51" s="1071">
        <f t="shared" si="48"/>
        <v>1</v>
      </c>
      <c r="P51" s="1071">
        <f t="shared" si="48"/>
        <v>1</v>
      </c>
      <c r="Q51" s="1071">
        <f t="shared" si="48"/>
        <v>1</v>
      </c>
      <c r="R51" s="1071">
        <f t="shared" si="48"/>
        <v>1</v>
      </c>
      <c r="S51" s="1071">
        <f t="shared" si="48"/>
        <v>1</v>
      </c>
      <c r="T51" s="1071">
        <f t="shared" si="48"/>
        <v>1</v>
      </c>
      <c r="U51" s="1071">
        <f t="shared" si="48"/>
        <v>1</v>
      </c>
      <c r="V51" s="1071">
        <f t="shared" si="48"/>
        <v>1</v>
      </c>
      <c r="W51" s="1071">
        <f t="shared" si="48"/>
        <v>1</v>
      </c>
      <c r="X51" s="1071">
        <f t="shared" si="48"/>
        <v>1</v>
      </c>
      <c r="Y51" s="1071">
        <f t="shared" si="48"/>
        <v>1</v>
      </c>
      <c r="Z51" s="1071">
        <f t="shared" si="48"/>
        <v>1</v>
      </c>
      <c r="AA51" s="1071">
        <f t="shared" si="48"/>
        <v>1</v>
      </c>
      <c r="AB51" s="1071">
        <f t="shared" si="48"/>
        <v>1</v>
      </c>
      <c r="AC51" s="1071">
        <f t="shared" si="48"/>
        <v>1</v>
      </c>
      <c r="AD51" s="1071">
        <f t="shared" si="48"/>
        <v>1</v>
      </c>
      <c r="AE51" s="1071">
        <f t="shared" si="48"/>
        <v>1</v>
      </c>
      <c r="AF51" s="1072">
        <f t="shared" si="48"/>
        <v>1</v>
      </c>
      <c r="AG51" s="457"/>
      <c r="AH51" s="10"/>
      <c r="AI51" s="10"/>
      <c r="AJ51" s="10"/>
      <c r="AK51" s="10"/>
      <c r="AL51" s="10"/>
      <c r="AM51" s="10"/>
      <c r="AN51" s="10"/>
    </row>
    <row r="52" spans="1:40" ht="15" customHeight="1" thickBot="1">
      <c r="A52" s="1648" t="s">
        <v>459</v>
      </c>
      <c r="C52" s="402" t="s">
        <v>421</v>
      </c>
      <c r="D52" s="403" t="s">
        <v>398</v>
      </c>
      <c r="E52" s="404" t="s">
        <v>399</v>
      </c>
      <c r="F52" s="403" t="s">
        <v>460</v>
      </c>
      <c r="G52" s="234"/>
      <c r="H52" s="1073"/>
      <c r="I52" s="10"/>
      <c r="J52" s="10"/>
      <c r="K52" s="10"/>
      <c r="L52" s="10"/>
      <c r="M52" s="10"/>
      <c r="N52" s="10"/>
      <c r="O52" s="10"/>
      <c r="P52" s="10"/>
      <c r="Q52" s="374"/>
      <c r="R52" s="374"/>
      <c r="S52" s="234"/>
      <c r="T52" s="234"/>
      <c r="U52" s="234"/>
      <c r="V52" s="234"/>
      <c r="W52" s="234"/>
      <c r="X52" s="234"/>
      <c r="Y52" s="234"/>
      <c r="Z52" s="234"/>
      <c r="AA52" s="234"/>
      <c r="AB52" s="234"/>
      <c r="AC52" s="234"/>
      <c r="AD52" s="234"/>
      <c r="AE52" s="234"/>
      <c r="AF52" s="234"/>
      <c r="AG52" s="457"/>
      <c r="AH52" s="10"/>
      <c r="AI52" s="10"/>
      <c r="AJ52" s="10"/>
      <c r="AK52" s="10"/>
      <c r="AL52" s="10"/>
      <c r="AM52" s="10"/>
      <c r="AN52" s="10"/>
    </row>
    <row r="53" spans="1:40" ht="15" customHeight="1" thickBot="1">
      <c r="A53" s="1648"/>
      <c r="C53" s="405" t="s">
        <v>461</v>
      </c>
      <c r="D53" s="375">
        <f>Assumptions!L17</f>
        <v>-4.1200000000000001E-2</v>
      </c>
      <c r="E53" s="376">
        <f>Assumptions!M17</f>
        <v>-4.1200000000000001E-2</v>
      </c>
      <c r="F53" s="406" t="str">
        <f>Assumptions!O17</f>
        <v>% PPE</v>
      </c>
      <c r="G53" s="426"/>
      <c r="H53" s="1074" t="s">
        <v>462</v>
      </c>
      <c r="I53" s="1071">
        <f>I43/(I6-I8)</f>
        <v>0.42803409713934409</v>
      </c>
      <c r="J53" s="1071">
        <f t="shared" ref="J53:AF53" si="49">J43/(J6-J8)</f>
        <v>0.51457584148265567</v>
      </c>
      <c r="K53" s="1071">
        <f t="shared" si="49"/>
        <v>0.53765894313158324</v>
      </c>
      <c r="L53" s="1071">
        <f t="shared" si="49"/>
        <v>0.58740271240169384</v>
      </c>
      <c r="M53" s="1071">
        <f t="shared" si="49"/>
        <v>0.61662085888649121</v>
      </c>
      <c r="N53" s="1071">
        <f t="shared" si="49"/>
        <v>0.63793948885094054</v>
      </c>
      <c r="O53" s="1071">
        <f t="shared" si="49"/>
        <v>0.67138569815669547</v>
      </c>
      <c r="P53" s="1071">
        <f t="shared" si="49"/>
        <v>0.70604219842985649</v>
      </c>
      <c r="Q53" s="1071">
        <f t="shared" si="49"/>
        <v>0.7359371113509432</v>
      </c>
      <c r="R53" s="1071">
        <f t="shared" si="49"/>
        <v>0.76593126553099411</v>
      </c>
      <c r="S53" s="1071">
        <f t="shared" si="49"/>
        <v>0.79629628100217176</v>
      </c>
      <c r="T53" s="1071">
        <f t="shared" si="49"/>
        <v>0.82728925236795492</v>
      </c>
      <c r="U53" s="1071">
        <f t="shared" si="49"/>
        <v>0.85253948532840429</v>
      </c>
      <c r="V53" s="1071">
        <f t="shared" si="49"/>
        <v>0.8774492854102377</v>
      </c>
      <c r="W53" s="1071">
        <f t="shared" si="49"/>
        <v>0.89168773960841996</v>
      </c>
      <c r="X53" s="1071">
        <f t="shared" si="49"/>
        <v>0.91283928504793188</v>
      </c>
      <c r="Y53" s="1071">
        <f t="shared" si="49"/>
        <v>0.9338278653237756</v>
      </c>
      <c r="Z53" s="1071">
        <f t="shared" si="49"/>
        <v>0.95490017009955119</v>
      </c>
      <c r="AA53" s="1071">
        <f t="shared" si="49"/>
        <v>0.97629311436768773</v>
      </c>
      <c r="AB53" s="1071">
        <f t="shared" si="49"/>
        <v>0.99823665264771211</v>
      </c>
      <c r="AC53" s="1071">
        <f t="shared" si="49"/>
        <v>1.0209530711273778</v>
      </c>
      <c r="AD53" s="1071">
        <f t="shared" si="49"/>
        <v>1.0446573029859407</v>
      </c>
      <c r="AE53" s="1071">
        <f t="shared" si="49"/>
        <v>1.0695576519164365</v>
      </c>
      <c r="AF53" s="1072">
        <f t="shared" si="49"/>
        <v>1.1309051353037816</v>
      </c>
      <c r="AG53" s="457"/>
      <c r="AH53" s="10"/>
      <c r="AI53" s="10"/>
      <c r="AJ53" s="10"/>
      <c r="AK53" s="10"/>
      <c r="AL53" s="10"/>
      <c r="AM53" s="10"/>
      <c r="AN53" s="10"/>
    </row>
    <row r="54" spans="1:40" ht="15" customHeight="1" thickBot="1">
      <c r="A54" s="1648"/>
      <c r="C54" s="407" t="s">
        <v>463</v>
      </c>
      <c r="D54" s="375">
        <f>Assumptions!L18</f>
        <v>-0.05</v>
      </c>
      <c r="E54" s="376">
        <f>Assumptions!M18</f>
        <v>-4.4999999999999998E-2</v>
      </c>
      <c r="F54" s="406" t="str">
        <f>Assumptions!O18</f>
        <v>% IA</v>
      </c>
      <c r="G54" s="234"/>
      <c r="H54" s="1073"/>
      <c r="I54" s="234"/>
      <c r="J54" s="234"/>
      <c r="K54" s="10"/>
      <c r="L54" s="10"/>
      <c r="M54" s="374"/>
      <c r="N54" s="374"/>
      <c r="O54" s="374"/>
      <c r="P54" s="374"/>
      <c r="Q54" s="374"/>
      <c r="R54" s="374"/>
      <c r="S54" s="234"/>
      <c r="T54" s="234"/>
      <c r="U54" s="234"/>
      <c r="V54" s="234"/>
      <c r="W54" s="234"/>
      <c r="X54" s="234"/>
      <c r="Y54" s="234"/>
      <c r="Z54" s="234"/>
      <c r="AA54" s="234"/>
      <c r="AB54" s="234"/>
      <c r="AC54" s="234"/>
      <c r="AD54" s="234"/>
      <c r="AE54" s="234"/>
      <c r="AF54" s="234"/>
      <c r="AG54" s="457"/>
      <c r="AH54" s="10"/>
      <c r="AI54" s="10"/>
      <c r="AJ54" s="10"/>
      <c r="AK54" s="10"/>
      <c r="AL54" s="10"/>
      <c r="AM54" s="10"/>
      <c r="AN54" s="10"/>
    </row>
    <row r="55" spans="1:40" ht="15" customHeight="1" thickBot="1">
      <c r="A55" s="1648"/>
      <c r="C55" s="383" t="s">
        <v>464</v>
      </c>
      <c r="D55" s="375">
        <f>Assumptions!L19</f>
        <v>-3.7000000000000002E-3</v>
      </c>
      <c r="E55" s="376">
        <f>Assumptions!M19</f>
        <v>-3.7000000000000002E-3</v>
      </c>
      <c r="F55" s="406" t="str">
        <f>Assumptions!O19</f>
        <v>% Revenue</v>
      </c>
      <c r="G55" s="234"/>
      <c r="H55" s="1097" t="s">
        <v>465</v>
      </c>
      <c r="I55" s="1098">
        <f t="shared" ref="I55:AF55" si="50">I43/I6</f>
        <v>0.35868380556526058</v>
      </c>
      <c r="J55" s="1075">
        <f t="shared" si="50"/>
        <v>0.42411776010691138</v>
      </c>
      <c r="K55" s="1075">
        <f t="shared" si="50"/>
        <v>0.44281495188816788</v>
      </c>
      <c r="L55" s="1075">
        <f t="shared" si="50"/>
        <v>0.48358482686213794</v>
      </c>
      <c r="M55" s="1075">
        <f t="shared" si="50"/>
        <v>0.51535537554291888</v>
      </c>
      <c r="N55" s="1075">
        <f t="shared" si="50"/>
        <v>0.53779997459028572</v>
      </c>
      <c r="O55" s="1075">
        <f t="shared" si="50"/>
        <v>0.56386823608527314</v>
      </c>
      <c r="P55" s="1075">
        <f t="shared" si="50"/>
        <v>0.59027100863240767</v>
      </c>
      <c r="Q55" s="1075">
        <f t="shared" si="50"/>
        <v>0.61472170319826858</v>
      </c>
      <c r="R55" s="1075">
        <f t="shared" si="50"/>
        <v>0.63868371931934909</v>
      </c>
      <c r="S55" s="1075">
        <f t="shared" si="50"/>
        <v>0.66231745878024406</v>
      </c>
      <c r="T55" s="1075">
        <f t="shared" si="50"/>
        <v>0.68576976571258741</v>
      </c>
      <c r="U55" s="1075">
        <f t="shared" si="50"/>
        <v>0.70687301469552466</v>
      </c>
      <c r="V55" s="1075">
        <f t="shared" si="50"/>
        <v>0.72708205605919118</v>
      </c>
      <c r="W55" s="1075">
        <f t="shared" si="50"/>
        <v>0.74385453983010841</v>
      </c>
      <c r="X55" s="1075">
        <f t="shared" si="50"/>
        <v>0.76138899666158111</v>
      </c>
      <c r="Y55" s="1075">
        <f t="shared" si="50"/>
        <v>0.77821472347004739</v>
      </c>
      <c r="Z55" s="1075">
        <f t="shared" si="50"/>
        <v>0.7945009730995406</v>
      </c>
      <c r="AA55" s="1075">
        <f t="shared" si="50"/>
        <v>0.81040995185426512</v>
      </c>
      <c r="AB55" s="1075">
        <f t="shared" si="50"/>
        <v>0.82609800224864971</v>
      </c>
      <c r="AC55" s="1075">
        <f t="shared" si="50"/>
        <v>0.84171392836759329</v>
      </c>
      <c r="AD55" s="1075">
        <f t="shared" si="50"/>
        <v>0.85739826402346175</v>
      </c>
      <c r="AE55" s="1075">
        <f t="shared" si="50"/>
        <v>0.87328297131486998</v>
      </c>
      <c r="AF55" s="1076">
        <f t="shared" si="50"/>
        <v>0.9179396992354254</v>
      </c>
      <c r="AG55" s="457"/>
      <c r="AH55" s="10"/>
      <c r="AI55" s="10"/>
      <c r="AJ55" s="10"/>
      <c r="AK55" s="10"/>
      <c r="AL55" s="10"/>
      <c r="AM55" s="10"/>
      <c r="AN55" s="10"/>
    </row>
    <row r="56" spans="1:40" ht="15" customHeight="1" thickBot="1">
      <c r="A56" s="1648"/>
      <c r="C56" s="407" t="s">
        <v>466</v>
      </c>
      <c r="D56" s="375">
        <f>Assumptions!L20</f>
        <v>0.21</v>
      </c>
      <c r="E56" s="376">
        <f>Assumptions!M20</f>
        <v>0.21</v>
      </c>
      <c r="F56" s="406" t="str">
        <f>Assumptions!O20</f>
        <v>% EBT</v>
      </c>
      <c r="G56" s="234"/>
      <c r="I56" s="234"/>
      <c r="J56" s="234"/>
      <c r="K56" s="234"/>
      <c r="L56" s="234"/>
      <c r="M56" s="234"/>
      <c r="N56" s="234"/>
      <c r="O56" s="234"/>
      <c r="P56" s="234"/>
      <c r="Q56" s="234"/>
      <c r="R56" s="234"/>
      <c r="S56" s="234"/>
      <c r="T56" s="234"/>
      <c r="U56" s="234"/>
      <c r="V56" s="234"/>
      <c r="W56" s="234"/>
      <c r="X56" s="234"/>
      <c r="Y56" s="234"/>
      <c r="Z56" s="234"/>
      <c r="AA56" s="234"/>
      <c r="AB56" s="234"/>
      <c r="AC56" s="234"/>
      <c r="AD56" s="234"/>
      <c r="AE56" s="234"/>
      <c r="AF56" s="234"/>
      <c r="AG56" s="457"/>
      <c r="AH56" s="10"/>
      <c r="AI56" s="10"/>
      <c r="AJ56" s="10"/>
      <c r="AK56" s="10"/>
      <c r="AL56" s="10"/>
      <c r="AM56" s="10"/>
      <c r="AN56" s="10"/>
    </row>
    <row r="57" spans="1:40" ht="15" customHeight="1" thickBot="1">
      <c r="A57" s="1648"/>
      <c r="C57" s="383" t="s">
        <v>467</v>
      </c>
      <c r="D57" s="375">
        <f>Assumptions!L21</f>
        <v>-3.3000000000000002E-2</v>
      </c>
      <c r="E57" s="376">
        <f>Assumptions!M21</f>
        <v>-3.3000000000000002E-2</v>
      </c>
      <c r="F57" s="406" t="str">
        <f>Assumptions!O21</f>
        <v>% Debt</v>
      </c>
      <c r="G57" s="234"/>
      <c r="H57" s="988" t="s">
        <v>468</v>
      </c>
      <c r="I57" s="1126">
        <f>(AF6/G6)^(1/26)-1</f>
        <v>3.5050196601620121E-2</v>
      </c>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457"/>
      <c r="AH57" s="10"/>
      <c r="AI57" s="10"/>
      <c r="AJ57" s="10"/>
      <c r="AK57" s="10"/>
      <c r="AL57" s="10"/>
      <c r="AM57" s="10"/>
      <c r="AN57" s="10"/>
    </row>
    <row r="58" spans="1:40" ht="15" customHeight="1" thickBot="1">
      <c r="A58" s="1648"/>
      <c r="C58" s="407" t="s">
        <v>469</v>
      </c>
      <c r="D58" s="375">
        <f>Assumptions!L22</f>
        <v>3.5000000000000003E-2</v>
      </c>
      <c r="E58" s="376">
        <f>Assumptions!M22</f>
        <v>2.5000000000000001E-2</v>
      </c>
      <c r="F58" s="406" t="str">
        <f>Assumptions!O22</f>
        <v xml:space="preserve">% Cash </v>
      </c>
      <c r="G58" s="234"/>
      <c r="H58" s="234"/>
      <c r="I58" s="235"/>
      <c r="J58" s="1077"/>
      <c r="K58" s="1077"/>
      <c r="L58" s="1077"/>
      <c r="M58" s="1077"/>
      <c r="N58" s="1077"/>
      <c r="O58" s="234"/>
      <c r="P58" s="234"/>
      <c r="Q58" s="234"/>
      <c r="R58" s="234"/>
      <c r="S58" s="234"/>
      <c r="T58" s="234"/>
      <c r="U58" s="234"/>
      <c r="V58" s="234"/>
      <c r="W58" s="234"/>
      <c r="X58" s="234"/>
      <c r="Y58" s="234"/>
      <c r="Z58" s="234"/>
      <c r="AA58" s="234"/>
      <c r="AB58" s="234"/>
      <c r="AC58" s="234"/>
      <c r="AD58" s="234"/>
      <c r="AE58" s="234"/>
      <c r="AF58" s="234"/>
      <c r="AG58" s="457"/>
      <c r="AH58" s="10"/>
      <c r="AI58" s="10"/>
      <c r="AJ58" s="10"/>
      <c r="AK58" s="10"/>
      <c r="AL58" s="10"/>
      <c r="AM58" s="10"/>
      <c r="AN58" s="10"/>
    </row>
    <row r="59" spans="1:40" ht="15" customHeight="1" thickBot="1">
      <c r="A59" s="1648"/>
      <c r="C59" s="383" t="s">
        <v>470</v>
      </c>
      <c r="D59" s="375" t="str">
        <f>Assumptions!L23</f>
        <v>- -</v>
      </c>
      <c r="E59" s="376" t="str">
        <f>Assumptions!M23</f>
        <v>- -</v>
      </c>
      <c r="F59" s="406" t="str">
        <f>Assumptions!O23</f>
        <v>Growing with CAPEX</v>
      </c>
      <c r="G59" s="234"/>
      <c r="H59" s="1074" t="s">
        <v>471</v>
      </c>
      <c r="I59" s="1098">
        <f>I35/I17</f>
        <v>0.69508274596713759</v>
      </c>
      <c r="J59" s="1075">
        <f t="shared" ref="J59:AF59" si="51">J35/J17</f>
        <v>0.47547756987283946</v>
      </c>
      <c r="K59" s="1075">
        <f t="shared" si="51"/>
        <v>0.32719205298214327</v>
      </c>
      <c r="L59" s="1075">
        <f t="shared" si="51"/>
        <v>0.59823043024132849</v>
      </c>
      <c r="M59" s="1075">
        <f t="shared" si="51"/>
        <v>0.54964450681994259</v>
      </c>
      <c r="N59" s="1075">
        <f t="shared" si="51"/>
        <v>0.58603799480979413</v>
      </c>
      <c r="O59" s="1075">
        <f t="shared" si="51"/>
        <v>0.63807095836453676</v>
      </c>
      <c r="P59" s="1075">
        <f t="shared" si="51"/>
        <v>0.64651299177202182</v>
      </c>
      <c r="Q59" s="1075">
        <f t="shared" si="51"/>
        <v>0.63728812530266243</v>
      </c>
      <c r="R59" s="1075">
        <f t="shared" si="51"/>
        <v>0.64424452428592227</v>
      </c>
      <c r="S59" s="1075">
        <f>S35/S17</f>
        <v>0.65092510793000269</v>
      </c>
      <c r="T59" s="1075">
        <f t="shared" si="51"/>
        <v>0.65718781555858219</v>
      </c>
      <c r="U59" s="1075">
        <f t="shared" si="51"/>
        <v>0.64769849636884291</v>
      </c>
      <c r="V59" s="1075">
        <f t="shared" si="51"/>
        <v>0.65309469792873276</v>
      </c>
      <c r="W59" s="1075">
        <f t="shared" si="51"/>
        <v>0.62810509599775177</v>
      </c>
      <c r="X59" s="1075">
        <f t="shared" si="51"/>
        <v>0.65397876423689139</v>
      </c>
      <c r="Y59" s="1075">
        <f t="shared" si="51"/>
        <v>0.65865362570241903</v>
      </c>
      <c r="Z59" s="1075">
        <f t="shared" si="51"/>
        <v>0.66313769292122182</v>
      </c>
      <c r="AA59" s="1075">
        <f t="shared" si="51"/>
        <v>0.66738140959253278</v>
      </c>
      <c r="AB59" s="1075">
        <f t="shared" si="51"/>
        <v>0.67136691286554051</v>
      </c>
      <c r="AC59" s="1075">
        <f t="shared" si="51"/>
        <v>0.6750715815425633</v>
      </c>
      <c r="AD59" s="1075">
        <f t="shared" si="51"/>
        <v>0.67847902198442767</v>
      </c>
      <c r="AE59" s="1075">
        <f t="shared" si="51"/>
        <v>0.68158339829721948</v>
      </c>
      <c r="AF59" s="1076">
        <f t="shared" si="51"/>
        <v>0.66754076232505066</v>
      </c>
      <c r="AG59" s="457"/>
      <c r="AH59" s="10"/>
      <c r="AI59" s="10"/>
      <c r="AJ59" s="10"/>
      <c r="AK59" s="10"/>
      <c r="AL59" s="10"/>
      <c r="AM59" s="10"/>
      <c r="AN59" s="10"/>
    </row>
    <row r="60" spans="1:40" ht="15" customHeight="1">
      <c r="A60" s="1648"/>
      <c r="C60" s="402" t="s">
        <v>472</v>
      </c>
      <c r="D60" s="375">
        <f>Assumptions!O266</f>
        <v>0.03</v>
      </c>
      <c r="E60" s="939">
        <f>Assumptions!P266</f>
        <v>2.5000000000000001E-2</v>
      </c>
      <c r="F60" s="406" t="s">
        <v>473</v>
      </c>
      <c r="G60" s="234"/>
      <c r="H60" s="234"/>
      <c r="I60" s="234"/>
      <c r="J60" s="253"/>
      <c r="K60" s="253"/>
      <c r="L60" s="253"/>
      <c r="M60" s="253"/>
      <c r="N60" s="253"/>
      <c r="O60" s="234"/>
      <c r="P60" s="234"/>
      <c r="Q60" s="234"/>
      <c r="R60" s="234"/>
      <c r="S60" s="234"/>
      <c r="T60" s="234"/>
      <c r="U60" s="234"/>
      <c r="V60" s="234"/>
      <c r="W60" s="234"/>
      <c r="X60" s="234"/>
      <c r="Y60" s="234"/>
      <c r="Z60" s="234"/>
      <c r="AA60" s="234"/>
      <c r="AB60" s="234"/>
      <c r="AC60" s="234"/>
      <c r="AD60" s="234"/>
      <c r="AE60" s="234"/>
      <c r="AF60" s="234"/>
      <c r="AG60" s="457"/>
      <c r="AH60" s="10"/>
      <c r="AI60" s="10"/>
      <c r="AJ60" s="10"/>
      <c r="AK60" s="10"/>
      <c r="AL60" s="10"/>
      <c r="AM60" s="10"/>
      <c r="AN60" s="10"/>
    </row>
    <row r="61" spans="1:40" ht="15" customHeight="1">
      <c r="A61" s="1648"/>
      <c r="C61" s="409" t="s">
        <v>474</v>
      </c>
      <c r="D61" s="375" t="str">
        <f>Assumptions!L25</f>
        <v>- -</v>
      </c>
      <c r="E61" s="376" t="str">
        <f>Assumptions!M25</f>
        <v>- -</v>
      </c>
      <c r="F61" s="406" t="str">
        <f>Assumptions!O25</f>
        <v>Growing with Amortization</v>
      </c>
      <c r="G61" s="234"/>
      <c r="H61" s="234"/>
      <c r="I61" s="234"/>
      <c r="J61" s="234"/>
      <c r="K61" s="234"/>
      <c r="L61" s="234"/>
      <c r="M61" s="234"/>
      <c r="N61" s="234"/>
      <c r="O61" s="234"/>
      <c r="P61" s="234"/>
      <c r="Q61" s="234"/>
      <c r="R61" s="234"/>
      <c r="S61" s="234"/>
      <c r="T61" s="234"/>
      <c r="U61" s="234"/>
      <c r="V61" s="234"/>
      <c r="W61" s="234"/>
      <c r="X61" s="234"/>
      <c r="Y61" s="234"/>
      <c r="Z61" s="234"/>
      <c r="AA61" s="234"/>
      <c r="AB61" s="234"/>
      <c r="AC61" s="234"/>
      <c r="AD61" s="234"/>
      <c r="AE61" s="234"/>
      <c r="AF61" s="234"/>
      <c r="AG61" s="457"/>
      <c r="AH61" s="10"/>
      <c r="AI61" s="10"/>
      <c r="AJ61" s="10"/>
      <c r="AK61" s="10"/>
      <c r="AL61" s="10"/>
      <c r="AM61" s="10"/>
      <c r="AN61" s="10"/>
    </row>
    <row r="62" spans="1:40" ht="15" customHeight="1">
      <c r="A62" s="1648"/>
      <c r="C62" s="409" t="s">
        <v>475</v>
      </c>
      <c r="D62" s="375">
        <f>Assumptions!L26</f>
        <v>-7.0000000000000007E-2</v>
      </c>
      <c r="E62" s="376">
        <f>Assumptions!M26</f>
        <v>-0.05</v>
      </c>
      <c r="F62" s="406" t="str">
        <f>Assumptions!O26</f>
        <v>% Revenue</v>
      </c>
      <c r="G62" s="234"/>
      <c r="H62" s="234"/>
      <c r="I62" s="234"/>
      <c r="J62" s="234"/>
      <c r="K62" s="234"/>
      <c r="L62" s="234"/>
      <c r="M62" s="234"/>
      <c r="N62" s="234"/>
      <c r="O62" s="234"/>
      <c r="P62" s="234"/>
      <c r="Q62" s="234"/>
      <c r="R62" s="234"/>
      <c r="S62" s="234"/>
      <c r="T62" s="234"/>
      <c r="U62" s="234"/>
      <c r="V62" s="234"/>
      <c r="W62" s="234"/>
      <c r="X62" s="234"/>
      <c r="Y62" s="234"/>
      <c r="Z62" s="234"/>
      <c r="AA62" s="234"/>
      <c r="AB62" s="234"/>
      <c r="AC62" s="234"/>
      <c r="AD62" s="234"/>
      <c r="AE62" s="234"/>
      <c r="AF62" s="234"/>
      <c r="AG62" s="457"/>
      <c r="AH62" s="10"/>
      <c r="AI62" s="10"/>
      <c r="AJ62" s="10"/>
      <c r="AK62" s="10"/>
      <c r="AL62" s="10"/>
      <c r="AM62" s="10"/>
      <c r="AN62" s="10"/>
    </row>
    <row r="63" spans="1:40" ht="15" customHeight="1">
      <c r="A63" s="1648"/>
      <c r="C63" s="409" t="s">
        <v>476</v>
      </c>
      <c r="D63" s="375">
        <f>Assumptions!N302</f>
        <v>-0.03</v>
      </c>
      <c r="E63" s="375">
        <f>Assumptions!O302</f>
        <v>-2.5000000000000001E-2</v>
      </c>
      <c r="F63" s="406" t="str">
        <f>Assumptions!O27</f>
        <v>% Revenue</v>
      </c>
      <c r="G63" s="234"/>
      <c r="H63" s="234"/>
      <c r="I63" s="234"/>
      <c r="J63" s="234"/>
      <c r="K63" s="234"/>
      <c r="L63" s="234"/>
      <c r="M63" s="234"/>
      <c r="N63" s="234"/>
      <c r="O63" s="234"/>
      <c r="P63" s="234"/>
      <c r="Q63" s="234"/>
      <c r="R63" s="234"/>
      <c r="S63" s="234"/>
      <c r="T63" s="234"/>
      <c r="U63" s="234"/>
      <c r="V63" s="234"/>
      <c r="W63" s="234"/>
      <c r="X63" s="234"/>
      <c r="Y63" s="234"/>
      <c r="Z63" s="234"/>
      <c r="AA63" s="234"/>
      <c r="AB63" s="234"/>
      <c r="AC63" s="234"/>
      <c r="AD63" s="234"/>
      <c r="AE63" s="234"/>
      <c r="AF63" s="234"/>
      <c r="AG63" s="457"/>
      <c r="AH63" s="10"/>
      <c r="AI63" s="10"/>
      <c r="AJ63" s="10"/>
      <c r="AK63" s="10"/>
      <c r="AL63" s="10"/>
      <c r="AM63" s="10"/>
      <c r="AN63" s="10"/>
    </row>
    <row r="64" spans="1:40" ht="15" customHeight="1">
      <c r="A64" s="1648"/>
      <c r="C64" s="409" t="s">
        <v>134</v>
      </c>
      <c r="D64" s="375">
        <f>Assumptions!L28</f>
        <v>-0.1</v>
      </c>
      <c r="E64" s="375">
        <f>Assumptions!M28</f>
        <v>-0.15</v>
      </c>
      <c r="F64" s="406" t="str">
        <f>Assumptions!O28</f>
        <v>% Cash before shareholder returns</v>
      </c>
      <c r="G64" s="234"/>
      <c r="I64" s="234"/>
      <c r="J64" s="234"/>
      <c r="K64" s="234"/>
      <c r="L64" s="234"/>
      <c r="M64" s="234"/>
      <c r="N64" s="234"/>
      <c r="O64" s="234"/>
      <c r="P64" s="234"/>
      <c r="Q64" s="234"/>
      <c r="R64" s="234"/>
      <c r="S64" s="234"/>
      <c r="T64" s="234"/>
      <c r="U64" s="234"/>
      <c r="V64" s="234"/>
      <c r="W64" s="234"/>
      <c r="X64" s="234"/>
      <c r="Y64" s="234"/>
      <c r="Z64" s="234"/>
      <c r="AA64" s="234"/>
      <c r="AB64" s="234"/>
      <c r="AC64" s="234"/>
      <c r="AD64" s="234"/>
      <c r="AE64" s="234"/>
      <c r="AF64" s="234"/>
      <c r="AG64" s="234"/>
    </row>
    <row r="65" spans="1:33" ht="15" customHeight="1">
      <c r="A65" s="1648"/>
      <c r="C65" s="409" t="s">
        <v>477</v>
      </c>
      <c r="D65" s="375">
        <f>Assumptions!L29</f>
        <v>-0.45</v>
      </c>
      <c r="E65" s="375">
        <f>Assumptions!M29</f>
        <v>-0.5</v>
      </c>
      <c r="F65" s="406" t="str">
        <f>Assumptions!O29</f>
        <v xml:space="preserve">% Cash before shareholder returns </v>
      </c>
      <c r="G65" s="234"/>
      <c r="I65" s="234"/>
      <c r="J65" s="234"/>
      <c r="K65" s="234"/>
      <c r="L65" s="234"/>
      <c r="M65" s="234"/>
      <c r="N65" s="234"/>
      <c r="O65" s="234"/>
      <c r="P65" s="234"/>
      <c r="Q65" s="234"/>
      <c r="R65" s="234"/>
      <c r="S65" s="234"/>
      <c r="T65" s="234"/>
      <c r="U65" s="234"/>
      <c r="V65" s="234"/>
      <c r="W65" s="234"/>
      <c r="X65" s="234"/>
      <c r="Y65" s="234"/>
      <c r="Z65" s="234"/>
      <c r="AA65" s="234"/>
      <c r="AB65" s="234"/>
      <c r="AC65" s="234"/>
      <c r="AD65" s="234"/>
      <c r="AE65" s="234"/>
      <c r="AF65" s="234"/>
      <c r="AG65" s="234"/>
    </row>
    <row r="66" spans="1:33" ht="15" customHeight="1">
      <c r="A66" s="1648"/>
      <c r="C66" s="409" t="s">
        <v>478</v>
      </c>
      <c r="D66" s="375">
        <f>Assumptions!L30</f>
        <v>-5.0000000000000001E-4</v>
      </c>
      <c r="E66" s="376">
        <f>Assumptions!M30</f>
        <v>-5.0000000000000001E-4</v>
      </c>
      <c r="F66" s="406" t="str">
        <f>Assumptions!O30</f>
        <v>% Revenue</v>
      </c>
      <c r="G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34"/>
    </row>
    <row r="67" spans="1:33" ht="15.75" customHeight="1">
      <c r="A67" s="1648"/>
      <c r="C67" s="407" t="s">
        <v>301</v>
      </c>
      <c r="D67" s="602">
        <f>Assumptions!L31</f>
        <v>1.3</v>
      </c>
      <c r="E67" s="602">
        <f>Assumptions!M31</f>
        <v>1</v>
      </c>
      <c r="F67" s="601" t="s">
        <v>479</v>
      </c>
      <c r="G67" s="234"/>
      <c r="J67" s="234"/>
      <c r="K67" s="234"/>
      <c r="L67" s="234"/>
      <c r="M67" s="234"/>
      <c r="N67" s="234"/>
      <c r="O67" s="234"/>
      <c r="P67" s="234"/>
      <c r="Q67" s="234"/>
      <c r="R67" s="234"/>
      <c r="S67" s="234"/>
      <c r="T67" s="234"/>
      <c r="U67" s="234"/>
      <c r="V67" s="234"/>
      <c r="W67" s="234"/>
      <c r="X67" s="234"/>
      <c r="Y67" s="234"/>
      <c r="Z67" s="234"/>
      <c r="AA67" s="234"/>
      <c r="AB67" s="234"/>
      <c r="AC67" s="234"/>
      <c r="AD67" s="234"/>
      <c r="AE67" s="234"/>
      <c r="AF67" s="234"/>
      <c r="AG67" s="234"/>
    </row>
    <row r="68" spans="1:33" ht="14.25">
      <c r="A68" s="234"/>
      <c r="C68" s="234"/>
      <c r="D68" s="234"/>
      <c r="E68" s="234"/>
      <c r="F68" s="234"/>
      <c r="G68" s="234"/>
      <c r="H68" s="234"/>
      <c r="I68" s="234"/>
      <c r="J68" s="234"/>
      <c r="K68" s="234"/>
      <c r="L68" s="234"/>
      <c r="M68" s="234"/>
      <c r="N68" s="234"/>
      <c r="O68" s="234"/>
      <c r="P68" s="234"/>
      <c r="Q68" s="234"/>
      <c r="R68" s="234"/>
      <c r="S68" s="234"/>
      <c r="T68" s="234"/>
      <c r="U68" s="234"/>
      <c r="V68" s="234"/>
      <c r="W68" s="234"/>
      <c r="X68" s="234"/>
      <c r="Y68" s="234"/>
      <c r="Z68" s="234"/>
      <c r="AA68" s="234"/>
      <c r="AB68" s="234"/>
      <c r="AC68" s="234"/>
      <c r="AD68" s="234"/>
      <c r="AE68" s="234"/>
      <c r="AF68" s="234"/>
      <c r="AG68" s="234"/>
    </row>
    <row r="69" spans="1:33" ht="14.25">
      <c r="A69" s="1628" t="s">
        <v>111</v>
      </c>
      <c r="C69" s="298"/>
      <c r="D69" s="377" t="s">
        <v>480</v>
      </c>
      <c r="E69" s="2"/>
      <c r="G69" s="234"/>
      <c r="H69" s="234"/>
      <c r="I69" s="234"/>
      <c r="J69" s="234"/>
      <c r="K69" s="234"/>
      <c r="L69" s="234"/>
      <c r="M69" s="234"/>
      <c r="N69" s="234"/>
      <c r="O69" s="234"/>
      <c r="P69" s="234"/>
      <c r="Q69" s="234"/>
      <c r="R69" s="234"/>
      <c r="S69" s="234"/>
      <c r="T69" s="234"/>
      <c r="U69" s="234"/>
      <c r="V69" s="234"/>
      <c r="W69" s="234"/>
      <c r="X69" s="234"/>
      <c r="Y69" s="234"/>
      <c r="Z69" s="234"/>
      <c r="AA69" s="234"/>
      <c r="AB69" s="234"/>
      <c r="AC69" s="234"/>
      <c r="AD69" s="234"/>
      <c r="AE69" s="234"/>
      <c r="AF69" s="234"/>
      <c r="AG69" s="234"/>
    </row>
    <row r="70" spans="1:33" ht="14.25">
      <c r="A70" s="1629"/>
      <c r="C70" s="298" t="s">
        <v>481</v>
      </c>
      <c r="D70" s="378">
        <f>SUMPRODUCT(G35:AF35,G45:AF45)+((AF43-AF44)*AF45)</f>
        <v>32540.309298080392</v>
      </c>
      <c r="E70" s="347">
        <f>D70/D72</f>
        <v>0.69798508707831541</v>
      </c>
      <c r="G70" s="234"/>
      <c r="H70" s="234"/>
      <c r="I70" s="234"/>
      <c r="J70" s="234"/>
      <c r="K70" s="234"/>
      <c r="L70" s="234"/>
      <c r="M70" s="234"/>
      <c r="N70" s="234"/>
      <c r="O70" s="234"/>
      <c r="P70" s="234"/>
      <c r="Q70" s="234"/>
      <c r="R70" s="234"/>
      <c r="S70" s="234"/>
      <c r="T70" s="234"/>
      <c r="U70" s="234"/>
      <c r="V70" s="234"/>
      <c r="W70" s="234"/>
      <c r="X70" s="234"/>
      <c r="Y70" s="234"/>
      <c r="Z70" s="234"/>
      <c r="AA70" s="234"/>
      <c r="AB70" s="234"/>
      <c r="AC70" s="234"/>
      <c r="AD70" s="234"/>
      <c r="AE70" s="234"/>
      <c r="AF70" s="234"/>
      <c r="AG70" s="234"/>
    </row>
    <row r="71" spans="1:33" ht="14.25">
      <c r="A71" s="1629"/>
      <c r="C71" s="298" t="s">
        <v>482</v>
      </c>
      <c r="D71" s="378">
        <f>(AF34/(F50-AF5))*AF45</f>
        <v>14080.041051080143</v>
      </c>
      <c r="E71" s="347">
        <f>D71/D72</f>
        <v>0.30201491292168448</v>
      </c>
      <c r="G71" s="234"/>
      <c r="H71" s="234"/>
      <c r="I71" s="234"/>
      <c r="J71" s="234"/>
      <c r="K71" s="234"/>
      <c r="L71" s="234"/>
      <c r="M71" s="234"/>
      <c r="N71" s="234"/>
      <c r="O71" s="234"/>
      <c r="P71" s="234"/>
      <c r="Q71" s="234"/>
      <c r="R71" s="234"/>
      <c r="S71" s="234"/>
      <c r="T71" s="234"/>
      <c r="U71" s="234"/>
      <c r="V71" s="234"/>
      <c r="W71" s="234"/>
      <c r="X71" s="234"/>
      <c r="Y71" s="234"/>
      <c r="Z71" s="234"/>
      <c r="AA71" s="234"/>
      <c r="AB71" s="234"/>
      <c r="AC71" s="234"/>
      <c r="AD71" s="234"/>
      <c r="AE71" s="234"/>
      <c r="AF71" s="234"/>
      <c r="AG71" s="234"/>
    </row>
    <row r="72" spans="1:33" ht="14.25">
      <c r="A72" s="1629"/>
      <c r="C72" s="298" t="s">
        <v>483</v>
      </c>
      <c r="D72" s="378">
        <f>D70+D71</f>
        <v>46620.350349160537</v>
      </c>
      <c r="E72" s="2"/>
      <c r="G72" s="234"/>
      <c r="H72" s="234"/>
      <c r="I72" s="234"/>
      <c r="J72" s="234"/>
      <c r="K72" s="234"/>
      <c r="L72" s="234"/>
      <c r="M72" s="234"/>
      <c r="N72" s="234"/>
      <c r="O72" s="234"/>
      <c r="P72" s="234"/>
      <c r="Q72" s="234"/>
      <c r="R72" s="234"/>
      <c r="S72" s="234"/>
      <c r="T72" s="234"/>
      <c r="U72" s="234"/>
      <c r="V72" s="234"/>
      <c r="W72" s="234"/>
      <c r="X72" s="234"/>
      <c r="Y72" s="234"/>
      <c r="Z72" s="234"/>
      <c r="AA72" s="234"/>
      <c r="AB72" s="234"/>
      <c r="AC72" s="234"/>
      <c r="AD72" s="234"/>
      <c r="AE72" s="234"/>
      <c r="AF72" s="234"/>
      <c r="AG72" s="234"/>
    </row>
    <row r="73" spans="1:33" ht="14.25">
      <c r="A73" s="1629"/>
      <c r="C73" s="1253" t="s">
        <v>484</v>
      </c>
      <c r="D73" s="1254">
        <f ca="1">OP!C20</f>
        <v>137.63</v>
      </c>
      <c r="E73" s="299"/>
      <c r="G73" s="234"/>
      <c r="H73" s="234"/>
      <c r="I73" s="234"/>
      <c r="J73" s="234"/>
      <c r="K73" s="234"/>
      <c r="L73" s="234"/>
      <c r="M73" s="234"/>
      <c r="N73" s="234"/>
      <c r="O73" s="234"/>
      <c r="P73" s="234"/>
      <c r="Q73" s="234"/>
      <c r="R73" s="234"/>
      <c r="S73" s="234"/>
      <c r="T73" s="234"/>
      <c r="U73" s="234"/>
      <c r="V73" s="234"/>
      <c r="W73" s="234"/>
      <c r="X73" s="234"/>
      <c r="Y73" s="234"/>
      <c r="Z73" s="234"/>
      <c r="AA73" s="234"/>
      <c r="AB73" s="234"/>
      <c r="AC73" s="234"/>
      <c r="AD73" s="234"/>
      <c r="AE73" s="234"/>
      <c r="AF73" s="234"/>
      <c r="AG73" s="234"/>
    </row>
    <row r="74" spans="1:33" ht="14.25">
      <c r="A74" s="1629"/>
      <c r="C74" s="1253" t="s">
        <v>485</v>
      </c>
      <c r="D74" s="379">
        <f ca="1">D75/D73-1</f>
        <v>0.47574985457496766</v>
      </c>
      <c r="H74" s="234"/>
      <c r="I74" s="234"/>
      <c r="J74" s="234"/>
      <c r="K74" s="234"/>
      <c r="L74" s="234"/>
      <c r="M74" s="234"/>
      <c r="N74" s="234"/>
      <c r="O74" s="234"/>
      <c r="P74" s="234"/>
      <c r="Q74" s="234"/>
      <c r="R74" s="234"/>
      <c r="S74" s="234"/>
      <c r="T74" s="234"/>
      <c r="U74" s="234"/>
      <c r="V74" s="234"/>
      <c r="W74" s="234"/>
      <c r="X74" s="234"/>
      <c r="Y74" s="234"/>
      <c r="Z74" s="234"/>
      <c r="AA74" s="234"/>
      <c r="AB74" s="234"/>
      <c r="AC74" s="234"/>
      <c r="AD74" s="234"/>
      <c r="AE74" s="234"/>
      <c r="AF74" s="234"/>
      <c r="AG74" s="234"/>
    </row>
    <row r="75" spans="1:33" ht="14.25">
      <c r="A75" s="1630"/>
      <c r="C75" s="380" t="s">
        <v>486</v>
      </c>
      <c r="D75" s="381">
        <f ca="1">D72*1000000/OP!C21</f>
        <v>203.10745248515278</v>
      </c>
    </row>
    <row r="76" spans="1:33" ht="14.25">
      <c r="A76" s="366"/>
      <c r="C76" s="299"/>
      <c r="D76" s="1255"/>
    </row>
    <row r="77" spans="1:33" ht="14.25">
      <c r="A77" s="1624" t="s">
        <v>487</v>
      </c>
      <c r="C77" s="401" t="s">
        <v>488</v>
      </c>
      <c r="D77" s="1254">
        <f ca="1">(SUMPRODUCT(G35:AF35,G45:AF45)+((AF43-AF44)*AF45)+(AF34/(F50+0.001-AF5))*AF45)*1000000/OP!C21</f>
        <v>202.35015026816453</v>
      </c>
      <c r="E77" s="382">
        <f ca="1">D77/D75-1</f>
        <v>-3.7285791718726369E-3</v>
      </c>
    </row>
    <row r="78" spans="1:33" ht="14.25">
      <c r="A78" s="1625"/>
      <c r="C78" s="401" t="s">
        <v>489</v>
      </c>
      <c r="D78" s="1254">
        <f ca="1">(SUMPRODUCT(G35:AF35,G45:AF45)+((AF43-AF44)*AF45)+(AF34/(F50+0.005-AF5))*AF45)*1000000/OP!C21</f>
        <v>199.49913015714992</v>
      </c>
      <c r="E78" s="382">
        <f ca="1">D78/D75-1</f>
        <v>-1.7765583113040218E-2</v>
      </c>
    </row>
    <row r="79" spans="1:33" ht="14.25">
      <c r="A79" s="399"/>
      <c r="C79" s="400"/>
      <c r="D79" s="1255"/>
      <c r="E79" s="382"/>
    </row>
    <row r="80" spans="1:33" ht="14.25">
      <c r="A80" s="638" t="s">
        <v>490</v>
      </c>
      <c r="C80" s="604" t="s">
        <v>491</v>
      </c>
      <c r="D80" s="381">
        <f ca="1">D75/1.15</f>
        <v>176.61517607404591</v>
      </c>
      <c r="J80" s="5"/>
    </row>
    <row r="81" spans="7:12">
      <c r="G81" s="1"/>
      <c r="H81" s="1"/>
      <c r="I81" s="1"/>
      <c r="J81" s="4"/>
    </row>
    <row r="82" spans="7:12">
      <c r="G82" s="1"/>
      <c r="H82" s="1"/>
      <c r="I82" s="1"/>
      <c r="J82" s="4"/>
    </row>
    <row r="83" spans="7:12">
      <c r="G83" s="1"/>
      <c r="H83" s="1"/>
      <c r="I83" s="1"/>
      <c r="K83" s="4"/>
    </row>
    <row r="84" spans="7:12">
      <c r="L84" s="5"/>
    </row>
    <row r="85" spans="7:12">
      <c r="G85" s="1"/>
      <c r="H85" s="1"/>
      <c r="I85" s="1"/>
    </row>
    <row r="86" spans="7:12">
      <c r="G86" s="1"/>
      <c r="H86" s="1"/>
      <c r="I86" s="1"/>
    </row>
    <row r="87" spans="7:12">
      <c r="G87" s="1"/>
      <c r="H87" s="1"/>
      <c r="I87" s="1"/>
    </row>
  </sheetData>
  <mergeCells count="15">
    <mergeCell ref="A33:AF33"/>
    <mergeCell ref="A77:A78"/>
    <mergeCell ref="A1:AF2"/>
    <mergeCell ref="A69:A75"/>
    <mergeCell ref="A5:A17"/>
    <mergeCell ref="A19:A32"/>
    <mergeCell ref="A43:A47"/>
    <mergeCell ref="G3:J3"/>
    <mergeCell ref="K3:AF3"/>
    <mergeCell ref="A42:AF42"/>
    <mergeCell ref="A48:AF48"/>
    <mergeCell ref="A34:A36"/>
    <mergeCell ref="A38:A41"/>
    <mergeCell ref="A49:A50"/>
    <mergeCell ref="A52:A67"/>
  </mergeCells>
  <phoneticPr fontId="0" type="noConversion"/>
  <conditionalFormatting sqref="D74">
    <cfRule type="cellIs" dxfId="88" priority="1" operator="lessThan">
      <formula>0</formula>
    </cfRule>
    <cfRule type="cellIs" dxfId="87" priority="2" operator="greaterThan">
      <formula>0%</formula>
    </cfRule>
  </conditionalFormatting>
  <pageMargins left="0.75" right="0.75" top="1" bottom="1" header="0" footer="0"/>
  <pageSetup orientation="portrait"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A2:AJ318"/>
  <sheetViews>
    <sheetView showGridLines="0" tabSelected="1" topLeftCell="A23" zoomScale="72" zoomScaleNormal="80" workbookViewId="0">
      <selection activeCell="A9" sqref="A9"/>
    </sheetView>
  </sheetViews>
  <sheetFormatPr defaultColWidth="9.140625" defaultRowHeight="12.75" customHeight="1"/>
  <cols>
    <col min="1" max="1" width="39.42578125" style="556" customWidth="1"/>
    <col min="2" max="2" width="27.42578125" style="556" customWidth="1"/>
    <col min="3" max="3" width="19.140625" style="556" customWidth="1"/>
    <col min="4" max="4" width="15.140625" style="556" bestFit="1" customWidth="1"/>
    <col min="5" max="5" width="15" style="556" bestFit="1" customWidth="1"/>
    <col min="6" max="6" width="19.28515625" style="556" customWidth="1"/>
    <col min="7" max="7" width="18.85546875" style="556" customWidth="1"/>
    <col min="8" max="8" width="21.5703125" style="556" bestFit="1" customWidth="1"/>
    <col min="9" max="9" width="18.7109375" style="556" customWidth="1"/>
    <col min="10" max="10" width="20.85546875" style="556" customWidth="1"/>
    <col min="11" max="11" width="18.7109375" style="556" customWidth="1"/>
    <col min="12" max="12" width="19.140625" style="556" customWidth="1"/>
    <col min="13" max="13" width="16.28515625" style="556" customWidth="1"/>
    <col min="14" max="14" width="16.85546875" style="556" customWidth="1"/>
    <col min="15" max="15" width="17.85546875" style="556" customWidth="1"/>
    <col min="16" max="16" width="14.5703125" style="556" customWidth="1"/>
    <col min="17" max="17" width="14.42578125" style="556" customWidth="1"/>
    <col min="18" max="18" width="12.28515625" style="556" bestFit="1" customWidth="1"/>
    <col min="19" max="19" width="18.42578125" style="556" bestFit="1" customWidth="1"/>
    <col min="20" max="20" width="18.140625" style="556" bestFit="1" customWidth="1"/>
    <col min="21" max="30" width="12.140625" style="556" bestFit="1" customWidth="1"/>
    <col min="31" max="32" width="13.42578125" style="556" bestFit="1" customWidth="1"/>
    <col min="33" max="34" width="12.140625" style="556" bestFit="1" customWidth="1"/>
    <col min="35" max="36" width="9.7109375" style="556" bestFit="1" customWidth="1"/>
    <col min="37" max="16384" width="9.140625" style="556"/>
  </cols>
  <sheetData>
    <row r="2" spans="1:34" s="555" customFormat="1" ht="15" customHeight="1">
      <c r="A2" s="552"/>
      <c r="B2" s="553" t="s">
        <v>492</v>
      </c>
      <c r="C2" s="554"/>
      <c r="D2" s="552"/>
      <c r="E2" s="552"/>
      <c r="F2" s="552"/>
      <c r="G2" s="552"/>
      <c r="H2" s="552"/>
      <c r="I2" s="552"/>
      <c r="J2" s="552"/>
      <c r="K2" s="552"/>
      <c r="L2" s="552"/>
      <c r="M2" s="552"/>
      <c r="N2" s="552"/>
      <c r="O2" s="552"/>
      <c r="P2" s="552"/>
      <c r="Q2" s="552"/>
      <c r="R2" s="552"/>
      <c r="S2" s="552"/>
      <c r="T2" s="552"/>
      <c r="U2" s="552"/>
      <c r="V2" s="552"/>
      <c r="W2" s="552"/>
      <c r="X2" s="552"/>
      <c r="Y2" s="552"/>
      <c r="Z2" s="552"/>
      <c r="AA2" s="552"/>
      <c r="AB2" s="552"/>
      <c r="AC2" s="552"/>
      <c r="AD2" s="552"/>
      <c r="AE2" s="552"/>
      <c r="AF2" s="552"/>
      <c r="AG2" s="552"/>
      <c r="AH2" s="552"/>
    </row>
    <row r="3" spans="1:34" ht="12.75" customHeight="1">
      <c r="C3" s="557"/>
    </row>
    <row r="4" spans="1:34" ht="13.15">
      <c r="B4" s="556" t="s">
        <v>493</v>
      </c>
      <c r="F4" s="558"/>
      <c r="G4" s="559"/>
      <c r="H4" s="559"/>
      <c r="I4" s="559"/>
      <c r="J4" s="559"/>
      <c r="K4" s="559"/>
      <c r="L4" s="559"/>
      <c r="M4" s="559"/>
    </row>
    <row r="5" spans="1:34">
      <c r="B5" s="560"/>
      <c r="G5" s="561"/>
      <c r="H5" s="561"/>
      <c r="I5" s="561"/>
      <c r="J5" s="561"/>
      <c r="K5" s="561"/>
      <c r="L5" s="561"/>
      <c r="M5" s="561"/>
    </row>
    <row r="6" spans="1:34">
      <c r="B6" s="556" t="s">
        <v>494</v>
      </c>
      <c r="C6" s="564"/>
    </row>
    <row r="7" spans="1:34" ht="12.75" customHeight="1">
      <c r="C7" s="564"/>
    </row>
    <row r="8" spans="1:34" ht="13.15">
      <c r="B8" s="559"/>
      <c r="C8" s="580">
        <v>2023</v>
      </c>
      <c r="D8" s="580">
        <f>C8-1</f>
        <v>2022</v>
      </c>
      <c r="E8" s="580">
        <f t="shared" ref="E8:G8" si="0">D8-1</f>
        <v>2021</v>
      </c>
      <c r="F8" s="580">
        <f t="shared" si="0"/>
        <v>2020</v>
      </c>
      <c r="G8" s="580">
        <f t="shared" si="0"/>
        <v>2019</v>
      </c>
      <c r="H8" s="580">
        <f t="shared" ref="H8" si="1">G8-1</f>
        <v>2018</v>
      </c>
      <c r="I8" s="580">
        <f t="shared" ref="I8" si="2">H8-1</f>
        <v>2017</v>
      </c>
      <c r="J8" s="580">
        <f>I8-1</f>
        <v>2016</v>
      </c>
      <c r="K8" s="580">
        <f t="shared" ref="K8:M8" si="3">J8-1</f>
        <v>2015</v>
      </c>
      <c r="L8" s="580">
        <f t="shared" si="3"/>
        <v>2014</v>
      </c>
      <c r="M8" s="580">
        <f t="shared" si="3"/>
        <v>2013</v>
      </c>
      <c r="O8" s="580" t="s">
        <v>495</v>
      </c>
      <c r="P8" s="580" t="s">
        <v>496</v>
      </c>
      <c r="Q8" s="580" t="s">
        <v>497</v>
      </c>
      <c r="S8" s="575" t="s">
        <v>498</v>
      </c>
      <c r="T8" s="575" t="s">
        <v>499</v>
      </c>
      <c r="V8" s="898">
        <v>2.5000000000000001E-2</v>
      </c>
    </row>
    <row r="9" spans="1:34">
      <c r="B9" s="579" t="s">
        <v>500</v>
      </c>
      <c r="C9" s="285">
        <f>(Inputs!B6-Inputs!C6)/Inputs!C6</f>
        <v>-0.16375987666216998</v>
      </c>
      <c r="D9" s="285">
        <f>(Inputs!C6-Inputs!D6)/Inputs!D6</f>
        <v>0.1378138362021708</v>
      </c>
      <c r="E9" s="285">
        <f>(Inputs!D6-Inputs!E6)/Inputs!E6</f>
        <v>0.81151936444885797</v>
      </c>
      <c r="F9" s="285">
        <f>(Inputs!E6-Inputs!F6)/Inputs!F6</f>
        <v>-0.10840999575985648</v>
      </c>
      <c r="G9" s="285">
        <f>(Inputs!F6-Inputs!G6)/Inputs!G6</f>
        <v>-9.8870762957559075E-2</v>
      </c>
      <c r="H9" s="285">
        <f>(Inputs!G6-Inputs!H6)/Inputs!H6</f>
        <v>0.23774405325829884</v>
      </c>
      <c r="I9" s="285">
        <f>(Inputs!H6-Inputs!I6)/Inputs!I6</f>
        <v>0.24952125853939158</v>
      </c>
      <c r="J9" s="285">
        <f>(Inputs!I6-Inputs!J6)/Inputs!J6</f>
        <v>-1.4061081522081766E-2</v>
      </c>
      <c r="K9" s="285">
        <f>(Inputs!J6-Inputs!K6)/Inputs!K6</f>
        <v>-0.22107717735692919</v>
      </c>
      <c r="L9" s="285">
        <f>(Inputs!K6-Inputs!L6)/Inputs!L6</f>
        <v>0.10776244189206773</v>
      </c>
      <c r="M9" s="285">
        <f>(Inputs!L6-Inputs!M6)/Inputs!M6</f>
        <v>-1.9401616140820501E-2</v>
      </c>
      <c r="O9" s="561">
        <f>AVERAGE(C9:M9)</f>
        <v>8.3525494903760919E-2</v>
      </c>
      <c r="P9" s="564">
        <f>AVERAGE(C9:G9)</f>
        <v>0.11565851305428868</v>
      </c>
      <c r="Q9" s="564">
        <f>AVERAGE(C9:E9)</f>
        <v>0.26185777466295296</v>
      </c>
      <c r="S9" s="576"/>
      <c r="T9" s="836"/>
      <c r="V9" s="576">
        <v>7.0000000000000007E-2</v>
      </c>
    </row>
    <row r="10" spans="1:34" ht="12.75" customHeight="1">
      <c r="B10" s="579" t="s">
        <v>124</v>
      </c>
      <c r="C10" s="285">
        <f>Inputs!B8/Inputs!B6</f>
        <v>0.17947802039522959</v>
      </c>
      <c r="D10" s="285">
        <f>Inputs!C8/Inputs!C6</f>
        <v>0.25309019078820583</v>
      </c>
      <c r="E10" s="285">
        <f>Inputs!D8/Inputs!D6</f>
        <v>0.25541086503672844</v>
      </c>
      <c r="F10" s="285">
        <f>Inputs!E8/Inputs!E6</f>
        <v>8.0086891757696121E-2</v>
      </c>
      <c r="G10" s="285">
        <f>Inputs!F8/Inputs!F6</f>
        <v>8.7126582494785706E-2</v>
      </c>
      <c r="H10" s="285">
        <f>Inputs!G8/Inputs!G6</f>
        <v>0.13699133440051472</v>
      </c>
      <c r="I10" s="285">
        <f>Inputs!H8/Inputs!H6</f>
        <v>9.2927290123196796E-2</v>
      </c>
      <c r="J10" s="285">
        <f>Inputs!I8/Inputs!I6</f>
        <v>8.8165673975060158E-2</v>
      </c>
      <c r="K10" s="285">
        <f>Inputs!J8/Inputs!J6</f>
        <v>3.9843603818075682E-2</v>
      </c>
      <c r="L10" s="285">
        <f>Inputs!K8/Inputs!K6</f>
        <v>6.292305746737252E-2</v>
      </c>
      <c r="M10" s="285">
        <f>Inputs!L8/Inputs!L6</f>
        <v>4.9495996387999487E-2</v>
      </c>
      <c r="O10" s="561">
        <f>AVERAGE(C10:M10)</f>
        <v>0.12050359151316954</v>
      </c>
      <c r="P10" s="564">
        <f>AVERAGE(C10:G10)</f>
        <v>0.17103851009452914</v>
      </c>
      <c r="Q10" s="564">
        <f>AVERAGE(C10:E10)</f>
        <v>0.22932635874005461</v>
      </c>
      <c r="S10" s="576"/>
      <c r="T10" s="576"/>
    </row>
    <row r="13" spans="1:34" s="555" customFormat="1" ht="13.9">
      <c r="A13" s="552"/>
      <c r="B13" s="554" t="s">
        <v>501</v>
      </c>
      <c r="C13" s="554"/>
      <c r="D13" s="552"/>
      <c r="E13" s="552"/>
      <c r="F13" s="552"/>
      <c r="G13" s="552"/>
      <c r="H13" s="552"/>
      <c r="I13" s="552"/>
      <c r="J13" s="552"/>
      <c r="K13" s="552"/>
      <c r="L13" s="552"/>
      <c r="M13" s="552"/>
      <c r="N13" s="552"/>
      <c r="O13" s="552"/>
      <c r="P13" s="552"/>
      <c r="Q13" s="552"/>
      <c r="R13" s="552"/>
      <c r="S13" s="552"/>
      <c r="T13" s="552"/>
      <c r="U13" s="552"/>
      <c r="V13" s="552"/>
      <c r="W13" s="552"/>
      <c r="X13" s="552"/>
      <c r="Y13" s="552"/>
      <c r="Z13" s="552"/>
      <c r="AA13" s="552"/>
      <c r="AB13" s="552"/>
      <c r="AC13" s="552"/>
      <c r="AD13" s="552"/>
      <c r="AE13" s="552"/>
      <c r="AF13" s="552"/>
      <c r="AG13" s="552"/>
      <c r="AH13" s="552"/>
    </row>
    <row r="14" spans="1:34" ht="13.9">
      <c r="A14" s="577"/>
      <c r="B14" s="578"/>
      <c r="C14" s="578"/>
      <c r="D14" s="577"/>
      <c r="E14" s="577"/>
      <c r="F14" s="577"/>
      <c r="G14" s="577"/>
      <c r="H14" s="577"/>
      <c r="I14" s="577"/>
      <c r="J14" s="577"/>
      <c r="K14" s="577"/>
      <c r="L14" s="577"/>
      <c r="M14" s="577"/>
      <c r="N14" s="577"/>
      <c r="O14" s="577"/>
      <c r="P14" s="577"/>
      <c r="Q14" s="577"/>
      <c r="R14" s="577"/>
      <c r="S14" s="577"/>
      <c r="T14" s="577"/>
      <c r="U14" s="577"/>
      <c r="V14" s="577"/>
      <c r="W14" s="577"/>
      <c r="X14" s="577"/>
      <c r="Y14" s="577"/>
      <c r="Z14" s="577"/>
      <c r="AA14" s="577"/>
      <c r="AB14" s="577"/>
      <c r="AC14" s="577"/>
      <c r="AD14" s="577"/>
      <c r="AE14" s="577"/>
      <c r="AF14" s="577"/>
      <c r="AG14" s="577"/>
      <c r="AH14" s="577"/>
    </row>
    <row r="15" spans="1:34" ht="14.25">
      <c r="C15" s="1649" t="s">
        <v>502</v>
      </c>
      <c r="D15" s="1649"/>
      <c r="E15" s="1649"/>
      <c r="F15" s="1649"/>
      <c r="G15" s="1649"/>
      <c r="H15" s="1649"/>
      <c r="I15" s="1122"/>
      <c r="J15" s="1122"/>
      <c r="K15" s="1122"/>
      <c r="L15" s="1122"/>
      <c r="M15" s="1122"/>
    </row>
    <row r="16" spans="1:34" ht="14.25">
      <c r="B16" s="562"/>
      <c r="C16" s="574">
        <f>C8</f>
        <v>2023</v>
      </c>
      <c r="D16" s="574">
        <f>D8</f>
        <v>2022</v>
      </c>
      <c r="E16" s="574">
        <f>E8</f>
        <v>2021</v>
      </c>
      <c r="F16" s="574">
        <f>F8</f>
        <v>2020</v>
      </c>
      <c r="G16" s="574">
        <f>G8</f>
        <v>2019</v>
      </c>
      <c r="H16" s="574">
        <f t="shared" ref="H16" si="4">H8</f>
        <v>2018</v>
      </c>
      <c r="I16" s="574"/>
      <c r="J16" s="574" t="s">
        <v>503</v>
      </c>
      <c r="K16" s="574"/>
      <c r="L16" s="575" t="s">
        <v>498</v>
      </c>
      <c r="M16" s="575" t="s">
        <v>499</v>
      </c>
      <c r="O16" s="600" t="s">
        <v>504</v>
      </c>
    </row>
    <row r="17" spans="2:35" ht="14.25">
      <c r="B17" s="579" t="s">
        <v>461</v>
      </c>
      <c r="C17" s="563">
        <f t="shared" ref="C17:H17" si="5">B85</f>
        <v>4.0745883235548501E-2</v>
      </c>
      <c r="D17" s="563">
        <f t="shared" si="5"/>
        <v>3.9875078423273883E-2</v>
      </c>
      <c r="E17" s="563">
        <f t="shared" si="5"/>
        <v>3.9742079574623786E-2</v>
      </c>
      <c r="F17" s="563">
        <f t="shared" si="5"/>
        <v>4.1905499044053746E-2</v>
      </c>
      <c r="G17" s="563">
        <f t="shared" si="5"/>
        <v>4.1610777245876217E-2</v>
      </c>
      <c r="H17" s="563">
        <f t="shared" si="5"/>
        <v>4.3433786056182151E-2</v>
      </c>
      <c r="I17" s="563"/>
      <c r="J17" s="563">
        <f t="shared" ref="J17:J28" si="6">AVERAGE(C17:H17)</f>
        <v>4.1218850596593047E-2</v>
      </c>
      <c r="K17" s="563"/>
      <c r="L17" s="576">
        <v>-4.1200000000000001E-2</v>
      </c>
      <c r="M17" s="576">
        <v>-4.1200000000000001E-2</v>
      </c>
      <c r="O17" s="599" t="s">
        <v>505</v>
      </c>
      <c r="AI17" s="565"/>
    </row>
    <row r="18" spans="2:35" ht="14.25">
      <c r="B18" s="579" t="s">
        <v>463</v>
      </c>
      <c r="C18" s="563">
        <f t="shared" ref="C18:H18" si="7">B79</f>
        <v>5.0884450015153911E-2</v>
      </c>
      <c r="D18" s="563">
        <f t="shared" si="7"/>
        <v>5.0539778203045428E-2</v>
      </c>
      <c r="E18" s="563">
        <f t="shared" si="7"/>
        <v>5.8836740504527078E-2</v>
      </c>
      <c r="F18" s="563">
        <f t="shared" si="7"/>
        <v>5.0577951386676825E-2</v>
      </c>
      <c r="G18" s="563">
        <f t="shared" si="7"/>
        <v>5.2313562879512686E-2</v>
      </c>
      <c r="H18" s="563">
        <f t="shared" si="7"/>
        <v>5.3402409940100433E-2</v>
      </c>
      <c r="I18" s="563"/>
      <c r="J18" s="563">
        <f t="shared" si="6"/>
        <v>5.2759148821502726E-2</v>
      </c>
      <c r="K18" s="563"/>
      <c r="L18" s="576">
        <v>-0.05</v>
      </c>
      <c r="M18" s="576">
        <v>-4.4999999999999998E-2</v>
      </c>
      <c r="O18" s="599" t="s">
        <v>506</v>
      </c>
    </row>
    <row r="19" spans="2:35" ht="14.25">
      <c r="B19" s="579" t="s">
        <v>464</v>
      </c>
      <c r="C19" s="563">
        <f t="shared" ref="C19:H19" si="8">B72</f>
        <v>-3.7495534942674426E-3</v>
      </c>
      <c r="D19" s="563">
        <f t="shared" si="8"/>
        <v>-3.2962516862593948E-3</v>
      </c>
      <c r="E19" s="563">
        <f t="shared" si="8"/>
        <v>-3.7214943536892885E-3</v>
      </c>
      <c r="F19" s="563">
        <f t="shared" si="8"/>
        <v>-3.6669811320754714E-3</v>
      </c>
      <c r="G19" s="563">
        <f t="shared" si="8"/>
        <v>-4.0001579539789035E-3</v>
      </c>
      <c r="H19" s="563">
        <f t="shared" si="8"/>
        <v>-2.9289975988219543E-3</v>
      </c>
      <c r="I19" s="563"/>
      <c r="J19" s="563">
        <f t="shared" si="6"/>
        <v>-3.5605727031820752E-3</v>
      </c>
      <c r="K19" s="563"/>
      <c r="L19" s="576">
        <v>-3.7000000000000002E-3</v>
      </c>
      <c r="M19" s="576">
        <v>-3.7000000000000002E-3</v>
      </c>
      <c r="O19" s="599" t="s">
        <v>473</v>
      </c>
    </row>
    <row r="20" spans="2:35" ht="12.75" customHeight="1">
      <c r="B20" s="579" t="s">
        <v>466</v>
      </c>
      <c r="C20" s="563">
        <f>'Fin. Data'!B21/('Fin. Data'!B21-'Fin. Data'!B23)</f>
        <v>0.23109749414382608</v>
      </c>
      <c r="D20" s="563">
        <f>'Fin. Data'!C21/('Fin. Data'!C21-'Fin. Data'!C23)</f>
        <v>0.221549076631568</v>
      </c>
      <c r="E20" s="563">
        <f>'Fin. Data'!D21/('Fin. Data'!D21-'Fin. Data'!D23)</f>
        <v>0.23339471513159954</v>
      </c>
      <c r="F20" s="563">
        <f>'Fin. Data'!E21/('Fin. Data'!E21-'Fin. Data'!E23)</f>
        <v>-6.8000871521373802E-4</v>
      </c>
      <c r="G20" s="563">
        <f>'Fin. Data'!F21/('Fin. Data'!F21-'Fin. Data'!F23)</f>
        <v>0.24473102563188476</v>
      </c>
      <c r="H20" s="563">
        <f>'Fin. Data'!G21/('Fin. Data'!G21-'Fin. Data'!G23)</f>
        <v>0.24071341603658117</v>
      </c>
      <c r="I20" s="563"/>
      <c r="J20" s="563">
        <f t="shared" si="6"/>
        <v>0.19513428647670761</v>
      </c>
      <c r="K20" s="563"/>
      <c r="L20" s="1130">
        <v>0.21</v>
      </c>
      <c r="M20" s="1130">
        <v>0.21</v>
      </c>
      <c r="O20" s="599" t="s">
        <v>507</v>
      </c>
    </row>
    <row r="21" spans="2:35" ht="14.25">
      <c r="B21" s="579" t="s">
        <v>467</v>
      </c>
      <c r="C21" s="771">
        <f t="shared" ref="C21:H21" si="9">B90</f>
        <v>3.5946714666941826E-2</v>
      </c>
      <c r="D21" s="771">
        <f t="shared" si="9"/>
        <v>3.2715437667669399E-2</v>
      </c>
      <c r="E21" s="771">
        <f t="shared" si="9"/>
        <v>2.8513470049852819E-2</v>
      </c>
      <c r="F21" s="771">
        <f t="shared" si="9"/>
        <v>3.119743684182243E-2</v>
      </c>
      <c r="G21" s="771">
        <f t="shared" si="9"/>
        <v>3.5901557845340715E-2</v>
      </c>
      <c r="H21" s="771">
        <f t="shared" si="9"/>
        <v>3.7578772663526251E-2</v>
      </c>
      <c r="I21" s="566"/>
      <c r="J21" s="563">
        <f t="shared" si="6"/>
        <v>3.3642231622525574E-2</v>
      </c>
      <c r="K21" s="566"/>
      <c r="L21" s="576">
        <v>-3.3000000000000002E-2</v>
      </c>
      <c r="M21" s="576">
        <v>-3.3000000000000002E-2</v>
      </c>
      <c r="O21" s="599" t="s">
        <v>508</v>
      </c>
    </row>
    <row r="22" spans="2:35" ht="14.25">
      <c r="B22" s="579" t="s">
        <v>469</v>
      </c>
      <c r="C22" s="772">
        <f t="shared" ref="C22:H22" si="10">B95</f>
        <v>4.317296696066298E-2</v>
      </c>
      <c r="D22" s="772">
        <f t="shared" si="10"/>
        <v>1.1374944521011938E-2</v>
      </c>
      <c r="E22" s="772">
        <f t="shared" si="10"/>
        <v>1.8043046217599053E-3</v>
      </c>
      <c r="F22" s="772">
        <f t="shared" si="10"/>
        <v>5.082016895859378E-3</v>
      </c>
      <c r="G22" s="772">
        <f t="shared" si="10"/>
        <v>2.3415222207741431E-2</v>
      </c>
      <c r="H22" s="772">
        <f t="shared" si="10"/>
        <v>1.8386589463149618E-2</v>
      </c>
      <c r="I22" s="566"/>
      <c r="J22" s="563">
        <f t="shared" si="6"/>
        <v>1.7206007445030879E-2</v>
      </c>
      <c r="K22" s="566"/>
      <c r="L22" s="576">
        <v>3.5000000000000003E-2</v>
      </c>
      <c r="M22" s="576">
        <v>2.5000000000000001E-2</v>
      </c>
      <c r="O22" s="599" t="s">
        <v>509</v>
      </c>
    </row>
    <row r="23" spans="2:35" ht="14.25">
      <c r="B23" s="579" t="s">
        <v>470</v>
      </c>
      <c r="C23" s="777">
        <f>Inputs!B33/Inputs!C33-1</f>
        <v>0.14899260886021715</v>
      </c>
      <c r="D23" s="777">
        <f>Inputs!C33/Inputs!D33-1</f>
        <v>0.18510576944405432</v>
      </c>
      <c r="E23" s="777">
        <f>Inputs!D33/Inputs!E33-1</f>
        <v>0.1762125839419868</v>
      </c>
      <c r="F23" s="777">
        <f>Inputs!E33/Inputs!F33-1</f>
        <v>0.11662102496374538</v>
      </c>
      <c r="G23" s="777">
        <f>Inputs!F33/Inputs!G33-1</f>
        <v>0.15817236046675109</v>
      </c>
      <c r="H23" s="777">
        <f>Inputs!G33/Inputs!H33-1</f>
        <v>4.7436262430912146E-2</v>
      </c>
      <c r="I23" s="566"/>
      <c r="J23" s="563">
        <f t="shared" si="6"/>
        <v>0.13875676835127781</v>
      </c>
      <c r="K23" s="566"/>
      <c r="L23" s="576" t="s">
        <v>510</v>
      </c>
      <c r="M23" s="576" t="s">
        <v>510</v>
      </c>
      <c r="O23" s="599" t="s">
        <v>511</v>
      </c>
    </row>
    <row r="24" spans="2:35" ht="14.25">
      <c r="B24" s="579" t="s">
        <v>472</v>
      </c>
      <c r="C24" s="563">
        <f t="shared" ref="C24:H24" si="11">D108</f>
        <v>0</v>
      </c>
      <c r="D24" s="563">
        <f t="shared" si="11"/>
        <v>0</v>
      </c>
      <c r="E24" s="563">
        <f t="shared" si="11"/>
        <v>0</v>
      </c>
      <c r="F24" s="563">
        <f t="shared" si="11"/>
        <v>0</v>
      </c>
      <c r="G24" s="563">
        <f t="shared" si="11"/>
        <v>0</v>
      </c>
      <c r="H24" s="563">
        <f t="shared" si="11"/>
        <v>0</v>
      </c>
      <c r="I24" s="563"/>
      <c r="J24" s="563">
        <f t="shared" si="6"/>
        <v>0</v>
      </c>
      <c r="K24" s="563"/>
      <c r="L24" s="576"/>
      <c r="M24" s="576"/>
      <c r="O24" s="599" t="s">
        <v>512</v>
      </c>
    </row>
    <row r="25" spans="2:35" ht="14.25">
      <c r="B25" s="579" t="s">
        <v>474</v>
      </c>
      <c r="C25" s="563">
        <f>B77/C77-1</f>
        <v>5.0510091692594905E-3</v>
      </c>
      <c r="D25" s="563">
        <f>C77/D77-1</f>
        <v>1.1176816809976651</v>
      </c>
      <c r="E25" s="563">
        <f>D77/E77-1</f>
        <v>0.33187290712186823</v>
      </c>
      <c r="F25" s="563">
        <f>E77/F77-1</f>
        <v>5.6164213054259449E-3</v>
      </c>
      <c r="G25" s="563">
        <f>F77/G77-1</f>
        <v>-1.3941265230585587E-2</v>
      </c>
      <c r="H25" s="563"/>
      <c r="I25" s="563"/>
      <c r="J25" s="563">
        <f t="shared" si="6"/>
        <v>0.28925615067272659</v>
      </c>
      <c r="K25" s="563"/>
      <c r="L25" s="576" t="s">
        <v>510</v>
      </c>
      <c r="M25" s="576" t="s">
        <v>510</v>
      </c>
      <c r="O25" s="599" t="s">
        <v>513</v>
      </c>
    </row>
    <row r="26" spans="2:35" ht="12.75" customHeight="1">
      <c r="B26" s="579" t="s">
        <v>514</v>
      </c>
      <c r="C26" s="563">
        <f>Inputs!B64/Inputs!B6</f>
        <v>-6.3354842426686639E-2</v>
      </c>
      <c r="D26" s="563">
        <f>Inputs!C64/Inputs!C6</f>
        <v>-4.6145692811717091E-2</v>
      </c>
      <c r="E26" s="563">
        <f>Inputs!D64/Inputs!D6</f>
        <v>-4.3926104593794535E-2</v>
      </c>
      <c r="F26" s="563">
        <f>Inputs!E64/Inputs!E6</f>
        <v>-7.4592850049652437E-2</v>
      </c>
      <c r="G26" s="563">
        <f>Inputs!F64/Inputs!F6</f>
        <v>-6.3557883271478349E-2</v>
      </c>
      <c r="H26" s="563">
        <f>Inputs!G64/Inputs!G6</f>
        <v>-3.7933913768622436E-2</v>
      </c>
      <c r="I26" s="563"/>
      <c r="J26" s="563">
        <f t="shared" si="6"/>
        <v>-5.4918547820325243E-2</v>
      </c>
      <c r="K26" s="563"/>
      <c r="L26" s="576">
        <v>-7.0000000000000007E-2</v>
      </c>
      <c r="M26" s="576">
        <v>-0.05</v>
      </c>
      <c r="O26" s="599" t="s">
        <v>473</v>
      </c>
    </row>
    <row r="27" spans="2:35" ht="14.25">
      <c r="B27" s="579" t="s">
        <v>476</v>
      </c>
      <c r="C27" s="563">
        <f>Inputs!B65/Inputs!B6</f>
        <v>-6.4828023275911766E-3</v>
      </c>
      <c r="D27" s="563">
        <f>Inputs!C65/Inputs!C6</f>
        <v>-9.3392657544806329E-2</v>
      </c>
      <c r="E27" s="563">
        <f>Inputs!D65/Inputs!D6</f>
        <v>-3.4848865256002635E-2</v>
      </c>
      <c r="F27" s="563">
        <f>Inputs!E65/Inputs!E6</f>
        <v>-9.1564051638530278E-3</v>
      </c>
      <c r="G27" s="563">
        <f>Inputs!F65/Inputs!F6</f>
        <v>-1.6961725112442601E-2</v>
      </c>
      <c r="H27" s="563">
        <f>Inputs!G65/Inputs!G6</f>
        <v>6.7566168629630682E-4</v>
      </c>
      <c r="I27" s="563"/>
      <c r="J27" s="563">
        <f t="shared" si="6"/>
        <v>-2.6694465619733238E-2</v>
      </c>
      <c r="K27" s="563"/>
      <c r="L27" s="576"/>
      <c r="M27" s="576"/>
      <c r="O27" s="599" t="s">
        <v>473</v>
      </c>
    </row>
    <row r="28" spans="2:35" ht="14.25">
      <c r="B28" s="579" t="s">
        <v>134</v>
      </c>
      <c r="C28" s="563">
        <f>B257</f>
        <v>-0.14382771869553487</v>
      </c>
      <c r="D28" s="563">
        <f t="shared" ref="D28:E28" si="12">C257</f>
        <v>-0.10006087025334848</v>
      </c>
      <c r="E28" s="563">
        <f t="shared" si="12"/>
        <v>-0.11352066932276901</v>
      </c>
      <c r="F28"/>
      <c r="G28"/>
      <c r="H28"/>
      <c r="I28" s="563"/>
      <c r="J28" s="563">
        <f t="shared" si="6"/>
        <v>-0.11913641942388413</v>
      </c>
      <c r="K28" s="563"/>
      <c r="L28" s="576">
        <v>-0.1</v>
      </c>
      <c r="M28" s="576">
        <v>-0.15</v>
      </c>
      <c r="O28" s="599" t="s">
        <v>515</v>
      </c>
    </row>
    <row r="29" spans="2:35" ht="14.25">
      <c r="B29" s="579" t="s">
        <v>477</v>
      </c>
      <c r="C29" s="563">
        <f>B248</f>
        <v>-0.44488113590717293</v>
      </c>
      <c r="D29" s="563">
        <f t="shared" ref="D29:E29" si="13">C248</f>
        <v>-0.52577947116013879</v>
      </c>
      <c r="E29" s="563">
        <f t="shared" si="13"/>
        <v>-0.75233301212151937</v>
      </c>
      <c r="F29"/>
      <c r="G29"/>
      <c r="H29" s="563"/>
      <c r="I29" s="563"/>
      <c r="J29" s="563"/>
      <c r="K29" s="563"/>
      <c r="L29" s="576">
        <v>-0.45</v>
      </c>
      <c r="M29" s="576">
        <v>-0.5</v>
      </c>
      <c r="O29" s="599" t="s">
        <v>516</v>
      </c>
    </row>
    <row r="30" spans="2:35" ht="14.25">
      <c r="B30" s="579" t="s">
        <v>478</v>
      </c>
      <c r="C30" s="563">
        <f>Inputs!B70/Inputs!B6</f>
        <v>4.8510687330759921E-4</v>
      </c>
      <c r="D30" s="563">
        <f>Inputs!C70/Inputs!C6</f>
        <v>3.8562343418770476E-4</v>
      </c>
      <c r="E30" s="563">
        <f>Inputs!D70/Inputs!D6</f>
        <v>3.131509702883456E-4</v>
      </c>
      <c r="F30" s="563">
        <f>Inputs!E70/Inputs!E6</f>
        <v>4.7373386295928503E-4</v>
      </c>
      <c r="G30" s="563">
        <f>Inputs!F70/Inputs!F6</f>
        <v>4.0435864442549507E-4</v>
      </c>
      <c r="H30" s="563">
        <f>Inputs!G70/Inputs!G6</f>
        <v>0</v>
      </c>
      <c r="I30" s="563"/>
      <c r="J30" s="563">
        <f>AVERAGE(C30:H30)</f>
        <v>3.4366229752807163E-4</v>
      </c>
      <c r="K30" s="563"/>
      <c r="L30" s="576">
        <v>-5.0000000000000001E-4</v>
      </c>
      <c r="M30" s="576">
        <v>-5.0000000000000001E-4</v>
      </c>
      <c r="O30" s="599" t="s">
        <v>473</v>
      </c>
    </row>
    <row r="31" spans="2:35" ht="14.25">
      <c r="B31" s="579" t="s">
        <v>301</v>
      </c>
      <c r="C31" s="1037">
        <f>'Fin. Data'!B63/'Fin. Data'!B19</f>
        <v>0.92318427180020035</v>
      </c>
      <c r="D31" s="1037">
        <f>'Fin. Data'!C63/'Fin. Data'!C19</f>
        <v>0.58303075368645862</v>
      </c>
      <c r="E31" s="1037">
        <f>'Fin. Data'!D63/'Fin. Data'!D19</f>
        <v>0.55955681000465884</v>
      </c>
      <c r="F31" s="1037">
        <f>'Fin. Data'!E63/'Fin. Data'!E19</f>
        <v>3.0100651149473552</v>
      </c>
      <c r="G31" s="1037">
        <f>'Fin. Data'!F63/'Fin. Data'!F19</f>
        <v>1.6607869623948754</v>
      </c>
      <c r="H31" s="1037">
        <f>'Fin. Data'!G63/'Fin. Data'!G19</f>
        <v>1.050752225824461</v>
      </c>
      <c r="I31" s="603"/>
      <c r="J31" s="778">
        <f>AVERAGE(C31:H31)</f>
        <v>1.2978960231096683</v>
      </c>
      <c r="K31" s="603"/>
      <c r="L31" s="1036">
        <v>1.3</v>
      </c>
      <c r="M31" s="1036">
        <v>1</v>
      </c>
      <c r="O31" s="599" t="s">
        <v>517</v>
      </c>
    </row>
    <row r="34" spans="1:13" s="555" customFormat="1" ht="13.9">
      <c r="B34" s="567" t="s">
        <v>518</v>
      </c>
    </row>
    <row r="36" spans="1:13" ht="12.75" customHeight="1" thickBot="1">
      <c r="A36"/>
      <c r="B36"/>
      <c r="C36"/>
      <c r="D36"/>
      <c r="E36"/>
      <c r="F36"/>
      <c r="G36"/>
      <c r="H36"/>
      <c r="I36"/>
      <c r="J36"/>
      <c r="K36"/>
      <c r="L36"/>
      <c r="M36"/>
    </row>
    <row r="37" spans="1:13" ht="12.75" customHeight="1" thickBot="1">
      <c r="A37"/>
      <c r="B37" s="1279">
        <v>2023</v>
      </c>
      <c r="C37" s="1280">
        <v>2022</v>
      </c>
      <c r="D37" s="1280">
        <v>2021</v>
      </c>
      <c r="E37" s="1280">
        <v>2020</v>
      </c>
      <c r="F37" s="1280">
        <v>2019</v>
      </c>
      <c r="G37" s="1280">
        <v>2018</v>
      </c>
      <c r="H37" s="1280">
        <v>2017</v>
      </c>
      <c r="I37" s="1280">
        <v>2016</v>
      </c>
      <c r="J37" s="1280">
        <v>2015</v>
      </c>
      <c r="K37" s="1280">
        <v>2014</v>
      </c>
      <c r="L37" s="1280">
        <v>2013</v>
      </c>
      <c r="M37" s="1281">
        <v>2012</v>
      </c>
    </row>
    <row r="38" spans="1:13" ht="12.75" customHeight="1">
      <c r="A38" s="1286" t="s">
        <v>123</v>
      </c>
      <c r="B38" s="1282">
        <v>34714</v>
      </c>
      <c r="C38" s="1282">
        <v>41512</v>
      </c>
      <c r="D38" s="1282">
        <v>36484</v>
      </c>
      <c r="E38" s="1282">
        <v>20140</v>
      </c>
      <c r="F38" s="1282">
        <v>22588.858</v>
      </c>
      <c r="G38" s="1282">
        <v>25067.278999999999</v>
      </c>
      <c r="H38" s="1282">
        <v>20252.393</v>
      </c>
      <c r="I38" s="1282">
        <v>16208.121999999999</v>
      </c>
      <c r="J38" s="1282">
        <v>16439.276000000002</v>
      </c>
      <c r="K38" s="1282">
        <v>21105.141</v>
      </c>
      <c r="L38" s="1282">
        <v>19052.045999999998</v>
      </c>
      <c r="M38" s="1283">
        <v>19429</v>
      </c>
    </row>
    <row r="39" spans="1:13" ht="12.75" customHeight="1">
      <c r="A39" s="1288" t="s">
        <v>288</v>
      </c>
      <c r="B39" s="1289">
        <f>B38-B40</f>
        <v>26899.599999999999</v>
      </c>
      <c r="C39" s="1289">
        <f t="shared" ref="C39:M39" si="14">C38-C40</f>
        <v>29008.720000000001</v>
      </c>
      <c r="D39" s="1289">
        <f t="shared" si="14"/>
        <v>25458.59</v>
      </c>
      <c r="E39" s="1289">
        <f t="shared" si="14"/>
        <v>17912.05</v>
      </c>
      <c r="F39" s="1289">
        <f t="shared" si="14"/>
        <v>19909.768</v>
      </c>
      <c r="G39" s="1289">
        <f t="shared" si="14"/>
        <v>20772.278999999999</v>
      </c>
      <c r="H39" s="1289">
        <f t="shared" si="14"/>
        <v>17682.393</v>
      </c>
      <c r="I39" s="1289">
        <f t="shared" si="14"/>
        <v>14182.121999999999</v>
      </c>
      <c r="J39" s="1289">
        <f t="shared" si="14"/>
        <v>15325.276000000002</v>
      </c>
      <c r="K39" s="1289">
        <f t="shared" si="14"/>
        <v>19256.141</v>
      </c>
      <c r="L39" s="1289">
        <f t="shared" si="14"/>
        <v>17641.045999999998</v>
      </c>
      <c r="M39" s="1290">
        <f t="shared" si="14"/>
        <v>17915.46</v>
      </c>
    </row>
    <row r="40" spans="1:13" ht="12.75" customHeight="1" thickBot="1">
      <c r="A40" s="1287" t="s">
        <v>519</v>
      </c>
      <c r="B40" s="1284">
        <v>7814.4</v>
      </c>
      <c r="C40" s="1284">
        <v>12503.28</v>
      </c>
      <c r="D40" s="1284">
        <v>11025.41</v>
      </c>
      <c r="E40" s="1284">
        <v>2227.9499999999998</v>
      </c>
      <c r="F40" s="1284">
        <v>2679.09</v>
      </c>
      <c r="G40" s="1284">
        <v>4295</v>
      </c>
      <c r="H40" s="1284">
        <v>2570</v>
      </c>
      <c r="I40" s="1284">
        <v>2026</v>
      </c>
      <c r="J40" s="1284">
        <v>1114</v>
      </c>
      <c r="K40" s="1284">
        <v>1849</v>
      </c>
      <c r="L40" s="1284">
        <v>1411</v>
      </c>
      <c r="M40" s="1285">
        <v>1513.54</v>
      </c>
    </row>
    <row r="41" spans="1:13" customFormat="1" ht="12.75" customHeight="1"/>
    <row r="43" spans="1:13" ht="12.75" customHeight="1">
      <c r="B43" s="837" t="s">
        <v>520</v>
      </c>
      <c r="C43" s="838">
        <v>2024</v>
      </c>
      <c r="D43" s="838">
        <v>2023</v>
      </c>
      <c r="E43" s="838">
        <v>2022</v>
      </c>
      <c r="F43" s="838">
        <v>2021</v>
      </c>
      <c r="G43" s="838">
        <v>2020</v>
      </c>
      <c r="H43" s="838">
        <v>2019</v>
      </c>
      <c r="I43" s="839">
        <v>2018</v>
      </c>
    </row>
    <row r="44" spans="1:13" ht="12.75" customHeight="1">
      <c r="B44" s="824"/>
      <c r="C44" s="738">
        <v>70.489999999999995</v>
      </c>
      <c r="D44" s="556">
        <v>71.33</v>
      </c>
      <c r="E44" s="556">
        <v>80.510000000000005</v>
      </c>
      <c r="F44" s="556">
        <v>75.209999999999994</v>
      </c>
      <c r="G44" s="556">
        <v>48.52</v>
      </c>
      <c r="H44" s="556">
        <v>61.14</v>
      </c>
      <c r="I44" s="739">
        <v>45.15</v>
      </c>
    </row>
    <row r="45" spans="1:13" ht="12.75" customHeight="1">
      <c r="B45" s="815"/>
      <c r="C45" s="843">
        <f t="shared" ref="C45:H45" si="15">C44/D44-1</f>
        <v>-1.1776251226692902E-2</v>
      </c>
      <c r="D45" s="844">
        <f t="shared" si="15"/>
        <v>-0.11402310272015903</v>
      </c>
      <c r="E45" s="844">
        <f t="shared" si="15"/>
        <v>7.0469352479723524E-2</v>
      </c>
      <c r="F45" s="844">
        <f t="shared" si="15"/>
        <v>0.55008244023083241</v>
      </c>
      <c r="G45" s="844">
        <f t="shared" si="15"/>
        <v>-0.20641151455675499</v>
      </c>
      <c r="H45" s="844">
        <f t="shared" si="15"/>
        <v>0.35415282392026581</v>
      </c>
      <c r="I45" s="845"/>
    </row>
    <row r="46" spans="1:13" ht="12.75" customHeight="1">
      <c r="B46" s="827" t="s">
        <v>288</v>
      </c>
      <c r="C46" s="738"/>
      <c r="D46" s="752">
        <f t="shared" ref="D46:I46" si="16">B39</f>
        <v>26899.599999999999</v>
      </c>
      <c r="E46" s="752">
        <f t="shared" si="16"/>
        <v>29008.720000000001</v>
      </c>
      <c r="F46" s="752">
        <f t="shared" si="16"/>
        <v>25458.59</v>
      </c>
      <c r="G46" s="752">
        <f t="shared" si="16"/>
        <v>17912.05</v>
      </c>
      <c r="H46" s="752">
        <f t="shared" si="16"/>
        <v>19909.768</v>
      </c>
      <c r="I46" s="830">
        <f t="shared" si="16"/>
        <v>20772.278999999999</v>
      </c>
    </row>
    <row r="47" spans="1:13" ht="12.75" customHeight="1">
      <c r="B47" s="816"/>
      <c r="C47" s="840"/>
      <c r="D47" s="841">
        <f>D46/E46-1</f>
        <v>-7.2706413795576075E-2</v>
      </c>
      <c r="E47" s="841">
        <f>E46/F46-1</f>
        <v>0.13944723568744388</v>
      </c>
      <c r="F47" s="841">
        <f>F46/G46-1</f>
        <v>0.42131079357192514</v>
      </c>
      <c r="G47" s="841">
        <f>G46/H46-1</f>
        <v>-0.10033858757168845</v>
      </c>
      <c r="H47" s="841">
        <f>H46/I46-1</f>
        <v>-4.1522213330564162E-2</v>
      </c>
      <c r="I47" s="842"/>
    </row>
    <row r="48" spans="1:13" ht="12.75" customHeight="1">
      <c r="B48" s="878" t="s">
        <v>521</v>
      </c>
      <c r="C48" s="1291">
        <f>CORREL(D46:I46,D44:I44)</f>
        <v>0.8926596076378307</v>
      </c>
      <c r="E48"/>
      <c r="F48"/>
      <c r="G48"/>
      <c r="H48" s="781"/>
      <c r="I48" s="781"/>
    </row>
    <row r="49" spans="2:23" ht="12.75" customHeight="1">
      <c r="B49"/>
      <c r="C49"/>
      <c r="D49"/>
      <c r="E49"/>
      <c r="F49"/>
      <c r="G49"/>
      <c r="H49"/>
      <c r="I49"/>
    </row>
    <row r="50" spans="2:23" ht="12.75" customHeight="1">
      <c r="B50" s="727" t="s">
        <v>522</v>
      </c>
      <c r="C50" s="728"/>
      <c r="D50" s="728"/>
      <c r="E50" s="728"/>
      <c r="F50" s="728"/>
      <c r="G50" s="728"/>
      <c r="H50" s="824"/>
      <c r="I50"/>
    </row>
    <row r="51" spans="2:23" ht="12.75" customHeight="1">
      <c r="B51" s="738"/>
      <c r="C51" s="852" t="s">
        <v>523</v>
      </c>
      <c r="D51" s="747" t="s">
        <v>524</v>
      </c>
      <c r="E51" s="747" t="s">
        <v>525</v>
      </c>
      <c r="F51" s="747" t="s">
        <v>526</v>
      </c>
      <c r="G51" s="747" t="s">
        <v>527</v>
      </c>
      <c r="H51" s="815"/>
      <c r="I51"/>
    </row>
    <row r="52" spans="2:23" ht="12.75" customHeight="1">
      <c r="B52" s="814">
        <v>2024</v>
      </c>
      <c r="C52" s="556">
        <v>2168</v>
      </c>
      <c r="D52" s="556">
        <v>1979</v>
      </c>
      <c r="E52" s="556">
        <v>2087</v>
      </c>
      <c r="G52" s="558">
        <f>AVERAGE(C52:F52)</f>
        <v>2078</v>
      </c>
      <c r="H52" s="855">
        <f>G52/G54-1</f>
        <v>4.6719556730890233E-2</v>
      </c>
      <c r="O52" s="727" t="s">
        <v>528</v>
      </c>
      <c r="P52" s="743"/>
      <c r="Q52" s="743"/>
      <c r="R52" s="743"/>
      <c r="S52" s="743"/>
      <c r="T52" s="743"/>
      <c r="U52" s="743"/>
      <c r="V52" s="728"/>
      <c r="W52" s="729"/>
    </row>
    <row r="53" spans="2:23" ht="12.75" customHeight="1">
      <c r="B53" s="853"/>
      <c r="C53" s="734">
        <f>C52/F54-1</f>
        <v>-2.5179856115107868E-2</v>
      </c>
      <c r="D53" s="734">
        <f>D52/C52-1</f>
        <v>-8.7177121771217725E-2</v>
      </c>
      <c r="E53" s="735">
        <f>E52/D52-1</f>
        <v>5.4573016675088404E-2</v>
      </c>
      <c r="G53" s="558"/>
      <c r="H53" s="834"/>
      <c r="O53" s="730" t="s">
        <v>122</v>
      </c>
      <c r="P53" s="558">
        <v>2023</v>
      </c>
      <c r="Q53" s="558">
        <v>2022</v>
      </c>
      <c r="R53" s="558">
        <v>2021</v>
      </c>
      <c r="S53" s="558">
        <v>2020</v>
      </c>
      <c r="T53" s="558">
        <v>2019</v>
      </c>
      <c r="U53" s="558">
        <v>2018</v>
      </c>
      <c r="V53" s="558">
        <v>2017</v>
      </c>
      <c r="W53" s="731">
        <v>2016</v>
      </c>
    </row>
    <row r="54" spans="2:23" ht="12.75" customHeight="1">
      <c r="B54" s="853">
        <v>2023</v>
      </c>
      <c r="C54" s="556">
        <v>1900</v>
      </c>
      <c r="D54" s="556">
        <v>1891</v>
      </c>
      <c r="E54" s="556">
        <v>1926</v>
      </c>
      <c r="F54" s="556">
        <v>2224</v>
      </c>
      <c r="G54" s="736">
        <f>AVERAGE(C54:F54)</f>
        <v>1985.25</v>
      </c>
      <c r="H54" s="855">
        <f>G54/G56-1</f>
        <v>0.21607963246554363</v>
      </c>
      <c r="O54" s="738"/>
      <c r="P54" s="556">
        <v>10.61</v>
      </c>
      <c r="Q54" s="556">
        <v>10.06</v>
      </c>
      <c r="R54" s="556">
        <v>9.16</v>
      </c>
      <c r="S54" s="556">
        <v>8.82</v>
      </c>
      <c r="T54" s="556">
        <v>10.89</v>
      </c>
      <c r="U54" s="556">
        <v>11.3</v>
      </c>
      <c r="V54" s="556">
        <v>11.19</v>
      </c>
      <c r="W54" s="739">
        <v>12.18</v>
      </c>
    </row>
    <row r="55" spans="2:23" ht="12.75" customHeight="1">
      <c r="B55" s="853"/>
      <c r="C55" s="732">
        <f>C54/F56-1</f>
        <v>9.7631426920854913E-2</v>
      </c>
      <c r="D55" s="732">
        <f>D54/C54-1</f>
        <v>-4.7368421052631504E-3</v>
      </c>
      <c r="E55" s="732">
        <f>E54/D54-1</f>
        <v>1.8508725542041304E-2</v>
      </c>
      <c r="F55" s="732">
        <f>F54/E54-1</f>
        <v>0.1547248182762202</v>
      </c>
      <c r="G55" s="736"/>
      <c r="H55" s="834"/>
      <c r="O55" s="749"/>
      <c r="P55" s="1292">
        <f t="shared" ref="P55:V55" si="17">P54/Q54-1</f>
        <v>5.4671968190854736E-2</v>
      </c>
      <c r="Q55" s="1292">
        <f t="shared" si="17"/>
        <v>9.8253275109170257E-2</v>
      </c>
      <c r="R55" s="1292">
        <f t="shared" si="17"/>
        <v>3.8548752834467015E-2</v>
      </c>
      <c r="S55" s="750">
        <f t="shared" si="17"/>
        <v>-0.19008264462809921</v>
      </c>
      <c r="T55" s="750">
        <f t="shared" si="17"/>
        <v>-3.6283185840707999E-2</v>
      </c>
      <c r="U55" s="750">
        <f t="shared" si="17"/>
        <v>9.8302055406613853E-3</v>
      </c>
      <c r="V55" s="751">
        <f t="shared" si="17"/>
        <v>-8.1280788177339969E-2</v>
      </c>
      <c r="W55" s="742"/>
    </row>
    <row r="56" spans="2:23" ht="12.75" customHeight="1">
      <c r="B56" s="853">
        <v>2022</v>
      </c>
      <c r="C56" s="556">
        <v>1986</v>
      </c>
      <c r="D56" s="556">
        <v>1441</v>
      </c>
      <c r="E56" s="556">
        <v>1372</v>
      </c>
      <c r="F56" s="556">
        <v>1731</v>
      </c>
      <c r="G56" s="736">
        <f>AVERAGE(C56:F56)</f>
        <v>1632.5</v>
      </c>
      <c r="H56" s="855">
        <f>G56/G58-1</f>
        <v>7.56056164172203E-3</v>
      </c>
      <c r="P56" s="564"/>
      <c r="Q56" s="726"/>
      <c r="R56" s="726"/>
      <c r="S56" s="726"/>
      <c r="T56" s="726"/>
      <c r="U56" s="726"/>
      <c r="V56" s="726"/>
      <c r="W56" s="726"/>
    </row>
    <row r="57" spans="2:23" ht="12.75" customHeight="1">
      <c r="B57" s="853"/>
      <c r="C57" s="732">
        <f>C56/F58-1</f>
        <v>0.25696202531645573</v>
      </c>
      <c r="D57" s="732">
        <f>D56/C56-1</f>
        <v>-0.27442094662638472</v>
      </c>
      <c r="E57" s="732">
        <f>E56/D56-1</f>
        <v>-4.7883414295628035E-2</v>
      </c>
      <c r="F57" s="732">
        <f>F56/E56-1</f>
        <v>0.26166180758017488</v>
      </c>
      <c r="G57" s="736"/>
      <c r="H57" s="834"/>
      <c r="O57" s="727" t="s">
        <v>529</v>
      </c>
      <c r="P57" s="743"/>
      <c r="Q57" s="743"/>
      <c r="R57" s="743"/>
      <c r="S57" s="743"/>
      <c r="T57" s="743"/>
      <c r="U57" s="744"/>
      <c r="V57" s="558"/>
    </row>
    <row r="58" spans="2:23" ht="12.75" customHeight="1">
      <c r="B58" s="853">
        <v>2021</v>
      </c>
      <c r="C58" s="556">
        <v>1600</v>
      </c>
      <c r="D58" s="556">
        <v>1766</v>
      </c>
      <c r="E58" s="556">
        <v>1535</v>
      </c>
      <c r="F58" s="556">
        <v>1580</v>
      </c>
      <c r="G58" s="736">
        <f>AVERAGE(C58:F58)</f>
        <v>1620.25</v>
      </c>
      <c r="H58" s="855">
        <f>G58/G60-1</f>
        <v>0.80278164116828932</v>
      </c>
      <c r="J58" s="564"/>
      <c r="O58" s="746" t="s">
        <v>122</v>
      </c>
      <c r="P58" s="747" t="s">
        <v>530</v>
      </c>
      <c r="Q58" s="747" t="s">
        <v>531</v>
      </c>
      <c r="R58" s="747" t="s">
        <v>532</v>
      </c>
      <c r="S58" s="747" t="s">
        <v>533</v>
      </c>
      <c r="T58" s="747" t="s">
        <v>457</v>
      </c>
      <c r="U58" s="748"/>
      <c r="V58" s="558"/>
    </row>
    <row r="59" spans="2:23" ht="12.75" customHeight="1">
      <c r="B59" s="853"/>
      <c r="C59" s="737">
        <f>C58/F60-1</f>
        <v>0.23839009287925705</v>
      </c>
      <c r="D59" s="732">
        <f>D58/C58-1</f>
        <v>0.10375000000000001</v>
      </c>
      <c r="E59" s="732">
        <f>E58/D58-1</f>
        <v>-0.13080407701019248</v>
      </c>
      <c r="F59" s="732">
        <f>F58/E58-1</f>
        <v>2.931596091205213E-2</v>
      </c>
      <c r="G59" s="736"/>
      <c r="H59" s="834"/>
      <c r="O59" s="730">
        <v>2024</v>
      </c>
      <c r="P59" s="556">
        <v>3626929</v>
      </c>
      <c r="Q59" s="556">
        <v>3649221</v>
      </c>
      <c r="T59" s="556">
        <f t="shared" ref="T59:T63" si="18">SUM(P59:S59)</f>
        <v>7276150</v>
      </c>
      <c r="U59" s="739"/>
    </row>
    <row r="60" spans="2:23" ht="12.75" customHeight="1">
      <c r="B60" s="853">
        <v>2020</v>
      </c>
      <c r="C60" s="556">
        <v>630</v>
      </c>
      <c r="D60" s="556">
        <v>791</v>
      </c>
      <c r="E60" s="556">
        <v>882</v>
      </c>
      <c r="F60" s="556">
        <v>1292</v>
      </c>
      <c r="G60" s="736">
        <f>AVERAGE(C60:F60)</f>
        <v>898.75</v>
      </c>
      <c r="H60" s="834">
        <f>G60/G62-1</f>
        <v>-0.17146808020281168</v>
      </c>
      <c r="O60" s="730">
        <v>2023</v>
      </c>
      <c r="P60" s="556">
        <v>3261219</v>
      </c>
      <c r="Q60" s="556">
        <v>3421672</v>
      </c>
      <c r="R60" s="556">
        <v>3468928</v>
      </c>
      <c r="S60" s="556">
        <v>3587545</v>
      </c>
      <c r="T60" s="556">
        <f t="shared" si="18"/>
        <v>13739364</v>
      </c>
      <c r="U60" s="1293">
        <f>T60/T61-1</f>
        <v>0.182437053612577</v>
      </c>
    </row>
    <row r="61" spans="2:23" ht="12.75" customHeight="1">
      <c r="B61" s="853"/>
      <c r="C61" s="737">
        <f>C60/F62-1</f>
        <v>-0.42675159235668791</v>
      </c>
      <c r="D61" s="732">
        <f>D60/C60-1</f>
        <v>0.25555555555555554</v>
      </c>
      <c r="E61" s="732">
        <f>E60/D60-1</f>
        <v>0.11504424778761058</v>
      </c>
      <c r="F61" s="732">
        <f>F60/E60-1</f>
        <v>0.46485260770975056</v>
      </c>
      <c r="G61" s="736"/>
      <c r="H61" s="834"/>
      <c r="O61" s="730">
        <v>2022</v>
      </c>
      <c r="P61" s="556">
        <v>2706090</v>
      </c>
      <c r="Q61" s="556">
        <v>2830594</v>
      </c>
      <c r="R61" s="556">
        <v>2983330</v>
      </c>
      <c r="S61" s="556">
        <v>3099517</v>
      </c>
      <c r="T61" s="556">
        <f t="shared" si="18"/>
        <v>11619531</v>
      </c>
      <c r="U61" s="1293">
        <f>T61/T62-1</f>
        <v>0.14587396731583069</v>
      </c>
    </row>
    <row r="62" spans="2:23" ht="12.75" customHeight="1">
      <c r="B62" s="853">
        <v>2019</v>
      </c>
      <c r="C62" s="556">
        <v>1154</v>
      </c>
      <c r="D62" s="556">
        <v>1121</v>
      </c>
      <c r="E62" s="556">
        <v>965</v>
      </c>
      <c r="F62" s="556">
        <v>1099</v>
      </c>
      <c r="G62" s="736">
        <f>AVERAGE(C62:F62)</f>
        <v>1084.75</v>
      </c>
      <c r="H62" s="834">
        <f>G62/G64-1</f>
        <v>-9.6606287736831109E-2</v>
      </c>
      <c r="O62" s="730">
        <v>2021</v>
      </c>
      <c r="P62" s="556">
        <v>2524841</v>
      </c>
      <c r="Q62" s="556">
        <v>2515566</v>
      </c>
      <c r="R62" s="556">
        <v>2528858</v>
      </c>
      <c r="S62" s="556">
        <v>2571057</v>
      </c>
      <c r="T62" s="556">
        <f t="shared" si="18"/>
        <v>10140322</v>
      </c>
      <c r="U62" s="745">
        <f>T62/T63-1</f>
        <v>-1.2619375298079216E-2</v>
      </c>
    </row>
    <row r="63" spans="2:23" ht="12.75" customHeight="1">
      <c r="B63" s="853"/>
      <c r="C63" s="737">
        <f>C62/F64-1</f>
        <v>0.13919052319842051</v>
      </c>
      <c r="D63" s="732">
        <f>D62/C62-1</f>
        <v>-2.8596187175043308E-2</v>
      </c>
      <c r="E63" s="732">
        <f>E62/D62-1</f>
        <v>-0.13916146297948262</v>
      </c>
      <c r="F63" s="732">
        <f>F62/E62-1</f>
        <v>0.13886010362694301</v>
      </c>
      <c r="G63" s="736"/>
      <c r="H63" s="815"/>
      <c r="O63" s="730">
        <v>2020</v>
      </c>
      <c r="P63" s="556">
        <v>2648350</v>
      </c>
      <c r="Q63" s="556">
        <v>2574115</v>
      </c>
      <c r="R63" s="556">
        <v>2530360</v>
      </c>
      <c r="S63" s="556">
        <v>2517097</v>
      </c>
      <c r="T63" s="556">
        <f t="shared" si="18"/>
        <v>10269922</v>
      </c>
      <c r="U63" s="745" t="e">
        <f>T63/#REF!-1</f>
        <v>#REF!</v>
      </c>
    </row>
    <row r="64" spans="2:23" ht="12.6" customHeight="1">
      <c r="B64" s="854">
        <v>2018</v>
      </c>
      <c r="C64" s="740">
        <v>1272</v>
      </c>
      <c r="D64" s="740">
        <v>1254</v>
      </c>
      <c r="E64" s="740">
        <v>1264</v>
      </c>
      <c r="F64" s="740">
        <v>1013</v>
      </c>
      <c r="G64" s="741">
        <f>AVERAGE(C64:F64)</f>
        <v>1200.75</v>
      </c>
      <c r="H64" s="816"/>
    </row>
    <row r="67" spans="1:14" s="846" customFormat="1" ht="12.75" customHeight="1">
      <c r="A67" s="847" t="s">
        <v>534</v>
      </c>
    </row>
    <row r="69" spans="1:14" ht="12.75" customHeight="1">
      <c r="A69" s="558" t="s">
        <v>535</v>
      </c>
    </row>
    <row r="70" spans="1:14" ht="12.75" customHeight="1">
      <c r="A70" s="558"/>
      <c r="B70" s="558">
        <v>2023</v>
      </c>
      <c r="C70" s="558">
        <v>2022</v>
      </c>
      <c r="D70" s="558">
        <v>2021</v>
      </c>
      <c r="E70" s="558">
        <v>2020</v>
      </c>
      <c r="F70" s="558">
        <v>2019</v>
      </c>
      <c r="G70" s="558">
        <v>2018</v>
      </c>
      <c r="H70" s="558">
        <v>2017</v>
      </c>
    </row>
    <row r="71" spans="1:14" ht="12.75" customHeight="1">
      <c r="A71" s="558" t="s">
        <v>536</v>
      </c>
      <c r="B71" s="556">
        <v>-130.16200000000001</v>
      </c>
      <c r="C71" s="556">
        <v>-136.834</v>
      </c>
      <c r="D71" s="556">
        <v>-135.77500000000001</v>
      </c>
      <c r="E71" s="556">
        <v>-73.852999999999994</v>
      </c>
      <c r="F71" s="556">
        <v>-90.358999999999995</v>
      </c>
      <c r="G71" s="556">
        <v>-73.421999999999997</v>
      </c>
      <c r="H71" s="556">
        <v>-64.176000000000002</v>
      </c>
    </row>
    <row r="72" spans="1:14" ht="12.75" customHeight="1">
      <c r="A72" s="558" t="s">
        <v>537</v>
      </c>
      <c r="B72" s="725">
        <f>B71/'Fin. Data'!B5</f>
        <v>-3.7495534942674426E-3</v>
      </c>
      <c r="C72" s="725">
        <f>C71/'Fin. Data'!C5</f>
        <v>-3.2962516862593948E-3</v>
      </c>
      <c r="D72" s="725">
        <f>D71/'Fin. Data'!D5</f>
        <v>-3.7214943536892885E-3</v>
      </c>
      <c r="E72" s="725">
        <f>E71/'Fin. Data'!E5</f>
        <v>-3.6669811320754714E-3</v>
      </c>
      <c r="F72" s="725">
        <f>F71/'Fin. Data'!F5</f>
        <v>-4.0001579539789035E-3</v>
      </c>
      <c r="G72" s="725">
        <f>G71/'Fin. Data'!G5</f>
        <v>-2.9289975988219543E-3</v>
      </c>
      <c r="H72" s="725">
        <f>H71/'Fin. Data'!H5</f>
        <v>-3.1688107178248024E-3</v>
      </c>
      <c r="I72" s="564"/>
    </row>
    <row r="73" spans="1:14" ht="12.75" customHeight="1">
      <c r="A73" s="558"/>
    </row>
    <row r="74" spans="1:14" ht="12.75" customHeight="1">
      <c r="A74" s="558" t="s">
        <v>463</v>
      </c>
    </row>
    <row r="75" spans="1:14" ht="12.75" customHeight="1">
      <c r="B75" s="558">
        <v>2023</v>
      </c>
      <c r="C75" s="558">
        <v>2022</v>
      </c>
      <c r="D75" s="558">
        <v>2021</v>
      </c>
      <c r="E75" s="558">
        <v>2020</v>
      </c>
      <c r="F75" s="558">
        <v>2019</v>
      </c>
      <c r="G75" s="558">
        <v>2018</v>
      </c>
      <c r="H75" s="558"/>
      <c r="I75" s="558" t="s">
        <v>538</v>
      </c>
      <c r="J75" s="558"/>
    </row>
    <row r="76" spans="1:14" ht="12.75" customHeight="1">
      <c r="A76" s="558" t="s">
        <v>539</v>
      </c>
      <c r="B76" s="556">
        <v>237.7349999999999</v>
      </c>
      <c r="C76" s="556">
        <v>234.9380000000001</v>
      </c>
      <c r="D76" s="556">
        <v>129.154</v>
      </c>
      <c r="E76" s="556">
        <v>83.360000000000014</v>
      </c>
      <c r="F76" s="556">
        <v>85.739000000000033</v>
      </c>
      <c r="G76" s="556">
        <v>88.760999999999967</v>
      </c>
      <c r="I76" s="827" t="s">
        <v>540</v>
      </c>
    </row>
    <row r="77" spans="1:14" ht="12.75" customHeight="1">
      <c r="A77" s="558" t="s">
        <v>541</v>
      </c>
      <c r="B77" s="556">
        <v>4672.0559999999996</v>
      </c>
      <c r="C77" s="556">
        <v>4648.576</v>
      </c>
      <c r="D77" s="556">
        <v>2195.125</v>
      </c>
      <c r="E77" s="556">
        <v>1648.1489999999999</v>
      </c>
      <c r="F77" s="556">
        <v>1638.944</v>
      </c>
      <c r="G77" s="556">
        <v>1662.116</v>
      </c>
      <c r="I77" s="746">
        <v>2024</v>
      </c>
      <c r="J77" s="733">
        <v>2025</v>
      </c>
      <c r="K77" s="825">
        <v>2026</v>
      </c>
      <c r="L77" s="733">
        <v>2027</v>
      </c>
      <c r="M77" s="748">
        <v>2028</v>
      </c>
    </row>
    <row r="78" spans="1:14" ht="12.75" customHeight="1">
      <c r="A78" s="558"/>
      <c r="B78" s="1038">
        <f>B77/C77-1</f>
        <v>5.0510091692594905E-3</v>
      </c>
      <c r="C78" s="1038">
        <f t="shared" ref="C78:F78" si="19">C77/D77-1</f>
        <v>1.1176816809976651</v>
      </c>
      <c r="D78" s="1038">
        <f t="shared" si="19"/>
        <v>0.33187290712186823</v>
      </c>
      <c r="E78" s="1038">
        <f t="shared" si="19"/>
        <v>5.6164213054259449E-3</v>
      </c>
      <c r="F78" s="1038">
        <f t="shared" si="19"/>
        <v>-1.3941265230585587E-2</v>
      </c>
      <c r="G78" s="1038"/>
      <c r="I78" s="749">
        <v>235.1</v>
      </c>
      <c r="J78" s="816">
        <v>234.1</v>
      </c>
      <c r="K78" s="740">
        <v>231.1</v>
      </c>
      <c r="L78" s="816">
        <v>227.9</v>
      </c>
      <c r="M78" s="742">
        <v>204.6</v>
      </c>
    </row>
    <row r="79" spans="1:14" ht="12.75" customHeight="1">
      <c r="A79" s="558" t="s">
        <v>542</v>
      </c>
      <c r="B79" s="725">
        <f t="shared" ref="B79:G79" si="20">B76/B77</f>
        <v>5.0884450015153911E-2</v>
      </c>
      <c r="C79" s="725">
        <f t="shared" si="20"/>
        <v>5.0539778203045428E-2</v>
      </c>
      <c r="D79" s="725">
        <f t="shared" si="20"/>
        <v>5.8836740504527078E-2</v>
      </c>
      <c r="E79" s="725">
        <f t="shared" si="20"/>
        <v>5.0577951386676825E-2</v>
      </c>
      <c r="F79" s="725">
        <f t="shared" si="20"/>
        <v>5.2313562879512686E-2</v>
      </c>
      <c r="G79" s="725">
        <f t="shared" si="20"/>
        <v>5.3402409940100433E-2</v>
      </c>
      <c r="I79" s="1041">
        <f>B77*1.005</f>
        <v>4695.4162799999995</v>
      </c>
      <c r="J79" s="1040">
        <f>I79*1.005</f>
        <v>4718.8933613999989</v>
      </c>
      <c r="K79" s="1041">
        <f t="shared" ref="K79:M79" si="21">J79*1.005</f>
        <v>4742.4878282069985</v>
      </c>
      <c r="L79" s="1040">
        <f t="shared" si="21"/>
        <v>4766.2002673480329</v>
      </c>
      <c r="M79" s="1041">
        <f t="shared" si="21"/>
        <v>4790.0312686847728</v>
      </c>
      <c r="N79" s="556" t="s">
        <v>543</v>
      </c>
    </row>
    <row r="80" spans="1:14" ht="12.75" customHeight="1">
      <c r="I80" s="1042">
        <f>I78/I79</f>
        <v>5.007010794791554E-2</v>
      </c>
      <c r="J80" s="1039">
        <f t="shared" ref="J80:M80" si="22">J78/J79</f>
        <v>4.9609088841657427E-2</v>
      </c>
      <c r="K80" s="1042">
        <f t="shared" si="22"/>
        <v>4.8729698076499316E-2</v>
      </c>
      <c r="L80" s="1039">
        <f t="shared" si="22"/>
        <v>4.7815867403072032E-2</v>
      </c>
      <c r="M80" s="1042">
        <f t="shared" si="22"/>
        <v>4.2713708642694984E-2</v>
      </c>
    </row>
    <row r="81" spans="1:10" ht="12.75" customHeight="1">
      <c r="A81" s="558" t="s">
        <v>461</v>
      </c>
    </row>
    <row r="82" spans="1:10" ht="12.75" customHeight="1">
      <c r="B82" s="558">
        <v>2023</v>
      </c>
      <c r="C82" s="558">
        <v>2022</v>
      </c>
      <c r="D82" s="558">
        <v>2021</v>
      </c>
      <c r="E82" s="558">
        <v>2020</v>
      </c>
      <c r="F82" s="558">
        <v>2019</v>
      </c>
      <c r="G82" s="558">
        <v>2018</v>
      </c>
      <c r="H82" s="558"/>
      <c r="I82" s="558"/>
      <c r="J82" s="558"/>
    </row>
    <row r="83" spans="1:10" ht="12.75" customHeight="1">
      <c r="A83" s="558" t="s">
        <v>544</v>
      </c>
      <c r="B83" s="556">
        <v>930.58500000000004</v>
      </c>
      <c r="C83" s="556">
        <v>826.69200000000001</v>
      </c>
      <c r="D83" s="556">
        <v>735.40599999999995</v>
      </c>
      <c r="E83" s="556">
        <v>702.11</v>
      </c>
      <c r="F83" s="556">
        <v>648.91099999999994</v>
      </c>
      <c r="G83" s="556">
        <v>630.87900000000002</v>
      </c>
    </row>
    <row r="84" spans="1:10" ht="12.75" customHeight="1">
      <c r="A84" s="558" t="s">
        <v>545</v>
      </c>
      <c r="B84" s="752">
        <v>22838.749</v>
      </c>
      <c r="C84" s="753">
        <v>20732.046999999999</v>
      </c>
      <c r="D84" s="753">
        <v>18504.467000000001</v>
      </c>
      <c r="E84" s="753">
        <v>16754.602999999999</v>
      </c>
      <c r="F84" s="753">
        <v>15594.781999999999</v>
      </c>
      <c r="G84" s="753">
        <v>14525.075000000001</v>
      </c>
      <c r="H84" s="753"/>
      <c r="I84" s="753"/>
      <c r="J84" s="753"/>
    </row>
    <row r="85" spans="1:10" ht="12.75" customHeight="1">
      <c r="A85" s="558" t="s">
        <v>546</v>
      </c>
      <c r="B85" s="756">
        <f t="shared" ref="B85:G85" si="23">B83/B84</f>
        <v>4.0745883235548501E-2</v>
      </c>
      <c r="C85" s="756">
        <f t="shared" si="23"/>
        <v>3.9875078423273883E-2</v>
      </c>
      <c r="D85" s="756">
        <f t="shared" si="23"/>
        <v>3.9742079574623786E-2</v>
      </c>
      <c r="E85" s="756">
        <f t="shared" si="23"/>
        <v>4.1905499044053746E-2</v>
      </c>
      <c r="F85" s="756">
        <f t="shared" si="23"/>
        <v>4.1610777245876217E-2</v>
      </c>
      <c r="G85" s="756">
        <f t="shared" si="23"/>
        <v>4.3433786056182151E-2</v>
      </c>
      <c r="H85" s="756"/>
      <c r="I85" s="756"/>
      <c r="J85" s="756"/>
    </row>
    <row r="87" spans="1:10" ht="12.75" customHeight="1">
      <c r="B87" s="558">
        <v>2023</v>
      </c>
      <c r="C87" s="558">
        <v>2022</v>
      </c>
      <c r="D87" s="558">
        <v>2021</v>
      </c>
      <c r="E87" s="558">
        <v>2020</v>
      </c>
      <c r="F87" s="558">
        <v>2019</v>
      </c>
      <c r="G87" s="558">
        <v>2018</v>
      </c>
    </row>
    <row r="88" spans="1:10" ht="12.75" customHeight="1">
      <c r="A88" s="558" t="s">
        <v>547</v>
      </c>
      <c r="B88" s="556">
        <v>245.95400000000001</v>
      </c>
      <c r="C88" s="556">
        <v>218.911</v>
      </c>
      <c r="D88" s="556">
        <v>163.12100000000001</v>
      </c>
      <c r="E88" s="556">
        <v>166.613</v>
      </c>
      <c r="F88" s="556">
        <v>157.358</v>
      </c>
      <c r="G88" s="556">
        <v>161.256</v>
      </c>
    </row>
    <row r="89" spans="1:10" ht="12.75" customHeight="1">
      <c r="A89" s="558" t="s">
        <v>548</v>
      </c>
      <c r="B89" s="752">
        <f>'Fin. Data'!B63</f>
        <v>6842.183</v>
      </c>
      <c r="C89" s="753">
        <f>'Fin. Data'!C63</f>
        <v>6691.3670000000002</v>
      </c>
      <c r="D89" s="753">
        <f>'Fin. Data'!D63</f>
        <v>5720.84</v>
      </c>
      <c r="E89" s="753">
        <f>'Fin. Data'!E63</f>
        <v>5340.5989999999993</v>
      </c>
      <c r="F89" s="753">
        <f>'Fin. Data'!F63</f>
        <v>4383.0410000000002</v>
      </c>
      <c r="G89" s="753">
        <f>'Fin. Data'!G63</f>
        <v>4291.1459999999997</v>
      </c>
      <c r="H89" s="753"/>
      <c r="I89" s="753"/>
      <c r="J89" s="753"/>
    </row>
    <row r="90" spans="1:10" ht="12.75" customHeight="1">
      <c r="A90" s="558" t="s">
        <v>467</v>
      </c>
      <c r="B90" s="756">
        <f t="shared" ref="B90:G90" si="24">B88/B89</f>
        <v>3.5946714666941826E-2</v>
      </c>
      <c r="C90" s="756">
        <f t="shared" si="24"/>
        <v>3.2715437667669399E-2</v>
      </c>
      <c r="D90" s="756">
        <f t="shared" si="24"/>
        <v>2.8513470049852819E-2</v>
      </c>
      <c r="E90" s="756">
        <f t="shared" si="24"/>
        <v>3.119743684182243E-2</v>
      </c>
      <c r="F90" s="756">
        <f t="shared" si="24"/>
        <v>3.5901557845340715E-2</v>
      </c>
      <c r="G90" s="756">
        <f t="shared" si="24"/>
        <v>3.7578772663526251E-2</v>
      </c>
    </row>
    <row r="91" spans="1:10" ht="12.75" customHeight="1">
      <c r="A91" s="558"/>
    </row>
    <row r="92" spans="1:10" ht="12.75" customHeight="1">
      <c r="A92" s="558"/>
      <c r="B92" s="558">
        <v>2023</v>
      </c>
      <c r="C92" s="558">
        <v>2022</v>
      </c>
      <c r="D92" s="558">
        <v>2021</v>
      </c>
      <c r="E92" s="558">
        <v>2020</v>
      </c>
      <c r="F92" s="558">
        <v>2019</v>
      </c>
      <c r="G92" s="558">
        <v>2018</v>
      </c>
    </row>
    <row r="93" spans="1:10" ht="12.75" customHeight="1">
      <c r="A93" s="558" t="s">
        <v>549</v>
      </c>
      <c r="B93" s="556">
        <v>275.58600000000001</v>
      </c>
      <c r="C93" s="556">
        <v>48.695</v>
      </c>
      <c r="D93" s="556">
        <v>4.2670000000000003</v>
      </c>
      <c r="E93" s="556">
        <v>13.414999999999999</v>
      </c>
      <c r="F93" s="556">
        <v>35.933</v>
      </c>
      <c r="G93" s="556">
        <v>25.721</v>
      </c>
    </row>
    <row r="94" spans="1:10" ht="12.75" customHeight="1">
      <c r="A94" s="558" t="s">
        <v>550</v>
      </c>
      <c r="B94" s="752">
        <f>'Fin. Data'!B41</f>
        <v>6383.3</v>
      </c>
      <c r="C94" s="753">
        <f>'Fin. Data'!C41</f>
        <v>4280.8999999999996</v>
      </c>
      <c r="D94" s="753">
        <f>'Fin. Data'!D41</f>
        <v>2364.9</v>
      </c>
      <c r="E94" s="753">
        <f>'Fin. Data'!E41</f>
        <v>2639.7</v>
      </c>
      <c r="F94" s="753">
        <f>'Fin. Data'!F41</f>
        <v>1534.6</v>
      </c>
      <c r="G94" s="753">
        <f>'Fin. Data'!G41</f>
        <v>1398.9</v>
      </c>
    </row>
    <row r="95" spans="1:10" ht="12.75" customHeight="1">
      <c r="A95" s="558" t="s">
        <v>469</v>
      </c>
      <c r="B95" s="724">
        <f t="shared" ref="B95:G95" si="25">B93/B94</f>
        <v>4.317296696066298E-2</v>
      </c>
      <c r="C95" s="724">
        <f t="shared" si="25"/>
        <v>1.1374944521011938E-2</v>
      </c>
      <c r="D95" s="724">
        <f t="shared" si="25"/>
        <v>1.8043046217599053E-3</v>
      </c>
      <c r="E95" s="724">
        <f t="shared" si="25"/>
        <v>5.082016895859378E-3</v>
      </c>
      <c r="F95" s="724">
        <f t="shared" si="25"/>
        <v>2.3415222207741431E-2</v>
      </c>
      <c r="G95" s="724">
        <f t="shared" si="25"/>
        <v>1.8386589463149618E-2</v>
      </c>
    </row>
    <row r="98" spans="1:9" ht="12.75" customHeight="1">
      <c r="B98" s="558">
        <v>2023</v>
      </c>
      <c r="C98" s="558">
        <v>2022</v>
      </c>
      <c r="D98" s="558">
        <v>2021</v>
      </c>
      <c r="E98" s="558">
        <v>2020</v>
      </c>
      <c r="F98" s="558">
        <v>2019</v>
      </c>
      <c r="I98" s="558"/>
    </row>
    <row r="99" spans="1:9" ht="12.75" customHeight="1">
      <c r="A99" s="556" t="s">
        <v>551</v>
      </c>
      <c r="B99" s="776">
        <f>'Fin. Data'!B42-'Fin. Data'!C42</f>
        <v>-637.72000000000025</v>
      </c>
      <c r="C99" s="776">
        <f>'Fin. Data'!C42-'Fin. Data'!D42</f>
        <v>-262.9399999999996</v>
      </c>
      <c r="D99" s="776">
        <f>'Fin. Data'!D42-'Fin. Data'!E42</f>
        <v>1555.12</v>
      </c>
      <c r="E99" s="776">
        <f>'Fin. Data'!E42-'Fin. Data'!F42</f>
        <v>138.75</v>
      </c>
      <c r="F99" s="776">
        <f>'Fin. Data'!F42-'Fin. Data'!G42</f>
        <v>-345.47000000000025</v>
      </c>
      <c r="I99" s="774"/>
    </row>
    <row r="100" spans="1:9" ht="12.75" customHeight="1">
      <c r="A100" s="556" t="s">
        <v>552</v>
      </c>
      <c r="B100" s="776">
        <f>'Fin. Data'!B43-'Fin. Data'!C43</f>
        <v>124.23000000000047</v>
      </c>
      <c r="C100" s="776">
        <f>'Fin. Data'!C43-'Fin. Data'!D43</f>
        <v>-557.65000000000055</v>
      </c>
      <c r="D100" s="776">
        <f>'Fin. Data'!D43-'Fin. Data'!E43</f>
        <v>2442.09</v>
      </c>
      <c r="E100" s="776">
        <f>'Fin. Data'!E43-'Fin. Data'!F43</f>
        <v>-273.00999999999976</v>
      </c>
      <c r="F100" s="776">
        <f>'Fin. Data'!F43-'Fin. Data'!G43</f>
        <v>-711.40000000000009</v>
      </c>
      <c r="I100" s="774"/>
    </row>
    <row r="101" spans="1:9" ht="12.75" customHeight="1">
      <c r="A101" s="556" t="s">
        <v>553</v>
      </c>
      <c r="B101" s="776">
        <f>Inputs!B31-Inputs!C31</f>
        <v>105.26999999999862</v>
      </c>
      <c r="C101" s="776">
        <f>Inputs!C31-Inputs!D31</f>
        <v>796.71000000000095</v>
      </c>
      <c r="D101" s="776">
        <f>Inputs!D31-Inputs!E31</f>
        <v>-411.51000000000022</v>
      </c>
      <c r="E101" s="776">
        <f>Inputs!E31-Inputs!F31</f>
        <v>291.44999999999891</v>
      </c>
      <c r="F101" s="776">
        <f>Inputs!F31-Inputs!G31</f>
        <v>511.27000000000226</v>
      </c>
      <c r="I101" s="775"/>
    </row>
    <row r="102" spans="1:9" ht="12.75" customHeight="1">
      <c r="A102" s="556" t="s">
        <v>554</v>
      </c>
      <c r="B102" s="776">
        <f>Inputs!B43-Inputs!C43</f>
        <v>370.77</v>
      </c>
      <c r="C102" s="776">
        <f>Inputs!C43-Inputs!D43</f>
        <v>-324.52</v>
      </c>
      <c r="D102" s="776">
        <f>Inputs!D43-Inputs!E43</f>
        <v>541.87999999999988</v>
      </c>
      <c r="E102" s="776">
        <f>Inputs!E43-Inputs!F43</f>
        <v>230.46000000000004</v>
      </c>
      <c r="F102" s="776">
        <f>Inputs!F43-Inputs!G43</f>
        <v>-226.49</v>
      </c>
      <c r="I102" s="774"/>
    </row>
    <row r="103" spans="1:9" ht="12.75" customHeight="1">
      <c r="A103" s="556" t="s">
        <v>555</v>
      </c>
      <c r="B103" s="776">
        <f>'Fin. Data'!B56-'Fin. Data'!C56</f>
        <v>106.1690000000001</v>
      </c>
      <c r="C103" s="776">
        <f>'Fin. Data'!C56-'Fin. Data'!D56</f>
        <v>-16.456999999999994</v>
      </c>
      <c r="D103" s="776">
        <f>'Fin. Data'!D56-'Fin. Data'!E56</f>
        <v>300.62199999999996</v>
      </c>
      <c r="E103" s="776">
        <f>'Fin. Data'!E56-'Fin. Data'!F56</f>
        <v>4.6589999999999918</v>
      </c>
      <c r="F103" s="776">
        <f>'Fin. Data'!F56-'Fin. Data'!G56</f>
        <v>-49.873000000000047</v>
      </c>
    </row>
    <row r="104" spans="1:9" ht="12.75" customHeight="1">
      <c r="C104" s="773"/>
      <c r="D104" s="773"/>
      <c r="E104" s="773"/>
    </row>
    <row r="105" spans="1:9" ht="12.75" hidden="1" customHeight="1">
      <c r="C105" s="773"/>
      <c r="D105" s="773"/>
      <c r="E105" s="773"/>
    </row>
    <row r="106" spans="1:9" ht="12.75" hidden="1" customHeight="1" thickBot="1">
      <c r="A106"/>
      <c r="B106"/>
      <c r="C106"/>
      <c r="D106"/>
      <c r="E106"/>
      <c r="F106"/>
      <c r="G106"/>
      <c r="H106"/>
    </row>
    <row r="107" spans="1:9" ht="12.75" hidden="1" customHeight="1">
      <c r="A107"/>
      <c r="B107"/>
      <c r="C107"/>
      <c r="D107"/>
      <c r="E107"/>
      <c r="F107"/>
      <c r="G107"/>
      <c r="H107"/>
      <c r="I107" s="774"/>
    </row>
    <row r="108" spans="1:9" ht="12.75" hidden="1" customHeight="1">
      <c r="A108"/>
      <c r="B108"/>
      <c r="C108"/>
      <c r="D108"/>
      <c r="E108"/>
      <c r="F108"/>
      <c r="G108"/>
      <c r="H108"/>
    </row>
    <row r="109" spans="1:9" ht="12.75" hidden="1" customHeight="1"/>
    <row r="110" spans="1:9" ht="12.75" hidden="1" customHeight="1"/>
    <row r="111" spans="1:9" ht="12.75" hidden="1" customHeight="1"/>
    <row r="112" spans="1:9" ht="12.75" hidden="1" customHeight="1"/>
    <row r="113" spans="1:1" ht="12.75" hidden="1" customHeight="1"/>
    <row r="114" spans="1:1" ht="12.75" hidden="1" customHeight="1"/>
    <row r="115" spans="1:1" ht="12.75" hidden="1" customHeight="1"/>
    <row r="116" spans="1:1" ht="12.75" hidden="1" customHeight="1"/>
    <row r="117" spans="1:1" ht="12.75" hidden="1" customHeight="1"/>
    <row r="118" spans="1:1" ht="12.75" hidden="1" customHeight="1"/>
    <row r="119" spans="1:1" ht="12.75" hidden="1" customHeight="1"/>
    <row r="120" spans="1:1" ht="12.75" hidden="1" customHeight="1"/>
    <row r="121" spans="1:1" ht="12.75" hidden="1" customHeight="1"/>
    <row r="122" spans="1:1" ht="12.75" hidden="1" customHeight="1"/>
    <row r="123" spans="1:1" ht="12.75" hidden="1" customHeight="1"/>
    <row r="124" spans="1:1" ht="12.75" hidden="1" customHeight="1"/>
    <row r="125" spans="1:1" ht="12.75" hidden="1" customHeight="1"/>
    <row r="127" spans="1:1" s="846" customFormat="1" ht="12.75" customHeight="1">
      <c r="A127" s="847" t="s">
        <v>556</v>
      </c>
    </row>
    <row r="129" spans="2:36" ht="12.75" hidden="1" customHeight="1" thickBot="1">
      <c r="C129" s="786">
        <v>2018</v>
      </c>
      <c r="D129" s="787">
        <v>2019</v>
      </c>
      <c r="E129" s="787">
        <v>2020</v>
      </c>
      <c r="F129" s="787">
        <v>2021</v>
      </c>
      <c r="G129" s="787">
        <v>2022</v>
      </c>
      <c r="H129" s="788">
        <v>2023</v>
      </c>
      <c r="I129" s="783" t="s">
        <v>557</v>
      </c>
    </row>
    <row r="130" spans="2:36" ht="12.75" hidden="1" customHeight="1">
      <c r="B130" s="803" t="s">
        <v>558</v>
      </c>
      <c r="C130" s="804">
        <v>25067.278999999999</v>
      </c>
      <c r="D130" s="805">
        <v>22588.858</v>
      </c>
      <c r="E130" s="805">
        <v>20140</v>
      </c>
      <c r="F130" s="805">
        <v>36484</v>
      </c>
      <c r="G130" s="805">
        <v>41512</v>
      </c>
      <c r="H130" s="806">
        <v>34714</v>
      </c>
      <c r="I130" s="807"/>
    </row>
    <row r="131" spans="2:36" ht="12.75" hidden="1" customHeight="1">
      <c r="B131" s="808" t="s">
        <v>559</v>
      </c>
      <c r="C131" s="789"/>
      <c r="D131" s="790">
        <f>D130/C130</f>
        <v>0.90112923704244097</v>
      </c>
      <c r="E131" s="790">
        <f>E130/D130</f>
        <v>0.89159000424014356</v>
      </c>
      <c r="F131" s="790">
        <f>F130/E130</f>
        <v>1.8115193644488581</v>
      </c>
      <c r="G131" s="790">
        <f>G130/F130</f>
        <v>1.1378138362021708</v>
      </c>
      <c r="H131" s="791">
        <f>H130/G130</f>
        <v>0.83624012333783004</v>
      </c>
      <c r="I131" s="811">
        <f>AVERAGE(D131:H131)</f>
        <v>1.1156585130542886</v>
      </c>
    </row>
    <row r="132" spans="2:36" ht="12.75" hidden="1" customHeight="1">
      <c r="B132" s="809" t="s">
        <v>560</v>
      </c>
      <c r="C132" s="792">
        <v>4.8460000000000001</v>
      </c>
      <c r="D132" s="793">
        <f>4.814</f>
        <v>4.8140000000000001</v>
      </c>
      <c r="E132" s="793">
        <f>4.794</f>
        <v>4.7939999999999996</v>
      </c>
      <c r="F132" s="793">
        <f>4.979</f>
        <v>4.9790000000000001</v>
      </c>
      <c r="G132" s="793">
        <f>5.015</f>
        <v>5.0149999999999997</v>
      </c>
      <c r="H132" s="794">
        <f>4.486</f>
        <v>4.4859999999999998</v>
      </c>
      <c r="I132" s="784"/>
    </row>
    <row r="133" spans="2:36" ht="12.75" hidden="1" customHeight="1">
      <c r="B133" s="808" t="s">
        <v>559</v>
      </c>
      <c r="C133" s="795"/>
      <c r="D133" s="796">
        <f>D132/C132-1</f>
        <v>-6.6033842344201954E-3</v>
      </c>
      <c r="E133" s="796">
        <f>E132/D132-1</f>
        <v>-4.1545492314084553E-3</v>
      </c>
      <c r="F133" s="796">
        <f>F132/E132-1</f>
        <v>3.8589904046725243E-2</v>
      </c>
      <c r="G133" s="796">
        <f>G132/F132-1</f>
        <v>7.2303675436833359E-3</v>
      </c>
      <c r="H133" s="797">
        <f>H132/G132-1</f>
        <v>-0.10548354935194415</v>
      </c>
      <c r="I133" s="812">
        <f>AVERAGE(D133:H133)</f>
        <v>-1.4084242245472844E-2</v>
      </c>
    </row>
    <row r="134" spans="2:36" ht="12.75" hidden="1" customHeight="1">
      <c r="B134" s="795" t="s">
        <v>561</v>
      </c>
      <c r="C134" s="798">
        <f t="shared" ref="C134:H134" si="26">C130/C132</f>
        <v>5172.7773421378452</v>
      </c>
      <c r="D134" s="782">
        <f t="shared" si="26"/>
        <v>4692.3261321146656</v>
      </c>
      <c r="E134" s="782">
        <f t="shared" si="26"/>
        <v>4201.0846891948277</v>
      </c>
      <c r="F134" s="782">
        <f t="shared" si="26"/>
        <v>7327.5758184374372</v>
      </c>
      <c r="G134" s="782">
        <f t="shared" si="26"/>
        <v>8277.5672981056832</v>
      </c>
      <c r="H134" s="799">
        <f t="shared" si="26"/>
        <v>7738.2969237628176</v>
      </c>
      <c r="I134" s="812"/>
    </row>
    <row r="135" spans="2:36" ht="12.75" hidden="1" customHeight="1">
      <c r="B135" s="795"/>
      <c r="C135" s="808"/>
      <c r="D135" s="817">
        <f t="shared" ref="D135:G135" si="27">D134/C134-1</f>
        <v>-9.2880705710912115E-2</v>
      </c>
      <c r="E135" s="817">
        <f t="shared" si="27"/>
        <v>-0.10469038789902974</v>
      </c>
      <c r="F135" s="818">
        <f t="shared" si="27"/>
        <v>0.74421045052577295</v>
      </c>
      <c r="G135" s="818">
        <f t="shared" si="27"/>
        <v>0.12964607985057008</v>
      </c>
      <c r="H135" s="817">
        <f>H134/G134-1</f>
        <v>-6.5148413165577956E-2</v>
      </c>
      <c r="I135" s="812">
        <f t="shared" ref="I135" si="28">AVERAGE(D135:H135)</f>
        <v>0.12222740472016465</v>
      </c>
    </row>
    <row r="136" spans="2:36" ht="12.75" hidden="1" customHeight="1" thickBot="1">
      <c r="B136" s="810" t="s">
        <v>562</v>
      </c>
      <c r="C136" s="800">
        <f t="shared" ref="C136:H136" si="29">C9</f>
        <v>-0.16375987666216998</v>
      </c>
      <c r="D136" s="801">
        <f t="shared" si="29"/>
        <v>0.1378138362021708</v>
      </c>
      <c r="E136" s="801">
        <f t="shared" si="29"/>
        <v>0.81151936444885797</v>
      </c>
      <c r="F136" s="801">
        <f t="shared" si="29"/>
        <v>-0.10840999575985648</v>
      </c>
      <c r="G136" s="801">
        <f t="shared" si="29"/>
        <v>-9.8870762957559075E-2</v>
      </c>
      <c r="H136" s="802">
        <f t="shared" si="29"/>
        <v>0.23774405325829884</v>
      </c>
      <c r="I136" s="785">
        <f>AVERAGE(C136:H136)</f>
        <v>0.13600610308829036</v>
      </c>
    </row>
    <row r="137" spans="2:36" ht="12.75" hidden="1" customHeight="1"/>
    <row r="138" spans="2:36" ht="12.75" hidden="1" customHeight="1">
      <c r="C138" s="814">
        <v>2023</v>
      </c>
      <c r="D138" s="743">
        <v>2022</v>
      </c>
      <c r="E138" s="814">
        <v>2021</v>
      </c>
      <c r="F138" s="743">
        <v>2020</v>
      </c>
      <c r="G138" s="814">
        <v>2019</v>
      </c>
      <c r="H138" s="744">
        <v>2018</v>
      </c>
    </row>
    <row r="139" spans="2:36" ht="12.75" hidden="1" customHeight="1">
      <c r="B139" s="746" t="s">
        <v>563</v>
      </c>
      <c r="C139" s="827">
        <v>2.8450000000000002</v>
      </c>
      <c r="D139" s="848">
        <v>3.0030000000000001</v>
      </c>
      <c r="E139" s="827">
        <v>1.292</v>
      </c>
      <c r="F139" s="848">
        <v>0.78900000000000003</v>
      </c>
      <c r="G139" s="827">
        <v>0.85099999999999998</v>
      </c>
      <c r="H139" s="845">
        <v>0.89900000000000002</v>
      </c>
      <c r="I139" s="857">
        <f>AVERAGE(C139:H139)</f>
        <v>1.6131666666666671</v>
      </c>
    </row>
    <row r="140" spans="2:36" ht="12.75" hidden="1" customHeight="1">
      <c r="B140" s="749" t="s">
        <v>559</v>
      </c>
      <c r="C140" s="1103">
        <f>C139/D139-1</f>
        <v>-5.2614052614052609E-2</v>
      </c>
      <c r="D140" s="1132">
        <f t="shared" ref="D140:G140" si="30">D139/E139-1</f>
        <v>1.3243034055727554</v>
      </c>
      <c r="E140" s="1103">
        <f>E139/F139-1</f>
        <v>0.63751584283903684</v>
      </c>
      <c r="F140" s="856">
        <f t="shared" si="30"/>
        <v>-7.2855464159811922E-2</v>
      </c>
      <c r="G140" s="1103">
        <f t="shared" si="30"/>
        <v>-5.339265850945496E-2</v>
      </c>
      <c r="H140" s="742"/>
      <c r="I140" s="858">
        <f>AVERAGE(C140:G140)</f>
        <v>0.35659141462569455</v>
      </c>
    </row>
    <row r="141" spans="2:36" ht="12.75" customHeight="1" thickBot="1"/>
    <row r="142" spans="2:36" ht="12.75" customHeight="1">
      <c r="B142" s="1205" t="s">
        <v>182</v>
      </c>
      <c r="C142" s="1156" t="s">
        <v>185</v>
      </c>
      <c r="D142" s="1157" t="s">
        <v>564</v>
      </c>
      <c r="E142" s="1157" t="s">
        <v>565</v>
      </c>
      <c r="F142" s="1157" t="s">
        <v>566</v>
      </c>
      <c r="G142" s="1157" t="s">
        <v>567</v>
      </c>
      <c r="H142" s="1157" t="s">
        <v>568</v>
      </c>
      <c r="I142" s="1158" t="s">
        <v>569</v>
      </c>
      <c r="J142" s="1159" t="s">
        <v>557</v>
      </c>
      <c r="K142" s="1212" t="s">
        <v>570</v>
      </c>
      <c r="L142" s="1212" t="s">
        <v>571</v>
      </c>
      <c r="M142" s="1157" t="s">
        <v>572</v>
      </c>
      <c r="N142" s="1157" t="s">
        <v>573</v>
      </c>
      <c r="O142" s="1157" t="s">
        <v>574</v>
      </c>
      <c r="P142" s="1157" t="s">
        <v>575</v>
      </c>
      <c r="Q142" s="1157" t="s">
        <v>576</v>
      </c>
      <c r="R142" s="1157" t="s">
        <v>577</v>
      </c>
      <c r="S142" s="1157" t="s">
        <v>578</v>
      </c>
      <c r="T142" s="1157" t="s">
        <v>579</v>
      </c>
      <c r="U142" s="1157" t="s">
        <v>580</v>
      </c>
      <c r="V142" s="1157" t="s">
        <v>581</v>
      </c>
      <c r="W142" s="1157" t="s">
        <v>582</v>
      </c>
      <c r="X142" s="1157" t="s">
        <v>583</v>
      </c>
      <c r="Y142" s="1157" t="s">
        <v>584</v>
      </c>
      <c r="Z142" s="1157" t="s">
        <v>585</v>
      </c>
      <c r="AA142" s="1157" t="s">
        <v>586</v>
      </c>
      <c r="AB142" s="1157" t="s">
        <v>587</v>
      </c>
      <c r="AC142" s="1157" t="s">
        <v>588</v>
      </c>
      <c r="AD142" s="1157" t="s">
        <v>589</v>
      </c>
      <c r="AE142" s="1157" t="s">
        <v>590</v>
      </c>
      <c r="AF142" s="1157" t="s">
        <v>591</v>
      </c>
      <c r="AG142" s="1157" t="s">
        <v>592</v>
      </c>
      <c r="AH142" s="1157" t="s">
        <v>593</v>
      </c>
      <c r="AI142" s="1157" t="s">
        <v>594</v>
      </c>
      <c r="AJ142" s="1160" t="s">
        <v>595</v>
      </c>
    </row>
    <row r="143" spans="2:36" ht="19.5" customHeight="1">
      <c r="B143" s="1206">
        <v>0.57869568559599527</v>
      </c>
      <c r="C143" s="1161" t="s">
        <v>186</v>
      </c>
      <c r="D143" s="1131">
        <v>16.24522</v>
      </c>
      <c r="E143" s="1131">
        <v>24.189858000000001</v>
      </c>
      <c r="F143" s="1131">
        <v>24.145396000000002</v>
      </c>
      <c r="G143" s="1131">
        <v>12.10886</v>
      </c>
      <c r="H143" s="1131">
        <v>13.933949999999999</v>
      </c>
      <c r="I143" s="1131">
        <v>20.092662000000001</v>
      </c>
      <c r="J143" s="1147"/>
      <c r="K143" s="1229">
        <f t="shared" ref="K143:AJ143" si="31">K145*K147*1000</f>
        <v>18515.615817599995</v>
      </c>
      <c r="L143" s="1229">
        <f t="shared" si="31"/>
        <v>18407.464703999995</v>
      </c>
      <c r="M143" s="1229">
        <f t="shared" si="31"/>
        <v>18265.911300426236</v>
      </c>
      <c r="N143" s="1229">
        <f t="shared" si="31"/>
        <v>18125.44644252595</v>
      </c>
      <c r="O143" s="1229">
        <f t="shared" si="31"/>
        <v>18489.314779859658</v>
      </c>
      <c r="P143" s="1229">
        <f t="shared" si="31"/>
        <v>18860.487774065336</v>
      </c>
      <c r="Q143" s="1229">
        <f t="shared" si="31"/>
        <v>19334.829041583078</v>
      </c>
      <c r="R143" s="1229">
        <f t="shared" si="31"/>
        <v>19821.099991978896</v>
      </c>
      <c r="S143" s="1229">
        <f t="shared" si="31"/>
        <v>20319.600656777162</v>
      </c>
      <c r="T143" s="1229">
        <f t="shared" si="31"/>
        <v>20830.638613295105</v>
      </c>
      <c r="U143" s="1229">
        <f t="shared" si="31"/>
        <v>21354.529174419476</v>
      </c>
      <c r="V143" s="1229">
        <f t="shared" si="31"/>
        <v>21891.595583156126</v>
      </c>
      <c r="W143" s="1229">
        <f t="shared" si="31"/>
        <v>22442.169212072498</v>
      </c>
      <c r="X143" s="1229">
        <f t="shared" si="31"/>
        <v>23006.589767756119</v>
      </c>
      <c r="Y143" s="1229">
        <f t="shared" si="31"/>
        <v>23585.205500415181</v>
      </c>
      <c r="Z143" s="1229">
        <f t="shared" si="31"/>
        <v>24178.373418750623</v>
      </c>
      <c r="AA143" s="1229">
        <f t="shared" si="31"/>
        <v>24786.459510232202</v>
      </c>
      <c r="AB143" s="1229">
        <f t="shared" si="31"/>
        <v>25409.83896691454</v>
      </c>
      <c r="AC143" s="1229">
        <f t="shared" si="31"/>
        <v>26048.896416932435</v>
      </c>
      <c r="AD143" s="1229">
        <f t="shared" si="31"/>
        <v>26704.026161818289</v>
      </c>
      <c r="AE143" s="1229">
        <f t="shared" si="31"/>
        <v>27375.632419788017</v>
      </c>
      <c r="AF143" s="1229">
        <f t="shared" si="31"/>
        <v>28064.129575145682</v>
      </c>
      <c r="AG143" s="1229">
        <f t="shared" si="31"/>
        <v>28769.942433960594</v>
      </c>
      <c r="AH143" s="1229">
        <f t="shared" si="31"/>
        <v>29493.506486174698</v>
      </c>
      <c r="AI143" s="1229">
        <f t="shared" si="31"/>
        <v>30235.268174301986</v>
      </c>
      <c r="AJ143" s="1229">
        <f t="shared" si="31"/>
        <v>30995.68516888568</v>
      </c>
    </row>
    <row r="144" spans="2:36" ht="18" customHeight="1">
      <c r="B144" s="1207"/>
      <c r="C144" s="1162" t="s">
        <v>559</v>
      </c>
      <c r="D144" s="863"/>
      <c r="E144" s="863">
        <f>E143/F143-1</f>
        <v>1.8414276576785849E-3</v>
      </c>
      <c r="F144" s="863">
        <f>F143/G143-1</f>
        <v>0.99402718340124507</v>
      </c>
      <c r="G144" s="863">
        <f>G143/H143-1</f>
        <v>-0.13098152354501058</v>
      </c>
      <c r="H144" s="863">
        <f>H143/D143-1</f>
        <v>-0.14227385040030238</v>
      </c>
      <c r="I144" s="863">
        <f>I143/E143-1</f>
        <v>-0.16937660402967225</v>
      </c>
      <c r="J144" s="1148"/>
      <c r="K144" s="1230">
        <f>K143/I143-1</f>
        <v>920.51133670590764</v>
      </c>
      <c r="L144" s="1231">
        <f t="shared" ref="L144:AJ144" si="32">L143/K143-1</f>
        <v>-5.8410756987730128E-3</v>
      </c>
      <c r="M144" s="1232">
        <f t="shared" si="32"/>
        <v>-7.6899999999998636E-3</v>
      </c>
      <c r="N144" s="1232">
        <f t="shared" si="32"/>
        <v>-7.6900000000004187E-3</v>
      </c>
      <c r="O144" s="1232">
        <f t="shared" si="32"/>
        <v>2.0075000000000065E-2</v>
      </c>
      <c r="P144" s="1232">
        <f t="shared" si="32"/>
        <v>2.0074999999999621E-2</v>
      </c>
      <c r="Q144" s="1232">
        <f t="shared" si="32"/>
        <v>2.5150000000000006E-2</v>
      </c>
      <c r="R144" s="1232">
        <f t="shared" si="32"/>
        <v>2.5150000000000228E-2</v>
      </c>
      <c r="S144" s="1232">
        <f t="shared" si="32"/>
        <v>2.5149999999999784E-2</v>
      </c>
      <c r="T144" s="1232">
        <f t="shared" si="32"/>
        <v>2.5149999999999784E-2</v>
      </c>
      <c r="U144" s="1232">
        <f t="shared" si="32"/>
        <v>2.5150000000000006E-2</v>
      </c>
      <c r="V144" s="1232">
        <f t="shared" si="32"/>
        <v>2.5150000000000006E-2</v>
      </c>
      <c r="W144" s="1232">
        <f t="shared" si="32"/>
        <v>2.5149999999999784E-2</v>
      </c>
      <c r="X144" s="1232">
        <f t="shared" si="32"/>
        <v>2.5149999999999784E-2</v>
      </c>
      <c r="Y144" s="1232">
        <f t="shared" si="32"/>
        <v>2.5149999999999784E-2</v>
      </c>
      <c r="Z144" s="1232">
        <f t="shared" si="32"/>
        <v>2.5150000000000006E-2</v>
      </c>
      <c r="AA144" s="1232">
        <f t="shared" si="32"/>
        <v>2.5150000000000006E-2</v>
      </c>
      <c r="AB144" s="1232">
        <f t="shared" si="32"/>
        <v>2.5150000000000006E-2</v>
      </c>
      <c r="AC144" s="1232">
        <f t="shared" si="32"/>
        <v>2.5149999999999784E-2</v>
      </c>
      <c r="AD144" s="1232">
        <f t="shared" si="32"/>
        <v>2.5150000000000006E-2</v>
      </c>
      <c r="AE144" s="1232">
        <f t="shared" si="32"/>
        <v>2.5150000000000006E-2</v>
      </c>
      <c r="AF144" s="1232">
        <f t="shared" si="32"/>
        <v>2.5149999999999784E-2</v>
      </c>
      <c r="AG144" s="1232">
        <f t="shared" si="32"/>
        <v>2.5150000000000006E-2</v>
      </c>
      <c r="AH144" s="1232">
        <f t="shared" si="32"/>
        <v>2.5149999999999784E-2</v>
      </c>
      <c r="AI144" s="1232">
        <f t="shared" si="32"/>
        <v>2.5149999999999784E-2</v>
      </c>
      <c r="AJ144" s="1233">
        <f t="shared" si="32"/>
        <v>2.5150000000000006E-2</v>
      </c>
    </row>
    <row r="145" spans="2:36" ht="12.75" customHeight="1">
      <c r="B145" s="1207"/>
      <c r="C145" s="1163" t="s">
        <v>596</v>
      </c>
      <c r="D145" s="1264">
        <v>19.89</v>
      </c>
      <c r="E145" s="822">
        <v>18.2</v>
      </c>
      <c r="F145" s="822">
        <v>20.295999999999999</v>
      </c>
      <c r="G145" s="822">
        <v>18.048999999999999</v>
      </c>
      <c r="H145" s="822">
        <v>18.585000000000001</v>
      </c>
      <c r="I145" s="820">
        <v>18.552</v>
      </c>
      <c r="J145" s="1149"/>
      <c r="K145" s="1214">
        <f>Table1[[#This Row],[2023]]*(1+K146)</f>
        <v>18.366479999999999</v>
      </c>
      <c r="L145" s="1215">
        <v>19.02</v>
      </c>
      <c r="M145" s="821">
        <f>Table1[[#This Row],[2025(FWD)]]*(1+M146)</f>
        <v>19.457459999999998</v>
      </c>
      <c r="N145" s="821">
        <f>Table1[[#This Row],[2026]]*(1+N146)</f>
        <v>19.904981579999994</v>
      </c>
      <c r="O145" s="1133">
        <f>Table1[[#This Row],[2027]]*(1+O146)</f>
        <v>20.004506487899992</v>
      </c>
      <c r="P145" s="1133">
        <f>Table1[[#This Row],[2028]]*(1+P146)</f>
        <v>20.104529020339488</v>
      </c>
      <c r="Q145" s="1133">
        <f>Table1[[#This Row],[2029]]*(1+Q146)</f>
        <v>20.305574310542884</v>
      </c>
      <c r="R145" s="1135">
        <f>Table1[[#This Row],[2030]]*(1+R146)</f>
        <v>20.508630053648314</v>
      </c>
      <c r="S145" s="1133">
        <f>Table1[[#This Row],[2031]]*(1+S146)</f>
        <v>20.713716354184797</v>
      </c>
      <c r="T145" s="1133">
        <f>Table1[[#This Row],[2032]]*(1+T146)</f>
        <v>20.920853517726645</v>
      </c>
      <c r="U145" s="1133">
        <f>Table1[[#This Row],[2033]]*(1+U146)</f>
        <v>21.130062052903913</v>
      </c>
      <c r="V145" s="1133">
        <f>Table1[[#This Row],[2034]]*(1+V146)</f>
        <v>21.341362673432954</v>
      </c>
      <c r="W145" s="1133">
        <f>Table1[[#This Row],[2035]]*(1+W146)</f>
        <v>21.554776300167283</v>
      </c>
      <c r="X145" s="1135">
        <f>Table1[[#This Row],[2036]]*(1+X146)</f>
        <v>21.770324063168957</v>
      </c>
      <c r="Y145" s="821">
        <f>Table1[[#This Row],[2037]]*(1+Y146)</f>
        <v>21.988027303800646</v>
      </c>
      <c r="Z145" s="821">
        <f>Table1[[#This Row],[2038]]*(1+Z146)</f>
        <v>22.207907576838654</v>
      </c>
      <c r="AA145" s="821">
        <f>Table1[[#This Row],[2039]]*(1+AA146)</f>
        <v>22.429986652607042</v>
      </c>
      <c r="AB145" s="821">
        <f>Table1[[#This Row],[2040]]*(1+AB146)</f>
        <v>22.654286519133112</v>
      </c>
      <c r="AC145" s="821">
        <f>Table1[[#This Row],[2041]]*(1+AC146)</f>
        <v>22.880829384324443</v>
      </c>
      <c r="AD145" s="821">
        <f>Table1[[#This Row],[2042]]*(1+AD146)</f>
        <v>23.109637678167687</v>
      </c>
      <c r="AE145" s="821">
        <f>Table1[[#This Row],[2043]]*(1+AE146)</f>
        <v>23.340734054949365</v>
      </c>
      <c r="AF145" s="821">
        <f>Table1[[#This Row],[2044]]*(1+AF146)</f>
        <v>23.574141395498859</v>
      </c>
      <c r="AG145" s="821">
        <f>Table1[[#This Row],[2045]]*(1+AG146)</f>
        <v>23.80988280945385</v>
      </c>
      <c r="AH145" s="821">
        <f>Table1[[#This Row],[2046]]*(1+AH146)</f>
        <v>24.047981637548389</v>
      </c>
      <c r="AI145" s="821">
        <f>Table1[[#This Row],[2047]]*(1+AI146)</f>
        <v>24.288461453923873</v>
      </c>
      <c r="AJ145" s="1164">
        <f>Table1[[#This Row],[2048]]*(1+AJ146)</f>
        <v>24.531346068463112</v>
      </c>
    </row>
    <row r="146" spans="2:36" ht="12.75" customHeight="1">
      <c r="B146" s="1207"/>
      <c r="C146" s="1165" t="s">
        <v>559</v>
      </c>
      <c r="D146" s="1166"/>
      <c r="E146" s="823">
        <f>E145/F145-1</f>
        <v>-0.10327158060701613</v>
      </c>
      <c r="F146" s="823">
        <f>F145/G145-1</f>
        <v>0.12449443182447784</v>
      </c>
      <c r="G146" s="823">
        <f>G145/H145-1</f>
        <v>-2.8840462738767947E-2</v>
      </c>
      <c r="H146" s="823">
        <f>H145/D145-1</f>
        <v>-6.5610859728506776E-2</v>
      </c>
      <c r="I146" s="823">
        <f>I145/E145-1</f>
        <v>1.9340659340659316E-2</v>
      </c>
      <c r="J146" s="1150">
        <f>AVERAGE(Table1[[#This Row],[2018]:[2023]])</f>
        <v>-1.0777562381830742E-2</v>
      </c>
      <c r="K146" s="1216">
        <v>-0.01</v>
      </c>
      <c r="L146" s="1217">
        <f>L145/K145-1</f>
        <v>3.5582212813778158E-2</v>
      </c>
      <c r="M146" s="1136">
        <v>2.3E-2</v>
      </c>
      <c r="N146" s="1136">
        <v>2.3E-2</v>
      </c>
      <c r="O146" s="1137">
        <v>5.0000000000000001E-3</v>
      </c>
      <c r="P146" s="1137">
        <v>5.0000000000000001E-3</v>
      </c>
      <c r="Q146" s="1137">
        <v>0.01</v>
      </c>
      <c r="R146" s="1136">
        <v>0.01</v>
      </c>
      <c r="S146" s="1137">
        <v>0.01</v>
      </c>
      <c r="T146" s="1137">
        <v>0.01</v>
      </c>
      <c r="U146" s="1137">
        <v>0.01</v>
      </c>
      <c r="V146" s="1137">
        <v>0.01</v>
      </c>
      <c r="W146" s="1137">
        <v>0.01</v>
      </c>
      <c r="X146" s="1136">
        <v>0.01</v>
      </c>
      <c r="Y146" s="1138">
        <v>0.01</v>
      </c>
      <c r="Z146" s="1138">
        <v>0.01</v>
      </c>
      <c r="AA146" s="1138">
        <v>0.01</v>
      </c>
      <c r="AB146" s="1138">
        <v>0.01</v>
      </c>
      <c r="AC146" s="1138">
        <v>0.01</v>
      </c>
      <c r="AD146" s="1138">
        <v>0.01</v>
      </c>
      <c r="AE146" s="1138">
        <v>0.01</v>
      </c>
      <c r="AF146" s="1138">
        <v>0.01</v>
      </c>
      <c r="AG146" s="1138">
        <v>0.01</v>
      </c>
      <c r="AH146" s="1138">
        <v>0.01</v>
      </c>
      <c r="AI146" s="1138">
        <v>0.01</v>
      </c>
      <c r="AJ146" s="1167">
        <v>0.01</v>
      </c>
    </row>
    <row r="147" spans="2:36" ht="12.75" customHeight="1">
      <c r="B147" s="1207"/>
      <c r="C147" s="1163" t="s">
        <v>597</v>
      </c>
      <c r="D147" s="1264">
        <v>0.81699999999999995</v>
      </c>
      <c r="E147" s="822">
        <v>1.3240000000000001</v>
      </c>
      <c r="F147" s="822">
        <v>1.1950000000000001</v>
      </c>
      <c r="G147" s="822">
        <v>0.67100000000000004</v>
      </c>
      <c r="H147" s="822">
        <v>0.748</v>
      </c>
      <c r="I147" s="820">
        <v>1.0840000000000001</v>
      </c>
      <c r="J147" s="1149"/>
      <c r="K147" s="1218">
        <f>Table1[[#This Row],[2023]]*(1+K148)</f>
        <v>1.0081199999999999</v>
      </c>
      <c r="L147" s="1218">
        <f>Table1[[#This Row],[2024(FWD)]]*(1+L148)</f>
        <v>0.96779519999999986</v>
      </c>
      <c r="M147" s="821">
        <f>Table1[[#This Row],[2025(FWD)]]*(1+M148)</f>
        <v>0.93876134399999989</v>
      </c>
      <c r="N147" s="821">
        <f>Table1[[#This Row],[2026]]*(1+N148)</f>
        <v>0.91059850367999984</v>
      </c>
      <c r="O147" s="1134">
        <f>Table1[[#This Row],[2027]]*(1+O148)</f>
        <v>0.9242574812351998</v>
      </c>
      <c r="P147" s="1134">
        <f>Table1[[#This Row],[2028]]*(1+P148)</f>
        <v>0.93812134345372766</v>
      </c>
      <c r="Q147" s="1134">
        <f>Table1[[#This Row],[2029]]*(1+Q148)</f>
        <v>0.95219316360553352</v>
      </c>
      <c r="R147" s="821">
        <f>Table1[[#This Row],[2030]]*(1+R148)</f>
        <v>0.96647606105961648</v>
      </c>
      <c r="S147" s="1134">
        <f>Table1[[#This Row],[2031]]*(1+S148)</f>
        <v>0.98097320197551063</v>
      </c>
      <c r="T147" s="1134">
        <f>Table1[[#This Row],[2032]]*(1+T148)</f>
        <v>0.99568780000514323</v>
      </c>
      <c r="U147" s="1134">
        <f>Table1[[#This Row],[2033]]*(1+U148)</f>
        <v>1.0106231170052202</v>
      </c>
      <c r="V147" s="1134">
        <f>Table1[[#This Row],[2034]]*(1+V148)</f>
        <v>1.0257824637602984</v>
      </c>
      <c r="W147" s="1134">
        <f>Table1[[#This Row],[2035]]*(1+W148)</f>
        <v>1.0411692007167028</v>
      </c>
      <c r="X147" s="821">
        <f>Table1[[#This Row],[2036]]*(1+X148)</f>
        <v>1.0567867387274532</v>
      </c>
      <c r="Y147" s="821">
        <f>Table1[[#This Row],[2037]]*(1+Y148)</f>
        <v>1.0726385398083649</v>
      </c>
      <c r="Z147" s="821">
        <f>Table1[[#This Row],[2038]]*(1+Z148)</f>
        <v>1.0887281179054902</v>
      </c>
      <c r="AA147" s="821">
        <f>Table1[[#This Row],[2039]]*(1+AA148)</f>
        <v>1.1050590396740725</v>
      </c>
      <c r="AB147" s="821">
        <f>Table1[[#This Row],[2040]]*(1+AB148)</f>
        <v>1.1216349252691835</v>
      </c>
      <c r="AC147" s="821">
        <f>Table1[[#This Row],[2041]]*(1+AC148)</f>
        <v>1.1384594491482212</v>
      </c>
      <c r="AD147" s="821">
        <f>Table1[[#This Row],[2042]]*(1+AD148)</f>
        <v>1.1555363408854444</v>
      </c>
      <c r="AE147" s="821">
        <f>Table1[[#This Row],[2043]]*(1+AE148)</f>
        <v>1.172869385998726</v>
      </c>
      <c r="AF147" s="821">
        <f>Table1[[#This Row],[2044]]*(1+AF148)</f>
        <v>1.1904624267887067</v>
      </c>
      <c r="AG147" s="821">
        <f>Table1[[#This Row],[2045]]*(1+AG148)</f>
        <v>1.2083193631905371</v>
      </c>
      <c r="AH147" s="821">
        <f>Table1[[#This Row],[2046]]*(1+AH148)</f>
        <v>1.226444153638395</v>
      </c>
      <c r="AI147" s="821">
        <f>Table1[[#This Row],[2047]]*(1+AI148)</f>
        <v>1.2448408159429707</v>
      </c>
      <c r="AJ147" s="1164">
        <f>Table1[[#This Row],[2048]]*(1+AJ148)</f>
        <v>1.2635134281821152</v>
      </c>
    </row>
    <row r="148" spans="2:36" ht="12.75" customHeight="1">
      <c r="B148" s="1207"/>
      <c r="C148" s="1162" t="s">
        <v>559</v>
      </c>
      <c r="D148" s="866"/>
      <c r="E148" s="1144">
        <f>E147/F147-1</f>
        <v>0.10794979079497913</v>
      </c>
      <c r="F148" s="1144">
        <f>F147/G147-1</f>
        <v>0.78092399403874802</v>
      </c>
      <c r="G148" s="863">
        <f>G147/H147-1</f>
        <v>-0.1029411764705882</v>
      </c>
      <c r="H148" s="863">
        <f>H147/D147-1</f>
        <v>-8.4455324357405104E-2</v>
      </c>
      <c r="I148" s="863">
        <f>I147/E147-1</f>
        <v>-0.18126888217522652</v>
      </c>
      <c r="J148" s="1150">
        <f>AVERAGE(Table1[[#This Row],[2018]:[2023]])</f>
        <v>0.10404168036610147</v>
      </c>
      <c r="K148" s="1219">
        <v>-7.0000000000000007E-2</v>
      </c>
      <c r="L148" s="1213">
        <v>-0.04</v>
      </c>
      <c r="M148" s="1140">
        <v>-0.03</v>
      </c>
      <c r="N148" s="1140">
        <v>-0.03</v>
      </c>
      <c r="O148" s="1141">
        <v>1.4999999999999999E-2</v>
      </c>
      <c r="P148" s="1141">
        <v>1.4999999999999999E-2</v>
      </c>
      <c r="Q148" s="1141">
        <v>1.4999999999999999E-2</v>
      </c>
      <c r="R148" s="1141">
        <v>1.4999999999999999E-2</v>
      </c>
      <c r="S148" s="1141">
        <v>1.4999999999999999E-2</v>
      </c>
      <c r="T148" s="1141">
        <v>1.4999999999999999E-2</v>
      </c>
      <c r="U148" s="1141">
        <v>1.4999999999999999E-2</v>
      </c>
      <c r="V148" s="1141">
        <v>1.4999999999999999E-2</v>
      </c>
      <c r="W148" s="1141">
        <v>1.4999999999999999E-2</v>
      </c>
      <c r="X148" s="1141">
        <v>1.4999999999999999E-2</v>
      </c>
      <c r="Y148" s="1141">
        <v>1.4999999999999999E-2</v>
      </c>
      <c r="Z148" s="1141">
        <v>1.4999999999999999E-2</v>
      </c>
      <c r="AA148" s="1141">
        <v>1.4999999999999999E-2</v>
      </c>
      <c r="AB148" s="1141">
        <v>1.4999999999999999E-2</v>
      </c>
      <c r="AC148" s="1141">
        <v>1.4999999999999999E-2</v>
      </c>
      <c r="AD148" s="1141">
        <v>1.4999999999999999E-2</v>
      </c>
      <c r="AE148" s="1141">
        <v>1.4999999999999999E-2</v>
      </c>
      <c r="AF148" s="1141">
        <v>1.4999999999999999E-2</v>
      </c>
      <c r="AG148" s="1141">
        <v>1.4999999999999999E-2</v>
      </c>
      <c r="AH148" s="1141">
        <v>1.4999999999999999E-2</v>
      </c>
      <c r="AI148" s="1141">
        <v>1.4999999999999999E-2</v>
      </c>
      <c r="AJ148" s="1168">
        <v>1.4999999999999999E-2</v>
      </c>
    </row>
    <row r="149" spans="2:36" ht="12.75" customHeight="1" thickBot="1">
      <c r="B149" s="1207"/>
      <c r="C149" s="1169" t="s">
        <v>182</v>
      </c>
      <c r="D149" s="1170">
        <f>D143/$D$166</f>
        <v>6.4806470235044642E-4</v>
      </c>
      <c r="E149" s="1171">
        <f>E143/E166</f>
        <v>5.8271309194898001E-4</v>
      </c>
      <c r="F149" s="1171">
        <f>F143/F166</f>
        <v>6.6180891268346879E-4</v>
      </c>
      <c r="G149" s="1171">
        <f>G143/G166</f>
        <v>6.0125791422514026E-4</v>
      </c>
      <c r="H149" s="1171">
        <f>H143/H166</f>
        <v>6.1685057296831922E-4</v>
      </c>
      <c r="I149" s="1171">
        <f>I143/I166</f>
        <v>5.7882905403717805E-4</v>
      </c>
      <c r="J149" s="1172">
        <f>AVERAGE(Table1[[#This Row],[2018]:[2023]])</f>
        <v>6.1492070803558874E-4</v>
      </c>
      <c r="K149" s="1220">
        <f t="shared" ref="K149:AJ149" si="33">K143/K166</f>
        <v>0.59622540483226671</v>
      </c>
      <c r="L149" s="1221">
        <f t="shared" si="33"/>
        <v>0.61487621293791572</v>
      </c>
      <c r="M149" s="1173">
        <f t="shared" si="33"/>
        <v>0.61819250705036666</v>
      </c>
      <c r="N149" s="1173">
        <f t="shared" si="33"/>
        <v>0.62148346619242678</v>
      </c>
      <c r="O149" s="1174">
        <f t="shared" si="33"/>
        <v>0.62104490423593095</v>
      </c>
      <c r="P149" s="1174">
        <f t="shared" si="33"/>
        <v>0.6208216979860598</v>
      </c>
      <c r="Q149" s="1174">
        <f t="shared" si="33"/>
        <v>0.6217467622926941</v>
      </c>
      <c r="R149" s="1174">
        <f t="shared" si="33"/>
        <v>0.61075075239437993</v>
      </c>
      <c r="S149" s="1174">
        <f t="shared" si="33"/>
        <v>0.59962095382648872</v>
      </c>
      <c r="T149" s="1174">
        <f t="shared" si="33"/>
        <v>0.58818981454984531</v>
      </c>
      <c r="U149" s="1174">
        <f t="shared" si="33"/>
        <v>0.57647540467479585</v>
      </c>
      <c r="V149" s="1174">
        <f t="shared" si="33"/>
        <v>0.56449725322151978</v>
      </c>
      <c r="W149" s="1174">
        <f t="shared" si="33"/>
        <v>0.5522762586219736</v>
      </c>
      <c r="X149" s="1174">
        <f t="shared" si="33"/>
        <v>0.53983458156906527</v>
      </c>
      <c r="Y149" s="1174">
        <f t="shared" si="33"/>
        <v>0.5271955211703977</v>
      </c>
      <c r="Z149" s="1174">
        <f t="shared" si="33"/>
        <v>0.51438337573764559</v>
      </c>
      <c r="AA149" s="1174">
        <f t="shared" si="33"/>
        <v>0.50258307812639424</v>
      </c>
      <c r="AB149" s="1174">
        <f t="shared" si="33"/>
        <v>0.49061237695131454</v>
      </c>
      <c r="AC149" s="1174">
        <f t="shared" si="33"/>
        <v>0.47855253351583016</v>
      </c>
      <c r="AD149" s="1174">
        <f t="shared" si="33"/>
        <v>0.46642454058478749</v>
      </c>
      <c r="AE149" s="1174">
        <f t="shared" si="33"/>
        <v>0.45424951419695886</v>
      </c>
      <c r="AF149" s="1174">
        <f t="shared" si="33"/>
        <v>0.44204857021118699</v>
      </c>
      <c r="AG149" s="1174">
        <f t="shared" si="33"/>
        <v>0.42984270130922947</v>
      </c>
      <c r="AH149" s="1174">
        <f t="shared" si="33"/>
        <v>0.41765265600638551</v>
      </c>
      <c r="AI149" s="1174">
        <f t="shared" si="33"/>
        <v>0.40549882117170621</v>
      </c>
      <c r="AJ149" s="1175">
        <f t="shared" si="33"/>
        <v>0.39340110947859641</v>
      </c>
    </row>
    <row r="150" spans="2:36" ht="12.75" customHeight="1" thickBot="1">
      <c r="B150" s="1163"/>
      <c r="C150" s="1202"/>
      <c r="D150" s="833"/>
      <c r="E150" s="1210"/>
      <c r="F150" s="833"/>
      <c r="G150" s="1210"/>
      <c r="H150" s="1210"/>
      <c r="I150" s="833"/>
      <c r="J150" s="1211"/>
      <c r="K150" s="1222"/>
      <c r="L150" s="1222"/>
      <c r="M150" s="1210"/>
      <c r="N150" s="1210"/>
      <c r="O150" s="1210"/>
      <c r="P150" s="1210"/>
      <c r="Q150" s="1210"/>
      <c r="R150" s="1210"/>
      <c r="S150" s="1210"/>
      <c r="T150" s="1210"/>
      <c r="U150" s="1210"/>
      <c r="V150" s="1210"/>
      <c r="W150" s="1210"/>
      <c r="X150" s="1210"/>
      <c r="Y150" s="1210"/>
      <c r="Z150" s="1210"/>
      <c r="AA150" s="1210"/>
      <c r="AB150" s="1210"/>
      <c r="AC150" s="1210"/>
      <c r="AD150" s="1210"/>
      <c r="AE150" s="1210"/>
      <c r="AF150" s="1210"/>
      <c r="AG150" s="1210"/>
      <c r="AH150" s="1210"/>
      <c r="AI150" s="1210"/>
      <c r="AJ150" s="1210"/>
    </row>
    <row r="151" spans="2:36" ht="15.6" customHeight="1">
      <c r="B151" s="1206">
        <v>0.36747460103009161</v>
      </c>
      <c r="C151" s="1176" t="s">
        <v>187</v>
      </c>
      <c r="D151" s="1177">
        <f>6796501/1000000</f>
        <v>6.7965010000000001</v>
      </c>
      <c r="E151" s="1177">
        <f>15060328/1000000</f>
        <v>15.060328</v>
      </c>
      <c r="F151" s="1177">
        <f>9727943/1000000</f>
        <v>9.7279429999999998</v>
      </c>
      <c r="G151" s="1177">
        <f>6623068/1000000</f>
        <v>6.623068</v>
      </c>
      <c r="H151" s="1177">
        <f>6990064/1000000</f>
        <v>6.9900640000000003</v>
      </c>
      <c r="I151" s="1177">
        <f>12758939/1000000</f>
        <v>12.758939</v>
      </c>
      <c r="J151" s="1178"/>
      <c r="K151" s="1234">
        <f t="shared" ref="K151:AJ151" si="34">K153*K155*1000</f>
        <v>10685.5454575</v>
      </c>
      <c r="L151" s="1234">
        <f t="shared" si="34"/>
        <v>9683.2412935864995</v>
      </c>
      <c r="M151" s="1234">
        <f t="shared" si="34"/>
        <v>9442.612747440875</v>
      </c>
      <c r="N151" s="1234">
        <f t="shared" si="34"/>
        <v>9207.9638206669679</v>
      </c>
      <c r="O151" s="1234">
        <f t="shared" si="34"/>
        <v>9439.5441107567403</v>
      </c>
      <c r="P151" s="1234">
        <f t="shared" si="34"/>
        <v>9676.9486451422708</v>
      </c>
      <c r="Q151" s="1234">
        <f t="shared" si="34"/>
        <v>9920.3239035675997</v>
      </c>
      <c r="R151" s="1234">
        <f t="shared" si="34"/>
        <v>10780.912002202089</v>
      </c>
      <c r="S151" s="1234">
        <f t="shared" si="34"/>
        <v>11716.156118393121</v>
      </c>
      <c r="T151" s="1234">
        <f t="shared" si="34"/>
        <v>12732.532661663723</v>
      </c>
      <c r="U151" s="1234">
        <f t="shared" si="34"/>
        <v>13837.079870063051</v>
      </c>
      <c r="V151" s="1234">
        <f t="shared" si="34"/>
        <v>15037.446548791022</v>
      </c>
      <c r="W151" s="1234">
        <f t="shared" si="34"/>
        <v>16341.945036898644</v>
      </c>
      <c r="X151" s="1234">
        <f t="shared" si="34"/>
        <v>17759.608768849601</v>
      </c>
      <c r="Y151" s="1234">
        <f t="shared" si="34"/>
        <v>19300.254829547303</v>
      </c>
      <c r="Z151" s="1234">
        <f t="shared" si="34"/>
        <v>20974.551936010528</v>
      </c>
      <c r="AA151" s="1234">
        <f t="shared" si="34"/>
        <v>22685.551010190582</v>
      </c>
      <c r="AB151" s="1234">
        <f t="shared" si="34"/>
        <v>24536.124833846872</v>
      </c>
      <c r="AC151" s="1234">
        <f t="shared" si="34"/>
        <v>26537.659217167929</v>
      </c>
      <c r="AD151" s="1234">
        <f t="shared" si="34"/>
        <v>28702.468767808401</v>
      </c>
      <c r="AE151" s="1234">
        <f t="shared" si="34"/>
        <v>31043.872657542368</v>
      </c>
      <c r="AF151" s="1234">
        <f t="shared" si="34"/>
        <v>33576.27656958138</v>
      </c>
      <c r="AG151" s="1234">
        <f t="shared" si="34"/>
        <v>36315.261330744972</v>
      </c>
      <c r="AH151" s="1234">
        <f t="shared" si="34"/>
        <v>39277.678773800486</v>
      </c>
      <c r="AI151" s="1234">
        <f t="shared" si="34"/>
        <v>42481.755419773261</v>
      </c>
      <c r="AJ151" s="1234">
        <f t="shared" si="34"/>
        <v>45947.204618141252</v>
      </c>
    </row>
    <row r="152" spans="2:36" ht="15.6" customHeight="1">
      <c r="B152" s="1207"/>
      <c r="C152" s="1162" t="s">
        <v>559</v>
      </c>
      <c r="D152" s="865"/>
      <c r="E152" s="864">
        <f>E151/F151-1</f>
        <v>0.5481513409361054</v>
      </c>
      <c r="F152" s="864">
        <f>F151/G151-1</f>
        <v>0.46879708920397611</v>
      </c>
      <c r="G152" s="864">
        <f>G151/H151-1</f>
        <v>-5.2502523582044547E-2</v>
      </c>
      <c r="H152" s="864">
        <f>H151/D151-1</f>
        <v>2.8479801592025122E-2</v>
      </c>
      <c r="I152" s="864">
        <f>I151/E151-1</f>
        <v>-0.15281134647266648</v>
      </c>
      <c r="J152" s="1152">
        <f>AVERAGE(Table1[[#This Row],[2018]:[2019]])</f>
        <v>0.24823142703751552</v>
      </c>
      <c r="K152" s="1230">
        <f>K151/I151-1</f>
        <v>836.49483068302152</v>
      </c>
      <c r="L152" s="1230">
        <f t="shared" ref="L152:AJ152" si="35">L151/K151-1</f>
        <v>-9.3800000000000106E-2</v>
      </c>
      <c r="M152" s="1235">
        <f t="shared" si="35"/>
        <v>-2.4850000000000039E-2</v>
      </c>
      <c r="N152" s="1235">
        <f t="shared" si="35"/>
        <v>-2.485000000000015E-2</v>
      </c>
      <c r="O152" s="1236">
        <f t="shared" si="35"/>
        <v>2.5149999999999784E-2</v>
      </c>
      <c r="P152" s="1236">
        <f t="shared" si="35"/>
        <v>2.5149999999999784E-2</v>
      </c>
      <c r="Q152" s="1236">
        <f t="shared" si="35"/>
        <v>2.5150000000000006E-2</v>
      </c>
      <c r="R152" s="1236">
        <f t="shared" si="35"/>
        <v>8.6749999999999883E-2</v>
      </c>
      <c r="S152" s="1237">
        <f t="shared" si="35"/>
        <v>8.6750000000000105E-2</v>
      </c>
      <c r="T152" s="1237">
        <f t="shared" si="35"/>
        <v>8.6749999999999883E-2</v>
      </c>
      <c r="U152" s="1237">
        <f t="shared" si="35"/>
        <v>8.6750000000000105E-2</v>
      </c>
      <c r="V152" s="1237">
        <f t="shared" si="35"/>
        <v>8.6750000000000105E-2</v>
      </c>
      <c r="W152" s="1237">
        <f t="shared" si="35"/>
        <v>8.6750000000000105E-2</v>
      </c>
      <c r="X152" s="1237">
        <f t="shared" si="35"/>
        <v>8.6750000000000105E-2</v>
      </c>
      <c r="Y152" s="1237">
        <f t="shared" si="35"/>
        <v>8.6749999999999883E-2</v>
      </c>
      <c r="Z152" s="1237">
        <f t="shared" si="35"/>
        <v>8.6749999999999883E-2</v>
      </c>
      <c r="AA152" s="1237">
        <f t="shared" si="35"/>
        <v>8.1574999999999731E-2</v>
      </c>
      <c r="AB152" s="1237">
        <f t="shared" si="35"/>
        <v>8.1574999999999731E-2</v>
      </c>
      <c r="AC152" s="1237">
        <f t="shared" si="35"/>
        <v>8.1574999999999953E-2</v>
      </c>
      <c r="AD152" s="1237">
        <f t="shared" si="35"/>
        <v>8.1574999999999953E-2</v>
      </c>
      <c r="AE152" s="1237">
        <f t="shared" si="35"/>
        <v>8.1574999999999953E-2</v>
      </c>
      <c r="AF152" s="1237">
        <f t="shared" si="35"/>
        <v>8.1574999999999731E-2</v>
      </c>
      <c r="AG152" s="1237">
        <f t="shared" si="35"/>
        <v>8.1574999999999731E-2</v>
      </c>
      <c r="AH152" s="1237">
        <f t="shared" si="35"/>
        <v>8.1574999999999731E-2</v>
      </c>
      <c r="AI152" s="1237">
        <f t="shared" si="35"/>
        <v>8.1574999999999953E-2</v>
      </c>
      <c r="AJ152" s="1238">
        <f t="shared" si="35"/>
        <v>8.1574999999999731E-2</v>
      </c>
    </row>
    <row r="153" spans="2:36" ht="12.75" customHeight="1">
      <c r="B153" s="1207"/>
      <c r="C153" s="1179" t="s">
        <v>596</v>
      </c>
      <c r="D153" s="867">
        <f>C132</f>
        <v>4.8460000000000001</v>
      </c>
      <c r="E153" s="861">
        <f>G132</f>
        <v>5.0149999999999997</v>
      </c>
      <c r="F153" s="861">
        <f>F132</f>
        <v>4.9790000000000001</v>
      </c>
      <c r="G153" s="861">
        <f>E132</f>
        <v>4.7939999999999996</v>
      </c>
      <c r="H153" s="861">
        <f>D132</f>
        <v>4.8140000000000001</v>
      </c>
      <c r="I153" s="860">
        <f>H132</f>
        <v>4.4859999999999998</v>
      </c>
      <c r="J153" s="1151"/>
      <c r="K153" s="1223">
        <f>Table1[[#This Row],[2023]]*(1+K154)</f>
        <v>4.4187099999999999</v>
      </c>
      <c r="L153" s="1223">
        <f>Table1[[#This Row],[2024(FWD)]]*(1+L154)</f>
        <v>4.3524293499999995</v>
      </c>
      <c r="M153" s="822">
        <f>Table1[[#This Row],[2025(FWD)]]*(1+M154)</f>
        <v>4.3089050564999996</v>
      </c>
      <c r="N153" s="822">
        <f>Table1[[#This Row],[2026]]*(1+N154)</f>
        <v>4.2658160059349992</v>
      </c>
      <c r="O153" s="822">
        <f>Table1[[#This Row],[2027]]*(1+O154)</f>
        <v>4.3298032460240234</v>
      </c>
      <c r="P153" s="822">
        <f>Table1[[#This Row],[2028]]*(1+P154)</f>
        <v>4.3947502947143837</v>
      </c>
      <c r="Q153" s="822">
        <f>Table1[[#This Row],[2029]]*(1+Q154)</f>
        <v>4.4606715491350988</v>
      </c>
      <c r="R153" s="822">
        <f>Table1[[#This Row],[2030]]*(1+R154)</f>
        <v>4.6837051265918541</v>
      </c>
      <c r="S153" s="822">
        <f>Table1[[#This Row],[2031]]*(1+S154)</f>
        <v>4.9178903829214473</v>
      </c>
      <c r="T153" s="822">
        <f>Table1[[#This Row],[2032]]*(1+T154)</f>
        <v>5.1637849020675199</v>
      </c>
      <c r="U153" s="822">
        <f>Table1[[#This Row],[2033]]*(1+U154)</f>
        <v>5.4219741471708964</v>
      </c>
      <c r="V153" s="822">
        <f>Table1[[#This Row],[2034]]*(1+V154)</f>
        <v>5.6930728545294418</v>
      </c>
      <c r="W153" s="822">
        <f>Table1[[#This Row],[2035]]*(1+W154)</f>
        <v>5.9777264972559143</v>
      </c>
      <c r="X153" s="822">
        <f>Table1[[#This Row],[2036]]*(1+X154)</f>
        <v>6.2766128221187101</v>
      </c>
      <c r="Y153" s="822">
        <f>Table1[[#This Row],[2037]]*(1+Y154)</f>
        <v>6.5904434632246458</v>
      </c>
      <c r="Z153" s="822">
        <f>Table1[[#This Row],[2038]]*(1+Z154)</f>
        <v>6.9199656363858786</v>
      </c>
      <c r="AA153" s="822">
        <f>Table1[[#This Row],[2039]]*(1+AA154)</f>
        <v>7.2313640900232423</v>
      </c>
      <c r="AB153" s="822">
        <f>Table1[[#This Row],[2040]]*(1+AB154)</f>
        <v>7.5567754740742874</v>
      </c>
      <c r="AC153" s="822">
        <f>Table1[[#This Row],[2041]]*(1+AC154)</f>
        <v>7.8968303704076295</v>
      </c>
      <c r="AD153" s="822">
        <f>Table1[[#This Row],[2042]]*(1+AD154)</f>
        <v>8.2521877370759729</v>
      </c>
      <c r="AE153" s="822">
        <f>Table1[[#This Row],[2043]]*(1+AE154)</f>
        <v>8.6235361852443919</v>
      </c>
      <c r="AF153" s="822">
        <f>Table1[[#This Row],[2044]]*(1+AF154)</f>
        <v>9.0115953135803881</v>
      </c>
      <c r="AG153" s="822">
        <f>Table1[[#This Row],[2045]]*(1+AG154)</f>
        <v>9.4171171026915044</v>
      </c>
      <c r="AH153" s="822">
        <f>Table1[[#This Row],[2046]]*(1+AH154)</f>
        <v>9.840887372312622</v>
      </c>
      <c r="AI153" s="822">
        <f>Table1[[#This Row],[2047]]*(1+AI154)</f>
        <v>10.283727304066689</v>
      </c>
      <c r="AJ153" s="1180">
        <f>Table1[[#This Row],[2048]]*(1+AJ154)</f>
        <v>10.746495032749689</v>
      </c>
    </row>
    <row r="154" spans="2:36" ht="12.75" customHeight="1">
      <c r="B154" s="1207"/>
      <c r="C154" s="1165" t="s">
        <v>559</v>
      </c>
      <c r="D154" s="1166"/>
      <c r="E154" s="823">
        <f>E153/F153-1</f>
        <v>7.2303675436833359E-3</v>
      </c>
      <c r="F154" s="823">
        <f>F153/G153-1</f>
        <v>3.8589904046725243E-2</v>
      </c>
      <c r="G154" s="823">
        <f>G153/H153-1</f>
        <v>-4.1545492314084553E-3</v>
      </c>
      <c r="H154" s="823">
        <f>H153/D153-1</f>
        <v>-6.6033842344201954E-3</v>
      </c>
      <c r="I154" s="823">
        <f>I153/E153-1</f>
        <v>-0.10548354935194415</v>
      </c>
      <c r="J154" s="1150">
        <f>AVERAGE(Table1[[#This Row],[2018]:[2023]])</f>
        <v>-1.4084242245472844E-2</v>
      </c>
      <c r="K154" s="1224">
        <v>-1.4999999999999999E-2</v>
      </c>
      <c r="L154" s="1217">
        <v>-1.4999999999999999E-2</v>
      </c>
      <c r="M154" s="1140">
        <v>-0.01</v>
      </c>
      <c r="N154" s="1140">
        <v>-0.01</v>
      </c>
      <c r="O154" s="1142">
        <v>1.4999999999999999E-2</v>
      </c>
      <c r="P154" s="1142">
        <v>1.4999999999999999E-2</v>
      </c>
      <c r="Q154" s="1142">
        <v>1.4999999999999999E-2</v>
      </c>
      <c r="R154" s="1142">
        <v>0.05</v>
      </c>
      <c r="S154" s="1142">
        <v>0.05</v>
      </c>
      <c r="T154" s="1142">
        <v>0.05</v>
      </c>
      <c r="U154" s="1142">
        <v>0.05</v>
      </c>
      <c r="V154" s="1142">
        <v>0.05</v>
      </c>
      <c r="W154" s="1142">
        <v>0.05</v>
      </c>
      <c r="X154" s="1142">
        <v>0.05</v>
      </c>
      <c r="Y154" s="1142">
        <v>0.05</v>
      </c>
      <c r="Z154" s="1142">
        <v>0.05</v>
      </c>
      <c r="AA154" s="1140">
        <v>4.4999999999999998E-2</v>
      </c>
      <c r="AB154" s="1140">
        <v>4.4999999999999998E-2</v>
      </c>
      <c r="AC154" s="1140">
        <v>4.4999999999999998E-2</v>
      </c>
      <c r="AD154" s="1140">
        <v>4.4999999999999998E-2</v>
      </c>
      <c r="AE154" s="1140">
        <v>4.4999999999999998E-2</v>
      </c>
      <c r="AF154" s="1140">
        <v>4.4999999999999998E-2</v>
      </c>
      <c r="AG154" s="1140">
        <v>4.4999999999999998E-2</v>
      </c>
      <c r="AH154" s="1140">
        <v>4.4999999999999998E-2</v>
      </c>
      <c r="AI154" s="1140">
        <v>4.4999999999999998E-2</v>
      </c>
      <c r="AJ154" s="1140">
        <v>4.4999999999999998E-2</v>
      </c>
    </row>
    <row r="155" spans="2:36" ht="12.75" customHeight="1">
      <c r="B155" s="1207"/>
      <c r="C155" s="1163" t="s">
        <v>598</v>
      </c>
      <c r="D155" s="1264">
        <v>1.4019999999999999</v>
      </c>
      <c r="E155" s="822">
        <v>3.0030000000000001</v>
      </c>
      <c r="F155" s="822">
        <v>1.954</v>
      </c>
      <c r="G155" s="822">
        <v>1.3819999999999999</v>
      </c>
      <c r="H155" s="822">
        <v>1.452</v>
      </c>
      <c r="I155" s="820">
        <v>2.8450000000000002</v>
      </c>
      <c r="J155" s="1149"/>
      <c r="K155" s="1225">
        <f>Table1[[#This Row],[2023]]*(1+K156)</f>
        <v>2.41825</v>
      </c>
      <c r="L155" s="1225">
        <f>Table1[[#This Row],[2024(FWD)]]*(1+L156)</f>
        <v>2.22479</v>
      </c>
      <c r="M155" s="822">
        <f>Table1[[#This Row],[2025(FWD)]]*(1+M156)</f>
        <v>2.1914181500000001</v>
      </c>
      <c r="N155" s="822">
        <f>Table1[[#This Row],[2026]]*(1+N156)</f>
        <v>2.1585468777500001</v>
      </c>
      <c r="O155" s="822">
        <f>Table1[[#This Row],[2027]]*(1+O156)</f>
        <v>2.1801323465275</v>
      </c>
      <c r="P155" s="822">
        <f>Table1[[#This Row],[2028]]*(1+P156)</f>
        <v>2.201933669992775</v>
      </c>
      <c r="Q155" s="822">
        <f>Table1[[#This Row],[2029]]*(1+Q156)</f>
        <v>2.2239530066927027</v>
      </c>
      <c r="R155" s="822">
        <f>Table1[[#This Row],[2030]]*(1+R156)</f>
        <v>2.3017913619269472</v>
      </c>
      <c r="S155" s="822">
        <f>Table1[[#This Row],[2031]]*(1+S156)</f>
        <v>2.3823540595943902</v>
      </c>
      <c r="T155" s="822">
        <f>Table1[[#This Row],[2032]]*(1+T156)</f>
        <v>2.4657364516801938</v>
      </c>
      <c r="U155" s="822">
        <f>Table1[[#This Row],[2033]]*(1+U156)</f>
        <v>2.5520372274890004</v>
      </c>
      <c r="V155" s="822">
        <f>Table1[[#This Row],[2034]]*(1+V156)</f>
        <v>2.6413585304511153</v>
      </c>
      <c r="W155" s="822">
        <f>Table1[[#This Row],[2035]]*(1+W156)</f>
        <v>2.7338060790169041</v>
      </c>
      <c r="X155" s="822">
        <f>Table1[[#This Row],[2036]]*(1+X156)</f>
        <v>2.8294892917824956</v>
      </c>
      <c r="Y155" s="822">
        <f>Table1[[#This Row],[2037]]*(1+Y156)</f>
        <v>2.9285214169948826</v>
      </c>
      <c r="Z155" s="822">
        <f>Table1[[#This Row],[2038]]*(1+Z156)</f>
        <v>3.0310196665897031</v>
      </c>
      <c r="AA155" s="822">
        <f>Table1[[#This Row],[2039]]*(1+AA156)</f>
        <v>3.1371053549203425</v>
      </c>
      <c r="AB155" s="822">
        <f>Table1[[#This Row],[2040]]*(1+AB156)</f>
        <v>3.2469040423425541</v>
      </c>
      <c r="AC155" s="822">
        <f>Table1[[#This Row],[2041]]*(1+AC156)</f>
        <v>3.3605456838245433</v>
      </c>
      <c r="AD155" s="822">
        <f>Table1[[#This Row],[2042]]*(1+AD156)</f>
        <v>3.4781647827584021</v>
      </c>
      <c r="AE155" s="822">
        <f>Table1[[#This Row],[2043]]*(1+AE156)</f>
        <v>3.5999005501549459</v>
      </c>
      <c r="AF155" s="822">
        <f>Table1[[#This Row],[2044]]*(1+AF156)</f>
        <v>3.7258970694103688</v>
      </c>
      <c r="AG155" s="822">
        <f>Table1[[#This Row],[2045]]*(1+AG156)</f>
        <v>3.8563034668397314</v>
      </c>
      <c r="AH155" s="822">
        <f>Table1[[#This Row],[2046]]*(1+AH156)</f>
        <v>3.9912740881791215</v>
      </c>
      <c r="AI155" s="822">
        <f>Table1[[#This Row],[2047]]*(1+AI156)</f>
        <v>4.1309686812653901</v>
      </c>
      <c r="AJ155" s="1180">
        <f>Table1[[#This Row],[2048]]*(1+AJ156)</f>
        <v>4.2755525851096783</v>
      </c>
    </row>
    <row r="156" spans="2:36" ht="12.75" customHeight="1">
      <c r="B156" s="1207"/>
      <c r="C156" s="1162" t="s">
        <v>559</v>
      </c>
      <c r="D156" s="866"/>
      <c r="E156" s="863">
        <f>E155/F155-1</f>
        <v>0.5368474923234392</v>
      </c>
      <c r="F156" s="863">
        <f>F155/G155-1</f>
        <v>0.41389290882778584</v>
      </c>
      <c r="G156" s="863">
        <f>G155/H155-1</f>
        <v>-4.8209366391184671E-2</v>
      </c>
      <c r="H156" s="863">
        <f>H155/D155-1</f>
        <v>3.5663338088445018E-2</v>
      </c>
      <c r="I156" s="863">
        <f>I155/E155-1</f>
        <v>-5.2614052614052609E-2</v>
      </c>
      <c r="J156" s="1150">
        <f>AVERAGE(Table1[[#This Row],[2018]:[2023]])</f>
        <v>0.17711606404688657</v>
      </c>
      <c r="K156" s="1219">
        <v>-0.15</v>
      </c>
      <c r="L156" s="1213">
        <v>-0.08</v>
      </c>
      <c r="M156" s="1139">
        <v>-1.4999999999999999E-2</v>
      </c>
      <c r="N156" s="1139">
        <v>-1.4999999999999999E-2</v>
      </c>
      <c r="O156" s="1143">
        <v>0.01</v>
      </c>
      <c r="P156" s="1143">
        <v>0.01</v>
      </c>
      <c r="Q156" s="1143">
        <v>0.01</v>
      </c>
      <c r="R156" s="1145">
        <v>3.5000000000000003E-2</v>
      </c>
      <c r="S156" s="1145">
        <v>3.5000000000000003E-2</v>
      </c>
      <c r="T156" s="1145">
        <v>3.5000000000000003E-2</v>
      </c>
      <c r="U156" s="1145">
        <v>3.5000000000000003E-2</v>
      </c>
      <c r="V156" s="1145">
        <v>3.5000000000000003E-2</v>
      </c>
      <c r="W156" s="1145">
        <v>3.5000000000000003E-2</v>
      </c>
      <c r="X156" s="1145">
        <v>3.5000000000000003E-2</v>
      </c>
      <c r="Y156" s="1145">
        <v>3.5000000000000003E-2</v>
      </c>
      <c r="Z156" s="1145">
        <v>3.5000000000000003E-2</v>
      </c>
      <c r="AA156" s="1145">
        <v>3.5000000000000003E-2</v>
      </c>
      <c r="AB156" s="1145">
        <v>3.5000000000000003E-2</v>
      </c>
      <c r="AC156" s="1145">
        <v>3.5000000000000003E-2</v>
      </c>
      <c r="AD156" s="1145">
        <v>3.5000000000000003E-2</v>
      </c>
      <c r="AE156" s="1145">
        <v>3.5000000000000003E-2</v>
      </c>
      <c r="AF156" s="1145">
        <v>3.5000000000000003E-2</v>
      </c>
      <c r="AG156" s="1145">
        <v>3.5000000000000003E-2</v>
      </c>
      <c r="AH156" s="1145">
        <v>3.5000000000000003E-2</v>
      </c>
      <c r="AI156" s="1145">
        <v>3.5000000000000003E-2</v>
      </c>
      <c r="AJ156" s="1181">
        <v>3.5000000000000003E-2</v>
      </c>
    </row>
    <row r="157" spans="2:36" ht="12.75" customHeight="1" thickBot="1">
      <c r="B157" s="1207"/>
      <c r="C157" s="1169" t="s">
        <v>182</v>
      </c>
      <c r="D157" s="1170">
        <f t="shared" ref="D157:I157" si="36">D151/D166</f>
        <v>2.7113036312155275E-4</v>
      </c>
      <c r="E157" s="1171">
        <f t="shared" si="36"/>
        <v>3.6279048412131225E-4</v>
      </c>
      <c r="F157" s="1171">
        <f t="shared" si="36"/>
        <v>2.6663631358445148E-4</v>
      </c>
      <c r="G157" s="1171">
        <f t="shared" si="36"/>
        <v>3.2886432343352481E-4</v>
      </c>
      <c r="H157" s="1171">
        <f t="shared" si="36"/>
        <v>3.0944742757690543E-4</v>
      </c>
      <c r="I157" s="1171">
        <f t="shared" si="36"/>
        <v>3.675592906449159E-4</v>
      </c>
      <c r="J157" s="1172">
        <f>AVERAGE(Table1[[#This Row],[2018]:[2023]])</f>
        <v>3.1773803374711044E-4</v>
      </c>
      <c r="K157" s="1220">
        <f t="shared" ref="K157:AJ157" si="37">K151/K166</f>
        <v>0.3440875922795712</v>
      </c>
      <c r="L157" s="1221">
        <f t="shared" si="37"/>
        <v>0.323455447629933</v>
      </c>
      <c r="M157" s="1173">
        <f t="shared" si="37"/>
        <v>0.31957630536123377</v>
      </c>
      <c r="N157" s="1173">
        <f t="shared" si="37"/>
        <v>0.31572172801306581</v>
      </c>
      <c r="O157" s="1174">
        <f t="shared" si="37"/>
        <v>0.31706857923591819</v>
      </c>
      <c r="P157" s="1174">
        <f t="shared" si="37"/>
        <v>0.31853151207797142</v>
      </c>
      <c r="Q157" s="1174">
        <f t="shared" si="37"/>
        <v>0.31900614454219989</v>
      </c>
      <c r="R157" s="1174">
        <f t="shared" si="37"/>
        <v>0.33219398113662157</v>
      </c>
      <c r="S157" s="1174">
        <f t="shared" si="37"/>
        <v>0.34573773498584059</v>
      </c>
      <c r="T157" s="1174">
        <f t="shared" si="37"/>
        <v>0.35952551258960941</v>
      </c>
      <c r="U157" s="1174">
        <f t="shared" si="37"/>
        <v>0.37353837925714495</v>
      </c>
      <c r="V157" s="1174">
        <f t="shared" si="37"/>
        <v>0.38775598790931748</v>
      </c>
      <c r="W157" s="1174">
        <f t="shared" si="37"/>
        <v>0.40215668005610072</v>
      </c>
      <c r="X157" s="1174">
        <f t="shared" si="37"/>
        <v>0.41671760418829301</v>
      </c>
      <c r="Y157" s="1174">
        <f t="shared" si="37"/>
        <v>0.4314148504411191</v>
      </c>
      <c r="Z157" s="1174">
        <f t="shared" si="37"/>
        <v>0.44622360001532169</v>
      </c>
      <c r="AA157" s="1174">
        <f t="shared" si="37"/>
        <v>0.45998397032009619</v>
      </c>
      <c r="AB157" s="1174">
        <f t="shared" si="37"/>
        <v>0.47374273176550974</v>
      </c>
      <c r="AC157" s="1174">
        <f t="shared" si="37"/>
        <v>0.48753174985564207</v>
      </c>
      <c r="AD157" s="1174">
        <f t="shared" si="37"/>
        <v>0.50133023865202364</v>
      </c>
      <c r="AE157" s="1174">
        <f t="shared" si="37"/>
        <v>0.5151173809335533</v>
      </c>
      <c r="AF157" s="1174">
        <f t="shared" si="37"/>
        <v>0.52887245303141672</v>
      </c>
      <c r="AG157" s="1174">
        <f t="shared" si="37"/>
        <v>0.54257494831591502</v>
      </c>
      <c r="AH157" s="1174">
        <f t="shared" si="37"/>
        <v>0.55620469778095405</v>
      </c>
      <c r="AI157" s="1174">
        <f t="shared" si="37"/>
        <v>0.56974198623659089</v>
      </c>
      <c r="AJ157" s="1175">
        <f t="shared" si="37"/>
        <v>0.58316766271589704</v>
      </c>
    </row>
    <row r="158" spans="2:36" ht="12.75" customHeight="1" thickBot="1">
      <c r="B158" s="1163"/>
      <c r="C158" s="1202"/>
      <c r="D158" s="833"/>
      <c r="E158" s="1210"/>
      <c r="F158" s="833"/>
      <c r="G158" s="1210"/>
      <c r="H158" s="1210"/>
      <c r="I158" s="833"/>
      <c r="J158" s="1211"/>
      <c r="K158" s="1222"/>
      <c r="L158" s="1222"/>
      <c r="M158" s="1210"/>
      <c r="N158" s="1210"/>
      <c r="O158" s="1210"/>
      <c r="P158" s="1210"/>
      <c r="Q158" s="1210"/>
      <c r="R158" s="1210"/>
      <c r="S158" s="1210"/>
      <c r="T158" s="1210"/>
      <c r="U158" s="1210"/>
      <c r="V158" s="1210"/>
      <c r="W158" s="1210"/>
      <c r="X158" s="1210"/>
      <c r="Y158" s="1210"/>
      <c r="Z158" s="1210"/>
      <c r="AA158" s="1210"/>
      <c r="AB158" s="1210"/>
      <c r="AC158" s="1210"/>
      <c r="AD158" s="1210"/>
      <c r="AE158" s="1210"/>
      <c r="AF158" s="1210"/>
      <c r="AG158" s="1210"/>
      <c r="AH158" s="1210"/>
      <c r="AI158" s="1210"/>
      <c r="AJ158" s="1210"/>
    </row>
    <row r="159" spans="2:36" ht="15.95" customHeight="1">
      <c r="B159" s="1206">
        <v>5.3829713373913082E-2</v>
      </c>
      <c r="C159" s="1176" t="s">
        <v>188</v>
      </c>
      <c r="D159" s="1182">
        <v>2.02556</v>
      </c>
      <c r="E159" s="1182">
        <v>2.2622810000000002</v>
      </c>
      <c r="F159" s="1182">
        <v>2.6105999999999998</v>
      </c>
      <c r="G159" s="1182">
        <v>1.4072830000000001</v>
      </c>
      <c r="H159" s="1182">
        <v>1.664844</v>
      </c>
      <c r="I159" s="1182">
        <v>1.861</v>
      </c>
      <c r="J159" s="1178"/>
      <c r="K159" s="1242">
        <f t="shared" ref="K159:AJ159" si="38">K161*K163*1000</f>
        <v>1853.5634439999999</v>
      </c>
      <c r="L159" s="1242">
        <f t="shared" si="38"/>
        <v>1846.1566044777758</v>
      </c>
      <c r="M159" s="1242">
        <f t="shared" si="38"/>
        <v>1838.7627472768422</v>
      </c>
      <c r="N159" s="1242">
        <f t="shared" si="38"/>
        <v>1831.398502473998</v>
      </c>
      <c r="O159" s="1242">
        <f t="shared" si="38"/>
        <v>1842.4421115341427</v>
      </c>
      <c r="P159" s="1242">
        <f t="shared" si="38"/>
        <v>1842.4421115341427</v>
      </c>
      <c r="Q159" s="1242">
        <f t="shared" si="38"/>
        <v>1842.4421115341427</v>
      </c>
      <c r="R159" s="1242">
        <f t="shared" si="38"/>
        <v>1851.6524741352528</v>
      </c>
      <c r="S159" s="1242">
        <f t="shared" si="38"/>
        <v>1851.6524741352528</v>
      </c>
      <c r="T159" s="1242">
        <f t="shared" si="38"/>
        <v>1851.6524741352528</v>
      </c>
      <c r="U159" s="1242">
        <f t="shared" si="38"/>
        <v>1851.6524741352528</v>
      </c>
      <c r="V159" s="1242">
        <f t="shared" si="38"/>
        <v>1851.6524741352528</v>
      </c>
      <c r="W159" s="1242">
        <f t="shared" si="38"/>
        <v>1851.6524741352528</v>
      </c>
      <c r="X159" s="1242">
        <f t="shared" si="38"/>
        <v>1851.6524741352528</v>
      </c>
      <c r="Y159" s="1242">
        <f t="shared" si="38"/>
        <v>1851.6524741352528</v>
      </c>
      <c r="Z159" s="1242">
        <f t="shared" si="38"/>
        <v>1851.6524741352528</v>
      </c>
      <c r="AA159" s="1242">
        <f t="shared" si="38"/>
        <v>1846.123314554191</v>
      </c>
      <c r="AB159" s="1242">
        <f t="shared" si="38"/>
        <v>1846.123314554191</v>
      </c>
      <c r="AC159" s="1242">
        <f t="shared" si="38"/>
        <v>1846.123314554191</v>
      </c>
      <c r="AD159" s="1242">
        <f t="shared" si="38"/>
        <v>1846.123314554191</v>
      </c>
      <c r="AE159" s="1242">
        <f t="shared" si="38"/>
        <v>1846.123314554191</v>
      </c>
      <c r="AF159" s="1242">
        <f t="shared" si="38"/>
        <v>1846.123314554191</v>
      </c>
      <c r="AG159" s="1242">
        <f t="shared" si="38"/>
        <v>1846.123314554191</v>
      </c>
      <c r="AH159" s="1242">
        <f t="shared" si="38"/>
        <v>1846.123314554191</v>
      </c>
      <c r="AI159" s="1242">
        <f t="shared" si="38"/>
        <v>1846.123314554191</v>
      </c>
      <c r="AJ159" s="1242">
        <f t="shared" si="38"/>
        <v>1846.123314554191</v>
      </c>
    </row>
    <row r="160" spans="2:36" ht="15.95" customHeight="1">
      <c r="B160" s="1207"/>
      <c r="C160" s="1162" t="s">
        <v>559</v>
      </c>
      <c r="D160" s="866"/>
      <c r="E160" s="863">
        <f>E159/F159-1</f>
        <v>-0.13342488316862011</v>
      </c>
      <c r="F160" s="863">
        <f>F159/G159-1</f>
        <v>0.85506397789215094</v>
      </c>
      <c r="G160" s="863">
        <f>G159/H159-1</f>
        <v>-0.15470578624784059</v>
      </c>
      <c r="H160" s="863">
        <f>H159/D159-1</f>
        <v>-0.17808211062619717</v>
      </c>
      <c r="I160" s="863">
        <f>I159/E159-1</f>
        <v>-0.1773789374529513</v>
      </c>
      <c r="J160" s="1153">
        <f>AVERAGE(Table1[[#This Row],[2018]:[2019]])</f>
        <v>9.7212799462373267E-2</v>
      </c>
      <c r="K160" s="1239">
        <f>K159/I159-1</f>
        <v>995.00399999999991</v>
      </c>
      <c r="L160" s="1239">
        <f t="shared" ref="L160:AJ160" si="39">L159/K159-1</f>
        <v>-3.9960000000001106E-3</v>
      </c>
      <c r="M160" s="1240">
        <f t="shared" si="39"/>
        <v>-4.0050000000000363E-3</v>
      </c>
      <c r="N160" s="1240">
        <f t="shared" si="39"/>
        <v>-4.0050000000002584E-3</v>
      </c>
      <c r="O160" s="1240">
        <f t="shared" si="39"/>
        <v>6.0301507537687815E-3</v>
      </c>
      <c r="P160" s="1240">
        <f t="shared" si="39"/>
        <v>0</v>
      </c>
      <c r="Q160" s="1240">
        <f t="shared" si="39"/>
        <v>0</v>
      </c>
      <c r="R160" s="1240">
        <f t="shared" si="39"/>
        <v>4.9989970069892475E-3</v>
      </c>
      <c r="S160" s="1240">
        <f t="shared" si="39"/>
        <v>0</v>
      </c>
      <c r="T160" s="1240">
        <f t="shared" si="39"/>
        <v>0</v>
      </c>
      <c r="U160" s="1240">
        <f t="shared" si="39"/>
        <v>0</v>
      </c>
      <c r="V160" s="1240">
        <f t="shared" si="39"/>
        <v>0</v>
      </c>
      <c r="W160" s="1240">
        <f t="shared" si="39"/>
        <v>0</v>
      </c>
      <c r="X160" s="1240">
        <f t="shared" si="39"/>
        <v>0</v>
      </c>
      <c r="Y160" s="1240">
        <f t="shared" si="39"/>
        <v>0</v>
      </c>
      <c r="Z160" s="1240">
        <f t="shared" si="39"/>
        <v>0</v>
      </c>
      <c r="AA160" s="1240">
        <f t="shared" si="39"/>
        <v>-2.986067665663894E-3</v>
      </c>
      <c r="AB160" s="1240">
        <f t="shared" si="39"/>
        <v>0</v>
      </c>
      <c r="AC160" s="1240">
        <f t="shared" si="39"/>
        <v>0</v>
      </c>
      <c r="AD160" s="1240">
        <f t="shared" si="39"/>
        <v>0</v>
      </c>
      <c r="AE160" s="1240">
        <f t="shared" si="39"/>
        <v>0</v>
      </c>
      <c r="AF160" s="1240">
        <f t="shared" si="39"/>
        <v>0</v>
      </c>
      <c r="AG160" s="1240">
        <f t="shared" si="39"/>
        <v>0</v>
      </c>
      <c r="AH160" s="1240">
        <f t="shared" si="39"/>
        <v>0</v>
      </c>
      <c r="AI160" s="1240">
        <f t="shared" si="39"/>
        <v>0</v>
      </c>
      <c r="AJ160" s="1241">
        <f t="shared" si="39"/>
        <v>0</v>
      </c>
    </row>
    <row r="161" spans="1:36" ht="12.75" customHeight="1">
      <c r="B161" s="1207"/>
      <c r="C161" s="1183" t="s">
        <v>599</v>
      </c>
      <c r="D161" s="867">
        <v>3.1629999999999998</v>
      </c>
      <c r="E161" s="867">
        <v>2.3090000000000002</v>
      </c>
      <c r="F161" s="867">
        <v>2.972</v>
      </c>
      <c r="G161" s="867">
        <v>2.6760000000000002</v>
      </c>
      <c r="H161" s="867">
        <v>3.133</v>
      </c>
      <c r="I161" s="867">
        <v>2.1669999999999998</v>
      </c>
      <c r="J161" s="1151"/>
      <c r="K161" s="1223">
        <f>Table1[[#This Row],[2023]]*(1+K162)</f>
        <v>2.1626659999999998</v>
      </c>
      <c r="L161" s="1223">
        <f>Table1[[#This Row],[2024(FWD)]]*(1+L162)</f>
        <v>2.1583406679999997</v>
      </c>
      <c r="M161" s="1154">
        <f>Table1[[#This Row],[2025(FWD)]]*(1+M162)</f>
        <v>2.1475489646599999</v>
      </c>
      <c r="N161" s="1154">
        <f>Table1[[#This Row],[2026]]*(1+N162)</f>
        <v>2.1368112198366997</v>
      </c>
      <c r="O161" s="1154">
        <f>Table1[[#This Row],[2026]]*(1+O162)</f>
        <v>2.1496965136246597</v>
      </c>
      <c r="P161" s="1154">
        <f>Table1[[#This Row],[2026]]*(1+P162)</f>
        <v>2.1496965136246597</v>
      </c>
      <c r="Q161" s="1154">
        <f>Table1[[#This Row],[2026]]*(1+Q162)</f>
        <v>2.1496965136246597</v>
      </c>
      <c r="R161" s="1154">
        <f>Table1[[#This Row],[2026]]*(1+R162)</f>
        <v>2.1582867094832996</v>
      </c>
      <c r="S161" s="1154">
        <f>Table1[[#This Row],[2026]]*(1+S162)</f>
        <v>2.1582867094832996</v>
      </c>
      <c r="T161" s="1154">
        <f>Table1[[#This Row],[2026]]*(1+T162)</f>
        <v>2.1582867094832996</v>
      </c>
      <c r="U161" s="1154">
        <f>Table1[[#This Row],[2026]]*(1+U162)</f>
        <v>2.1582867094832996</v>
      </c>
      <c r="V161" s="1154">
        <f>Table1[[#This Row],[2026]]*(1+V162)</f>
        <v>2.1582867094832996</v>
      </c>
      <c r="W161" s="1154">
        <f>Table1[[#This Row],[2026]]*(1+W162)</f>
        <v>2.1582867094832996</v>
      </c>
      <c r="X161" s="1154">
        <f>Table1[[#This Row],[2026]]*(1+X162)</f>
        <v>2.1582867094832996</v>
      </c>
      <c r="Y161" s="1154">
        <f>Table1[[#This Row],[2026]]*(1+Y162)</f>
        <v>2.1582867094832996</v>
      </c>
      <c r="Z161" s="1154">
        <f>Table1[[#This Row],[2026]]*(1+Z162)</f>
        <v>2.1582867094832996</v>
      </c>
      <c r="AA161" s="1154">
        <f>Table1[[#This Row],[2026]]*(1+AA162)</f>
        <v>2.1539916115539794</v>
      </c>
      <c r="AB161" s="1154">
        <f>Table1[[#This Row],[2026]]*(1+AB162)</f>
        <v>2.1539916115539794</v>
      </c>
      <c r="AC161" s="1154">
        <f>Table1[[#This Row],[2026]]*(1+AC162)</f>
        <v>2.1539916115539794</v>
      </c>
      <c r="AD161" s="1154">
        <f>Table1[[#This Row],[2026]]*(1+AD162)</f>
        <v>2.1539916115539794</v>
      </c>
      <c r="AE161" s="1154">
        <f>Table1[[#This Row],[2026]]*(1+AE162)</f>
        <v>2.1539916115539794</v>
      </c>
      <c r="AF161" s="1154">
        <f>Table1[[#This Row],[2026]]*(1+AF162)</f>
        <v>2.1539916115539794</v>
      </c>
      <c r="AG161" s="1154">
        <f>Table1[[#This Row],[2026]]*(1+AG162)</f>
        <v>2.1539916115539794</v>
      </c>
      <c r="AH161" s="1154">
        <f>Table1[[#This Row],[2026]]*(1+AH162)</f>
        <v>2.1539916115539794</v>
      </c>
      <c r="AI161" s="1154">
        <f>Table1[[#This Row],[2026]]*(1+AI162)</f>
        <v>2.1539916115539794</v>
      </c>
      <c r="AJ161" s="1184">
        <f>Table1[[#This Row],[2026]]*(1+AJ162)</f>
        <v>2.1539916115539794</v>
      </c>
    </row>
    <row r="162" spans="1:36" ht="12.75" customHeight="1">
      <c r="B162" s="1207"/>
      <c r="C162" s="1185" t="s">
        <v>559</v>
      </c>
      <c r="D162" s="1166"/>
      <c r="E162" s="819">
        <f>E161/F161-1</f>
        <v>-0.22308209959623149</v>
      </c>
      <c r="F162" s="819">
        <f>F161/G161-1</f>
        <v>0.11061285500747386</v>
      </c>
      <c r="G162" s="819">
        <f>G161/H161-1</f>
        <v>-0.14586658155122878</v>
      </c>
      <c r="H162" s="819">
        <f>H161/D161-1</f>
        <v>-9.4846664558961846E-3</v>
      </c>
      <c r="I162" s="819">
        <f>I161/E161-1</f>
        <v>-6.1498484192291203E-2</v>
      </c>
      <c r="J162" s="1150">
        <f>AVERAGE(Table1[[#This Row],[2018]:[2023]])</f>
        <v>-6.5863795357634758E-2</v>
      </c>
      <c r="K162" s="1224">
        <v>-2E-3</v>
      </c>
      <c r="L162" s="1224">
        <v>-2E-3</v>
      </c>
      <c r="M162" s="1146">
        <v>-5.0000000000000001E-3</v>
      </c>
      <c r="N162" s="1146">
        <v>-5.0000000000000001E-3</v>
      </c>
      <c r="O162" s="1146">
        <v>1E-3</v>
      </c>
      <c r="P162" s="1146">
        <v>1E-3</v>
      </c>
      <c r="Q162" s="1146">
        <v>1E-3</v>
      </c>
      <c r="R162" s="1146">
        <v>5.0000000000000001E-3</v>
      </c>
      <c r="S162" s="1146">
        <v>5.0000000000000001E-3</v>
      </c>
      <c r="T162" s="1146">
        <v>5.0000000000000001E-3</v>
      </c>
      <c r="U162" s="1146">
        <v>5.0000000000000001E-3</v>
      </c>
      <c r="V162" s="1146">
        <v>5.0000000000000001E-3</v>
      </c>
      <c r="W162" s="1146">
        <v>5.0000000000000001E-3</v>
      </c>
      <c r="X162" s="1146">
        <v>5.0000000000000001E-3</v>
      </c>
      <c r="Y162" s="1146">
        <v>5.0000000000000001E-3</v>
      </c>
      <c r="Z162" s="1146">
        <v>5.0000000000000001E-3</v>
      </c>
      <c r="AA162" s="1146">
        <v>3.0000000000000001E-3</v>
      </c>
      <c r="AB162" s="1146">
        <v>3.0000000000000001E-3</v>
      </c>
      <c r="AC162" s="1146">
        <v>3.0000000000000001E-3</v>
      </c>
      <c r="AD162" s="1146">
        <v>3.0000000000000001E-3</v>
      </c>
      <c r="AE162" s="1146">
        <v>3.0000000000000001E-3</v>
      </c>
      <c r="AF162" s="1146">
        <v>3.0000000000000001E-3</v>
      </c>
      <c r="AG162" s="1146">
        <v>3.0000000000000001E-3</v>
      </c>
      <c r="AH162" s="1146">
        <v>3.0000000000000001E-3</v>
      </c>
      <c r="AI162" s="1146">
        <v>3.0000000000000001E-3</v>
      </c>
      <c r="AJ162" s="1146">
        <v>3.0000000000000001E-3</v>
      </c>
    </row>
    <row r="163" spans="1:36" ht="12.75" customHeight="1">
      <c r="B163" s="1207"/>
      <c r="C163" s="1186" t="s">
        <v>600</v>
      </c>
      <c r="D163" s="1264">
        <f t="shared" ref="D163:I163" si="40">D159/D161</f>
        <v>0.6403920328801771</v>
      </c>
      <c r="E163" s="1264">
        <f t="shared" si="40"/>
        <v>0.97976656561281938</v>
      </c>
      <c r="F163" s="1264">
        <f t="shared" si="40"/>
        <v>0.87839838492597577</v>
      </c>
      <c r="G163" s="1264">
        <f t="shared" si="40"/>
        <v>0.52589050822122574</v>
      </c>
      <c r="H163" s="1264">
        <f t="shared" si="40"/>
        <v>0.53138972231088411</v>
      </c>
      <c r="I163" s="1264">
        <f t="shared" si="40"/>
        <v>0.85879095523765581</v>
      </c>
      <c r="J163" s="1149"/>
      <c r="K163" s="1215">
        <f>Table1[[#This Row],[2023]]*(1+K164)</f>
        <v>0.85707337332718048</v>
      </c>
      <c r="L163" s="1215">
        <f>Table1[[#This Row],[2024(FWD)]]*(1+L164)</f>
        <v>0.8553592265805261</v>
      </c>
      <c r="M163" s="1155">
        <f>Table1[[#This Row],[2025(FWD)]]*(1+M164)</f>
        <v>0.85621458580710652</v>
      </c>
      <c r="N163" s="1155">
        <f>Table1[[#This Row],[2026]]*(1+N164)</f>
        <v>0.8570708003929135</v>
      </c>
      <c r="O163" s="1155">
        <f>Table1[[#This Row],[2026]]*(1+O164)</f>
        <v>0.8570708003929135</v>
      </c>
      <c r="P163" s="1155">
        <f>Table1[[#This Row],[2026]]*(1+P164)</f>
        <v>0.8570708003929135</v>
      </c>
      <c r="Q163" s="1155">
        <f>Table1[[#This Row],[2026]]*(1+Q164)</f>
        <v>0.8570708003929135</v>
      </c>
      <c r="R163" s="1155">
        <f>Table1[[#This Row],[2026]]*(1+R164)</f>
        <v>0.8579270149787207</v>
      </c>
      <c r="S163" s="1155">
        <f>Table1[[#This Row],[2026]]*(1+S164)</f>
        <v>0.8579270149787207</v>
      </c>
      <c r="T163" s="1155">
        <f>Table1[[#This Row],[2026]]*(1+T164)</f>
        <v>0.8579270149787207</v>
      </c>
      <c r="U163" s="1155">
        <f>Table1[[#This Row],[2026]]*(1+U164)</f>
        <v>0.8579270149787207</v>
      </c>
      <c r="V163" s="1155">
        <f>Table1[[#This Row],[2026]]*(1+V164)</f>
        <v>0.8579270149787207</v>
      </c>
      <c r="W163" s="1155">
        <f>Table1[[#This Row],[2026]]*(1+W164)</f>
        <v>0.8579270149787207</v>
      </c>
      <c r="X163" s="1155">
        <f>Table1[[#This Row],[2026]]*(1+X164)</f>
        <v>0.8579270149787207</v>
      </c>
      <c r="Y163" s="1155">
        <f>Table1[[#This Row],[2026]]*(1+Y164)</f>
        <v>0.8579270149787207</v>
      </c>
      <c r="Z163" s="1155">
        <f>Table1[[#This Row],[2026]]*(1+Z164)</f>
        <v>0.8579270149787207</v>
      </c>
      <c r="AA163" s="1155">
        <f>Table1[[#This Row],[2026]]*(1+AA164)</f>
        <v>0.8570708003929135</v>
      </c>
      <c r="AB163" s="1155">
        <f>Table1[[#This Row],[2026]]*(1+AB164)</f>
        <v>0.8570708003929135</v>
      </c>
      <c r="AC163" s="1155">
        <f>Table1[[#This Row],[2026]]*(1+AC164)</f>
        <v>0.8570708003929135</v>
      </c>
      <c r="AD163" s="1155">
        <f>Table1[[#This Row],[2026]]*(1+AD164)</f>
        <v>0.8570708003929135</v>
      </c>
      <c r="AE163" s="1155">
        <f>Table1[[#This Row],[2026]]*(1+AE164)</f>
        <v>0.8570708003929135</v>
      </c>
      <c r="AF163" s="1155">
        <f>Table1[[#This Row],[2026]]*(1+AF164)</f>
        <v>0.8570708003929135</v>
      </c>
      <c r="AG163" s="1155">
        <f>Table1[[#This Row],[2026]]*(1+AG164)</f>
        <v>0.8570708003929135</v>
      </c>
      <c r="AH163" s="1155">
        <f>Table1[[#This Row],[2026]]*(1+AH164)</f>
        <v>0.8570708003929135</v>
      </c>
      <c r="AI163" s="1155">
        <f>Table1[[#This Row],[2026]]*(1+AI164)</f>
        <v>0.8570708003929135</v>
      </c>
      <c r="AJ163" s="1187">
        <f>Table1[[#This Row],[2026]]*(1+AJ164)</f>
        <v>0.8570708003929135</v>
      </c>
    </row>
    <row r="164" spans="1:36" ht="12.75" customHeight="1">
      <c r="B164" s="1207"/>
      <c r="C164" s="1162" t="s">
        <v>559</v>
      </c>
      <c r="D164" s="866"/>
      <c r="E164" s="863">
        <f>E163/F163-1</f>
        <v>0.11540114648023403</v>
      </c>
      <c r="F164" s="863">
        <f>F163/G163-1</f>
        <v>0.67030659651392854</v>
      </c>
      <c r="G164" s="863">
        <f>G163/H163-1</f>
        <v>-1.0348740027834258E-2</v>
      </c>
      <c r="H164" s="863">
        <f>H163/D163-1</f>
        <v>-0.17021184676369683</v>
      </c>
      <c r="I164" s="863">
        <f>I163/E163-1</f>
        <v>-0.12347391166537347</v>
      </c>
      <c r="J164" s="1150">
        <f>AVERAGE(Table1[[#This Row],[2018]:[2023]])</f>
        <v>9.6334648907451609E-2</v>
      </c>
      <c r="K164" s="1213">
        <v>-2E-3</v>
      </c>
      <c r="L164" s="1213">
        <v>-2E-3</v>
      </c>
      <c r="M164" s="1146">
        <v>1E-3</v>
      </c>
      <c r="N164" s="1146">
        <v>1E-3</v>
      </c>
      <c r="O164" s="1146">
        <v>1E-3</v>
      </c>
      <c r="P164" s="1146">
        <v>1E-3</v>
      </c>
      <c r="Q164" s="1146">
        <v>1E-3</v>
      </c>
      <c r="R164" s="1146">
        <v>2E-3</v>
      </c>
      <c r="S164" s="1146">
        <v>2E-3</v>
      </c>
      <c r="T164" s="1146">
        <v>2E-3</v>
      </c>
      <c r="U164" s="1146">
        <v>2E-3</v>
      </c>
      <c r="V164" s="1146">
        <v>2E-3</v>
      </c>
      <c r="W164" s="1146">
        <v>2E-3</v>
      </c>
      <c r="X164" s="1146">
        <v>2E-3</v>
      </c>
      <c r="Y164" s="1146">
        <v>2E-3</v>
      </c>
      <c r="Z164" s="1146">
        <v>2E-3</v>
      </c>
      <c r="AA164" s="1146">
        <v>1E-3</v>
      </c>
      <c r="AB164" s="1146">
        <v>1E-3</v>
      </c>
      <c r="AC164" s="1146">
        <v>1E-3</v>
      </c>
      <c r="AD164" s="1146">
        <v>1E-3</v>
      </c>
      <c r="AE164" s="1146">
        <v>1E-3</v>
      </c>
      <c r="AF164" s="1146">
        <v>1E-3</v>
      </c>
      <c r="AG164" s="1146">
        <v>1E-3</v>
      </c>
      <c r="AH164" s="1146">
        <v>1E-3</v>
      </c>
      <c r="AI164" s="1146">
        <v>1E-3</v>
      </c>
      <c r="AJ164" s="1146">
        <v>1E-3</v>
      </c>
    </row>
    <row r="165" spans="1:36" ht="12.75" customHeight="1" thickBot="1">
      <c r="B165" s="1207"/>
      <c r="C165" s="1169" t="s">
        <v>182</v>
      </c>
      <c r="D165" s="1188">
        <f t="shared" ref="D165:I165" si="41">D159/D166</f>
        <v>8.0804934528000863E-5</v>
      </c>
      <c r="E165" s="1170">
        <f t="shared" si="41"/>
        <v>5.4496423929707671E-5</v>
      </c>
      <c r="F165" s="1189">
        <f t="shared" si="41"/>
        <v>7.1554773732079749E-5</v>
      </c>
      <c r="G165" s="1170">
        <f t="shared" si="41"/>
        <v>6.9877762341335019E-5</v>
      </c>
      <c r="H165" s="1170">
        <f t="shared" si="41"/>
        <v>7.3701999454775456E-5</v>
      </c>
      <c r="I165" s="1170">
        <f t="shared" si="41"/>
        <v>5.3611655317906018E-5</v>
      </c>
      <c r="J165" s="1190">
        <f>AVERAGE(Table1[[#This Row],[2018]:[2023]])</f>
        <v>6.7341258217300804E-5</v>
      </c>
      <c r="K165" s="1226">
        <f t="shared" ref="K165:AJ165" si="42">K159/K166</f>
        <v>5.9687002888162081E-2</v>
      </c>
      <c r="L165" s="1226">
        <f t="shared" si="42"/>
        <v>6.1668339432151303E-2</v>
      </c>
      <c r="M165" s="1191">
        <f t="shared" si="42"/>
        <v>6.2231187588399475E-2</v>
      </c>
      <c r="N165" s="1191">
        <f t="shared" si="42"/>
        <v>6.2794805794507288E-2</v>
      </c>
      <c r="O165" s="1191">
        <f t="shared" si="42"/>
        <v>6.1886516528150817E-2</v>
      </c>
      <c r="P165" s="1191">
        <f t="shared" si="42"/>
        <v>6.0646789935968781E-2</v>
      </c>
      <c r="Q165" s="1191">
        <f t="shared" si="42"/>
        <v>5.9247093165105909E-2</v>
      </c>
      <c r="R165" s="1191">
        <f t="shared" si="42"/>
        <v>5.7055266468998549E-2</v>
      </c>
      <c r="S165" s="1191">
        <f t="shared" si="42"/>
        <v>5.4641311187670662E-2</v>
      </c>
      <c r="T165" s="1191">
        <f t="shared" si="42"/>
        <v>5.228467286054525E-2</v>
      </c>
      <c r="U165" s="1191">
        <f t="shared" si="42"/>
        <v>4.9986216068059246E-2</v>
      </c>
      <c r="V165" s="1191">
        <f t="shared" si="42"/>
        <v>4.7746758869162638E-2</v>
      </c>
      <c r="W165" s="1191">
        <f t="shared" si="42"/>
        <v>4.5567061321925596E-2</v>
      </c>
      <c r="X165" s="1191">
        <f t="shared" si="42"/>
        <v>4.3447814242641679E-2</v>
      </c>
      <c r="Y165" s="1191">
        <f t="shared" si="42"/>
        <v>4.1389628388483056E-2</v>
      </c>
      <c r="Z165" s="1191">
        <f t="shared" si="42"/>
        <v>3.9393024247032719E-2</v>
      </c>
      <c r="AA165" s="1191">
        <f t="shared" si="42"/>
        <v>3.7432951553509501E-2</v>
      </c>
      <c r="AB165" s="1191">
        <f t="shared" si="42"/>
        <v>3.5644891283175724E-2</v>
      </c>
      <c r="AC165" s="1191">
        <f t="shared" si="42"/>
        <v>3.3915716628527659E-2</v>
      </c>
      <c r="AD165" s="1191">
        <f t="shared" si="42"/>
        <v>3.2245220763188934E-2</v>
      </c>
      <c r="AE165" s="1191">
        <f t="shared" si="42"/>
        <v>3.0633104869487959E-2</v>
      </c>
      <c r="AF165" s="1191">
        <f t="shared" si="42"/>
        <v>2.9078976757396235E-2</v>
      </c>
      <c r="AG165" s="1191">
        <f t="shared" si="42"/>
        <v>2.7582350374855416E-2</v>
      </c>
      <c r="AH165" s="1191">
        <f t="shared" si="42"/>
        <v>2.6142646212660395E-2</v>
      </c>
      <c r="AI165" s="1191">
        <f t="shared" si="42"/>
        <v>2.4759192591702874E-2</v>
      </c>
      <c r="AJ165" s="1192">
        <f t="shared" si="42"/>
        <v>2.3431227805506594E-2</v>
      </c>
    </row>
    <row r="166" spans="1:36" ht="18" customHeight="1">
      <c r="B166" s="1208">
        <f>SUM(B143:B159)</f>
        <v>0.99999999999999989</v>
      </c>
      <c r="C166" s="1203" t="s">
        <v>176</v>
      </c>
      <c r="D166" s="1193">
        <f t="shared" ref="D166:I166" si="43">SUM(D143,D151,D159)*1000</f>
        <v>25067.280999999999</v>
      </c>
      <c r="E166" s="1193">
        <f t="shared" si="43"/>
        <v>41512.467000000004</v>
      </c>
      <c r="F166" s="1194">
        <f t="shared" si="43"/>
        <v>36483.938999999998</v>
      </c>
      <c r="G166" s="1193">
        <f t="shared" si="43"/>
        <v>20139.210999999999</v>
      </c>
      <c r="H166" s="1193">
        <f t="shared" si="43"/>
        <v>22588.857999999997</v>
      </c>
      <c r="I166" s="1195">
        <f t="shared" si="43"/>
        <v>34712.601000000002</v>
      </c>
      <c r="J166" s="1196"/>
      <c r="K166" s="1227">
        <f t="shared" ref="K166:AJ166" si="44">SUM(K143,K151,K159)</f>
        <v>31054.724719099995</v>
      </c>
      <c r="L166" s="1228">
        <f t="shared" si="44"/>
        <v>29936.86260206427</v>
      </c>
      <c r="M166" s="1197">
        <f t="shared" si="44"/>
        <v>29547.286795143955</v>
      </c>
      <c r="N166" s="1197">
        <f t="shared" si="44"/>
        <v>29164.808765666919</v>
      </c>
      <c r="O166" s="1197">
        <f t="shared" si="44"/>
        <v>29771.301002150543</v>
      </c>
      <c r="P166" s="1197">
        <f t="shared" si="44"/>
        <v>30379.878530741749</v>
      </c>
      <c r="Q166" s="1197">
        <f t="shared" si="44"/>
        <v>31097.595056684822</v>
      </c>
      <c r="R166" s="1197">
        <f t="shared" si="44"/>
        <v>32453.664468316234</v>
      </c>
      <c r="S166" s="1197">
        <f t="shared" si="44"/>
        <v>33887.409249305536</v>
      </c>
      <c r="T166" s="1197">
        <f t="shared" si="44"/>
        <v>35414.823749094081</v>
      </c>
      <c r="U166" s="1197">
        <f t="shared" si="44"/>
        <v>37043.261518617779</v>
      </c>
      <c r="V166" s="1197">
        <f t="shared" si="44"/>
        <v>38780.694606082405</v>
      </c>
      <c r="W166" s="1197">
        <f t="shared" si="44"/>
        <v>40635.766723106397</v>
      </c>
      <c r="X166" s="1197">
        <f t="shared" si="44"/>
        <v>42617.851010740975</v>
      </c>
      <c r="Y166" s="1197">
        <f t="shared" si="44"/>
        <v>44737.112804097742</v>
      </c>
      <c r="Z166" s="1197">
        <f t="shared" si="44"/>
        <v>47004.577828896407</v>
      </c>
      <c r="AA166" s="1197">
        <f t="shared" si="44"/>
        <v>49318.133834976979</v>
      </c>
      <c r="AB166" s="1197">
        <f t="shared" si="44"/>
        <v>51792.087115315604</v>
      </c>
      <c r="AC166" s="1197">
        <f t="shared" si="44"/>
        <v>54432.67894865456</v>
      </c>
      <c r="AD166" s="1197">
        <f t="shared" si="44"/>
        <v>57252.618244180878</v>
      </c>
      <c r="AE166" s="1197">
        <f t="shared" si="44"/>
        <v>60265.628391884573</v>
      </c>
      <c r="AF166" s="1197">
        <f t="shared" si="44"/>
        <v>63486.529459281257</v>
      </c>
      <c r="AG166" s="1197">
        <f t="shared" si="44"/>
        <v>66931.327079259761</v>
      </c>
      <c r="AH166" s="1197">
        <f t="shared" si="44"/>
        <v>70617.308574529379</v>
      </c>
      <c r="AI166" s="1197">
        <f t="shared" si="44"/>
        <v>74563.146908629438</v>
      </c>
      <c r="AJ166" s="1198">
        <f t="shared" si="44"/>
        <v>78789.01310158112</v>
      </c>
    </row>
    <row r="167" spans="1:36" ht="19.5" customHeight="1" thickBot="1">
      <c r="B167" s="1209"/>
      <c r="C167" s="1204" t="s">
        <v>559</v>
      </c>
      <c r="D167" s="1199"/>
      <c r="E167" s="1200">
        <f>E166/D166-1</f>
        <v>0.65604187386737345</v>
      </c>
      <c r="F167" s="1200">
        <f t="shared" ref="F167:I167" si="45">F166/E166-1</f>
        <v>-0.12113295988889328</v>
      </c>
      <c r="G167" s="1200">
        <f t="shared" si="45"/>
        <v>-0.44799789847253058</v>
      </c>
      <c r="H167" s="1200">
        <f t="shared" si="45"/>
        <v>0.12163569863784618</v>
      </c>
      <c r="I167" s="1200">
        <f t="shared" si="45"/>
        <v>0.53671340977042781</v>
      </c>
      <c r="J167" s="1201"/>
      <c r="K167" s="1243">
        <f>K166/I166-1</f>
        <v>-0.10537603566209308</v>
      </c>
      <c r="L167" s="1244">
        <f>L166/K166-1</f>
        <v>-3.5996523142521775E-2</v>
      </c>
      <c r="M167" s="1244">
        <f t="shared" ref="M167:AJ167" si="46">M166/L166-1</f>
        <v>-1.3013247650522031E-2</v>
      </c>
      <c r="N167" s="1244">
        <f t="shared" si="46"/>
        <v>-1.2944607473735825E-2</v>
      </c>
      <c r="O167" s="1244">
        <f t="shared" si="46"/>
        <v>2.0795344188835996E-2</v>
      </c>
      <c r="P167" s="1244">
        <f t="shared" si="46"/>
        <v>2.0441751220319437E-2</v>
      </c>
      <c r="Q167" s="1244">
        <f t="shared" si="46"/>
        <v>2.362473323311054E-2</v>
      </c>
      <c r="R167" s="1244">
        <f t="shared" si="46"/>
        <v>4.3606890152102284E-2</v>
      </c>
      <c r="S167" s="1244">
        <f t="shared" si="46"/>
        <v>4.4178209286320547E-2</v>
      </c>
      <c r="T167" s="1244">
        <f t="shared" si="46"/>
        <v>4.5073215498757646E-2</v>
      </c>
      <c r="U167" s="1244">
        <f t="shared" si="46"/>
        <v>4.5981812053077276E-2</v>
      </c>
      <c r="V167" s="1244">
        <f t="shared" si="46"/>
        <v>4.6902810828128638E-2</v>
      </c>
      <c r="W167" s="1244">
        <f t="shared" si="46"/>
        <v>4.7834937869654315E-2</v>
      </c>
      <c r="X167" s="1244">
        <f t="shared" si="46"/>
        <v>4.8776839899209223E-2</v>
      </c>
      <c r="Y167" s="1244">
        <f t="shared" si="46"/>
        <v>4.9727091889796293E-2</v>
      </c>
      <c r="Z167" s="1244">
        <f t="shared" si="46"/>
        <v>5.0684205633202417E-2</v>
      </c>
      <c r="AA167" s="1244">
        <f t="shared" si="46"/>
        <v>4.921980183509489E-2</v>
      </c>
      <c r="AB167" s="1244">
        <f t="shared" si="46"/>
        <v>5.0163156793740393E-2</v>
      </c>
      <c r="AC167" s="1244">
        <f t="shared" si="46"/>
        <v>5.0984464624096892E-2</v>
      </c>
      <c r="AD167" s="1244">
        <f t="shared" si="46"/>
        <v>5.1805998712397106E-2</v>
      </c>
      <c r="AE167" s="1244">
        <f t="shared" si="46"/>
        <v>5.2626591413746038E-2</v>
      </c>
      <c r="AF167" s="1244">
        <f t="shared" si="46"/>
        <v>5.3445075631707972E-2</v>
      </c>
      <c r="AG167" s="1244">
        <f t="shared" si="46"/>
        <v>5.4260291896849111E-2</v>
      </c>
      <c r="AH167" s="1244">
        <f t="shared" si="46"/>
        <v>5.507109534679766E-2</v>
      </c>
      <c r="AI167" s="1244">
        <f t="shared" si="46"/>
        <v>5.58763625200418E-2</v>
      </c>
      <c r="AJ167" s="1245">
        <f t="shared" si="46"/>
        <v>5.6674997879718081E-2</v>
      </c>
    </row>
    <row r="168" spans="1:36" ht="12.75" customHeight="1" thickBot="1">
      <c r="F168" s="564"/>
    </row>
    <row r="169" spans="1:36" ht="12.75" customHeight="1" thickBot="1">
      <c r="G169" s="995">
        <v>2021</v>
      </c>
      <c r="H169" s="996">
        <v>2022</v>
      </c>
      <c r="I169" s="997">
        <v>2023</v>
      </c>
      <c r="J169" s="996" t="s">
        <v>601</v>
      </c>
      <c r="K169" s="995">
        <v>2024</v>
      </c>
      <c r="L169" s="1104">
        <v>2025</v>
      </c>
      <c r="M169" s="996">
        <v>2026</v>
      </c>
      <c r="N169" s="996">
        <v>2027</v>
      </c>
      <c r="O169" s="996">
        <v>2028</v>
      </c>
      <c r="P169" s="996">
        <v>2029</v>
      </c>
      <c r="Q169" s="996">
        <v>2030</v>
      </c>
      <c r="R169" s="996">
        <v>2031</v>
      </c>
      <c r="S169" s="996">
        <v>2032</v>
      </c>
      <c r="T169" s="996">
        <v>2033</v>
      </c>
      <c r="U169" s="996">
        <v>2034</v>
      </c>
      <c r="V169" s="996">
        <v>2035</v>
      </c>
      <c r="W169" s="996">
        <v>2036</v>
      </c>
      <c r="X169" s="996">
        <v>2037</v>
      </c>
      <c r="Y169" s="996">
        <v>2038</v>
      </c>
      <c r="Z169" s="996">
        <v>2039</v>
      </c>
      <c r="AA169" s="996">
        <v>2040</v>
      </c>
      <c r="AB169" s="996">
        <v>2041</v>
      </c>
      <c r="AC169" s="996">
        <v>2042</v>
      </c>
      <c r="AD169" s="996">
        <v>2043</v>
      </c>
      <c r="AE169" s="996">
        <v>2044</v>
      </c>
      <c r="AF169" s="996">
        <v>2045</v>
      </c>
      <c r="AG169" s="996">
        <v>2046</v>
      </c>
      <c r="AH169" s="996">
        <v>2047</v>
      </c>
      <c r="AI169" s="996">
        <v>2048</v>
      </c>
      <c r="AJ169" s="997">
        <v>2049</v>
      </c>
    </row>
    <row r="170" spans="1:36" ht="12.75" customHeight="1">
      <c r="F170" s="992" t="s">
        <v>123</v>
      </c>
      <c r="G170" s="1011">
        <f>'Fin. Data'!D5</f>
        <v>36484</v>
      </c>
      <c r="H170" s="1012">
        <f>'Fin. Data'!C5</f>
        <v>41512</v>
      </c>
      <c r="I170" s="1013">
        <f>'Fin. Data'!B5</f>
        <v>34714</v>
      </c>
      <c r="J170" s="1012"/>
      <c r="K170" s="1248">
        <f>K166</f>
        <v>31054.724719099995</v>
      </c>
      <c r="L170" s="1248">
        <f>L166</f>
        <v>29936.86260206427</v>
      </c>
      <c r="M170" s="1248">
        <f t="shared" ref="M170:AJ170" si="47">M166</f>
        <v>29547.286795143955</v>
      </c>
      <c r="N170" s="1248">
        <f t="shared" si="47"/>
        <v>29164.808765666919</v>
      </c>
      <c r="O170" s="1248">
        <f t="shared" si="47"/>
        <v>29771.301002150543</v>
      </c>
      <c r="P170" s="1248">
        <f t="shared" si="47"/>
        <v>30379.878530741749</v>
      </c>
      <c r="Q170" s="1248">
        <f t="shared" si="47"/>
        <v>31097.595056684822</v>
      </c>
      <c r="R170" s="1248">
        <f t="shared" si="47"/>
        <v>32453.664468316234</v>
      </c>
      <c r="S170" s="1248">
        <f t="shared" si="47"/>
        <v>33887.409249305536</v>
      </c>
      <c r="T170" s="1248">
        <f t="shared" si="47"/>
        <v>35414.823749094081</v>
      </c>
      <c r="U170" s="1248">
        <f t="shared" si="47"/>
        <v>37043.261518617779</v>
      </c>
      <c r="V170" s="1248">
        <f t="shared" si="47"/>
        <v>38780.694606082405</v>
      </c>
      <c r="W170" s="1248">
        <f t="shared" si="47"/>
        <v>40635.766723106397</v>
      </c>
      <c r="X170" s="1248">
        <f t="shared" si="47"/>
        <v>42617.851010740975</v>
      </c>
      <c r="Y170" s="1248">
        <f t="shared" si="47"/>
        <v>44737.112804097742</v>
      </c>
      <c r="Z170" s="1248">
        <f t="shared" si="47"/>
        <v>47004.577828896407</v>
      </c>
      <c r="AA170" s="1248">
        <f t="shared" si="47"/>
        <v>49318.133834976979</v>
      </c>
      <c r="AB170" s="1248">
        <f t="shared" si="47"/>
        <v>51792.087115315604</v>
      </c>
      <c r="AC170" s="1248">
        <f t="shared" si="47"/>
        <v>54432.67894865456</v>
      </c>
      <c r="AD170" s="1248">
        <f t="shared" si="47"/>
        <v>57252.618244180878</v>
      </c>
      <c r="AE170" s="1248">
        <f t="shared" si="47"/>
        <v>60265.628391884573</v>
      </c>
      <c r="AF170" s="1248">
        <f t="shared" si="47"/>
        <v>63486.529459281257</v>
      </c>
      <c r="AG170" s="1248">
        <f t="shared" si="47"/>
        <v>66931.327079259761</v>
      </c>
      <c r="AH170" s="1248">
        <f t="shared" si="47"/>
        <v>70617.308574529379</v>
      </c>
      <c r="AI170" s="1248">
        <f t="shared" si="47"/>
        <v>74563.146908629438</v>
      </c>
      <c r="AJ170" s="1248">
        <f t="shared" si="47"/>
        <v>78789.01310158112</v>
      </c>
    </row>
    <row r="171" spans="1:36" ht="12.75" customHeight="1">
      <c r="F171" s="993" t="s">
        <v>559</v>
      </c>
      <c r="G171" s="998"/>
      <c r="H171" s="999">
        <f>H170/G170-1</f>
        <v>0.1378138362021708</v>
      </c>
      <c r="I171" s="1000">
        <f>I170/H170-1</f>
        <v>-0.16375987666216996</v>
      </c>
      <c r="J171" s="999"/>
      <c r="K171" s="1001">
        <f>K170/I170-1</f>
        <v>-0.10541208967275462</v>
      </c>
      <c r="L171" s="1105">
        <f>L170/K170-1</f>
        <v>-3.5996523142521775E-2</v>
      </c>
      <c r="M171" s="1002">
        <f>M170/L170-1</f>
        <v>-1.3013247650522031E-2</v>
      </c>
      <c r="N171" s="1002">
        <f t="shared" ref="N171:AJ171" si="48">N170/M170-1</f>
        <v>-1.2944607473735825E-2</v>
      </c>
      <c r="O171" s="1002">
        <f t="shared" si="48"/>
        <v>2.0795344188835996E-2</v>
      </c>
      <c r="P171" s="1002">
        <f t="shared" si="48"/>
        <v>2.0441751220319437E-2</v>
      </c>
      <c r="Q171" s="1002">
        <f t="shared" si="48"/>
        <v>2.362473323311054E-2</v>
      </c>
      <c r="R171" s="1002">
        <f t="shared" si="48"/>
        <v>4.3606890152102284E-2</v>
      </c>
      <c r="S171" s="1002">
        <f t="shared" si="48"/>
        <v>4.4178209286320547E-2</v>
      </c>
      <c r="T171" s="1002">
        <f t="shared" si="48"/>
        <v>4.5073215498757646E-2</v>
      </c>
      <c r="U171" s="1002">
        <f t="shared" si="48"/>
        <v>4.5981812053077276E-2</v>
      </c>
      <c r="V171" s="1002">
        <f t="shared" si="48"/>
        <v>4.6902810828128638E-2</v>
      </c>
      <c r="W171" s="1002">
        <f t="shared" si="48"/>
        <v>4.7834937869654315E-2</v>
      </c>
      <c r="X171" s="1002">
        <f t="shared" si="48"/>
        <v>4.8776839899209223E-2</v>
      </c>
      <c r="Y171" s="1002">
        <f t="shared" si="48"/>
        <v>4.9727091889796293E-2</v>
      </c>
      <c r="Z171" s="1002">
        <f t="shared" si="48"/>
        <v>5.0684205633202417E-2</v>
      </c>
      <c r="AA171" s="1002">
        <f t="shared" si="48"/>
        <v>4.921980183509489E-2</v>
      </c>
      <c r="AB171" s="1002">
        <f t="shared" si="48"/>
        <v>5.0163156793740393E-2</v>
      </c>
      <c r="AC171" s="1002">
        <f t="shared" si="48"/>
        <v>5.0984464624096892E-2</v>
      </c>
      <c r="AD171" s="1002">
        <f t="shared" si="48"/>
        <v>5.1805998712397106E-2</v>
      </c>
      <c r="AE171" s="1002">
        <f t="shared" si="48"/>
        <v>5.2626591413746038E-2</v>
      </c>
      <c r="AF171" s="1002">
        <f t="shared" si="48"/>
        <v>5.3445075631707972E-2</v>
      </c>
      <c r="AG171" s="1002">
        <f t="shared" si="48"/>
        <v>5.4260291896849111E-2</v>
      </c>
      <c r="AH171" s="1002">
        <f t="shared" si="48"/>
        <v>5.507109534679766E-2</v>
      </c>
      <c r="AI171" s="1002">
        <f t="shared" si="48"/>
        <v>5.58763625200418E-2</v>
      </c>
      <c r="AJ171" s="1003">
        <f t="shared" si="48"/>
        <v>5.6674997879718081E-2</v>
      </c>
    </row>
    <row r="172" spans="1:36" ht="12.75" customHeight="1">
      <c r="F172" s="994" t="s">
        <v>602</v>
      </c>
      <c r="G172" s="1014">
        <f>Inputs!D6-Inputs!D7</f>
        <v>25458.59</v>
      </c>
      <c r="H172" s="1014">
        <f>Inputs!C6-Inputs!C7</f>
        <v>29008.720000000001</v>
      </c>
      <c r="I172" s="1015">
        <f>Inputs!B6-Inputs!B7</f>
        <v>26899.599999999999</v>
      </c>
      <c r="J172" s="1014"/>
      <c r="K172" s="1247">
        <f>I172*(1+K173)</f>
        <v>25554.62</v>
      </c>
      <c r="L172" s="1247">
        <f>K172*(1+L173)</f>
        <v>24276.888999999999</v>
      </c>
      <c r="M172" s="1247">
        <f>L172*(1+M173)</f>
        <v>23548.582329999997</v>
      </c>
      <c r="N172" s="1247">
        <f t="shared" ref="N172:R172" si="49">M172*(1+N173)</f>
        <v>22842.124860099997</v>
      </c>
      <c r="O172" s="1247">
        <f t="shared" si="49"/>
        <v>23298.967357301997</v>
      </c>
      <c r="P172" s="1247">
        <f t="shared" si="49"/>
        <v>23764.946704448037</v>
      </c>
      <c r="Q172" s="1247">
        <f t="shared" si="49"/>
        <v>24715.54457262596</v>
      </c>
      <c r="R172" s="1247">
        <f t="shared" si="49"/>
        <v>25704.166355531001</v>
      </c>
      <c r="S172" s="1247">
        <f t="shared" ref="S172" si="50">R172*(1+S173)</f>
        <v>26732.333009752241</v>
      </c>
      <c r="T172" s="1247">
        <f t="shared" ref="T172" si="51">S172*(1+T173)</f>
        <v>27801.626330142331</v>
      </c>
      <c r="U172" s="1247">
        <f t="shared" ref="U172:W172" si="52">T172*(1+U173)</f>
        <v>29052.699514998734</v>
      </c>
      <c r="V172" s="1247">
        <f t="shared" si="52"/>
        <v>30360.070993173675</v>
      </c>
      <c r="W172" s="1247">
        <f t="shared" si="52"/>
        <v>31726.274187866489</v>
      </c>
      <c r="X172" s="1247">
        <f t="shared" ref="X172" si="53">W172*(1+X173)</f>
        <v>33153.956526320479</v>
      </c>
      <c r="Y172" s="1247">
        <f t="shared" ref="Y172" si="54">X172*(1+Y173)</f>
        <v>34811.654352636506</v>
      </c>
      <c r="Z172" s="1247">
        <f t="shared" ref="Z172:AB172" si="55">Y172*(1+Z173)</f>
        <v>36552.237070268333</v>
      </c>
      <c r="AA172" s="1247">
        <f t="shared" si="55"/>
        <v>38379.848923781748</v>
      </c>
      <c r="AB172" s="1247">
        <f t="shared" si="55"/>
        <v>40298.84136997084</v>
      </c>
      <c r="AC172" s="1247">
        <f t="shared" ref="AC172" si="56">AB172*(1+AC173)</f>
        <v>42313.783438469385</v>
      </c>
      <c r="AD172" s="1247">
        <f t="shared" ref="AD172" si="57">AC172*(1+AD173)</f>
        <v>44429.472610392855</v>
      </c>
      <c r="AE172" s="1247">
        <f t="shared" ref="AE172:AG172" si="58">AD172*(1+AE173)</f>
        <v>46650.946240912497</v>
      </c>
      <c r="AF172" s="1247">
        <f t="shared" si="58"/>
        <v>48983.493552958127</v>
      </c>
      <c r="AG172" s="1247">
        <f t="shared" si="58"/>
        <v>51432.668230606032</v>
      </c>
      <c r="AH172" s="1247">
        <f t="shared" ref="AH172" si="59">AG172*(1+AH173)</f>
        <v>54004.301642136335</v>
      </c>
      <c r="AI172" s="1247">
        <f t="shared" ref="AI172" si="60">AH172*(1+AI173)</f>
        <v>56704.516724243156</v>
      </c>
      <c r="AJ172" s="1247">
        <f t="shared" ref="AJ172" si="61">AI172*(1+AJ173)</f>
        <v>59539.742560455314</v>
      </c>
    </row>
    <row r="173" spans="1:36" ht="12.75" customHeight="1">
      <c r="F173" s="993" t="s">
        <v>559</v>
      </c>
      <c r="G173" s="600"/>
      <c r="H173" s="1004">
        <f>H172/G172-1</f>
        <v>0.13944723568744388</v>
      </c>
      <c r="I173" s="1005">
        <f>I172/H172-1</f>
        <v>-7.2706413795576075E-2</v>
      </c>
      <c r="J173" s="1004"/>
      <c r="K173" s="1006">
        <v>-0.05</v>
      </c>
      <c r="L173" s="1106">
        <v>-0.05</v>
      </c>
      <c r="M173" s="1007">
        <v>-0.03</v>
      </c>
      <c r="N173" s="1007">
        <v>-0.03</v>
      </c>
      <c r="O173" s="1007">
        <v>0.02</v>
      </c>
      <c r="P173" s="1007">
        <v>0.02</v>
      </c>
      <c r="Q173" s="1007">
        <v>0.04</v>
      </c>
      <c r="R173" s="1007">
        <v>0.04</v>
      </c>
      <c r="S173" s="1007">
        <v>0.04</v>
      </c>
      <c r="T173" s="1007">
        <v>0.04</v>
      </c>
      <c r="U173" s="1007">
        <v>4.4999999999999998E-2</v>
      </c>
      <c r="V173" s="1007">
        <v>4.4999999999999998E-2</v>
      </c>
      <c r="W173" s="1007">
        <v>4.4999999999999998E-2</v>
      </c>
      <c r="X173" s="1007">
        <v>4.4999999999999998E-2</v>
      </c>
      <c r="Y173" s="1007">
        <v>0.05</v>
      </c>
      <c r="Z173" s="1007">
        <v>0.05</v>
      </c>
      <c r="AA173" s="1007">
        <v>0.05</v>
      </c>
      <c r="AB173" s="1007">
        <v>0.05</v>
      </c>
      <c r="AC173" s="1007">
        <v>0.05</v>
      </c>
      <c r="AD173" s="1007">
        <v>0.05</v>
      </c>
      <c r="AE173" s="1007">
        <v>0.05</v>
      </c>
      <c r="AF173" s="1007">
        <v>0.05</v>
      </c>
      <c r="AG173" s="1007">
        <v>0.05</v>
      </c>
      <c r="AH173" s="1007">
        <v>0.05</v>
      </c>
      <c r="AI173" s="1007">
        <v>0.05</v>
      </c>
      <c r="AJ173" s="1007">
        <v>0.05</v>
      </c>
    </row>
    <row r="174" spans="1:36" ht="12.75" customHeight="1">
      <c r="F174" s="1020" t="s">
        <v>603</v>
      </c>
      <c r="G174" s="1021">
        <f>G170-G172</f>
        <v>11025.41</v>
      </c>
      <c r="H174" s="1021">
        <f>H170-H172</f>
        <v>12503.279999999999</v>
      </c>
      <c r="I174" s="1022">
        <f>I170-I172</f>
        <v>7814.4000000000015</v>
      </c>
      <c r="J174" s="1021"/>
      <c r="K174" s="1256">
        <f t="shared" ref="K174:AJ174" si="62">K170-K172</f>
        <v>5500.1047190999961</v>
      </c>
      <c r="L174" s="1249">
        <f t="shared" si="62"/>
        <v>5659.9736020642704</v>
      </c>
      <c r="M174" s="1250">
        <f t="shared" si="62"/>
        <v>5998.7044651439573</v>
      </c>
      <c r="N174" s="1250">
        <f t="shared" si="62"/>
        <v>6322.6839055669225</v>
      </c>
      <c r="O174" s="1250">
        <f t="shared" si="62"/>
        <v>6472.3336448485461</v>
      </c>
      <c r="P174" s="1250">
        <f t="shared" si="62"/>
        <v>6614.9318262937122</v>
      </c>
      <c r="Q174" s="1250">
        <f t="shared" si="62"/>
        <v>6382.0504840588619</v>
      </c>
      <c r="R174" s="1250">
        <f t="shared" si="62"/>
        <v>6749.4981127852334</v>
      </c>
      <c r="S174" s="1250">
        <f t="shared" si="62"/>
        <v>7155.0762395532947</v>
      </c>
      <c r="T174" s="1250">
        <f t="shared" si="62"/>
        <v>7613.1974189517496</v>
      </c>
      <c r="U174" s="1250">
        <f t="shared" si="62"/>
        <v>7990.5620036190448</v>
      </c>
      <c r="V174" s="1250">
        <f t="shared" si="62"/>
        <v>8420.6236129087301</v>
      </c>
      <c r="W174" s="1250">
        <f t="shared" si="62"/>
        <v>8909.4925352399077</v>
      </c>
      <c r="X174" s="1250">
        <f t="shared" si="62"/>
        <v>9463.8944844204962</v>
      </c>
      <c r="Y174" s="1250">
        <f t="shared" si="62"/>
        <v>9925.4584514612361</v>
      </c>
      <c r="Z174" s="1250">
        <f t="shared" si="62"/>
        <v>10452.340758628074</v>
      </c>
      <c r="AA174" s="1250">
        <f t="shared" si="62"/>
        <v>10938.284911195231</v>
      </c>
      <c r="AB174" s="1250">
        <f t="shared" si="62"/>
        <v>11493.245745344764</v>
      </c>
      <c r="AC174" s="1250">
        <f t="shared" si="62"/>
        <v>12118.895510185175</v>
      </c>
      <c r="AD174" s="1250">
        <f t="shared" si="62"/>
        <v>12823.145633788023</v>
      </c>
      <c r="AE174" s="1250">
        <f t="shared" si="62"/>
        <v>13614.682150972076</v>
      </c>
      <c r="AF174" s="1250">
        <f t="shared" si="62"/>
        <v>14503.03590632313</v>
      </c>
      <c r="AG174" s="1250">
        <f t="shared" si="62"/>
        <v>15498.658848653729</v>
      </c>
      <c r="AH174" s="1250">
        <f t="shared" si="62"/>
        <v>16613.006932393044</v>
      </c>
      <c r="AI174" s="1250">
        <f t="shared" si="62"/>
        <v>17858.630184386282</v>
      </c>
      <c r="AJ174" s="1257">
        <f t="shared" si="62"/>
        <v>19249.270541125807</v>
      </c>
    </row>
    <row r="175" spans="1:36" s="833" customFormat="1" ht="12.75" customHeight="1">
      <c r="A175" s="556"/>
      <c r="B175" s="556"/>
      <c r="C175" s="556"/>
      <c r="D175" s="556"/>
      <c r="F175" s="1110" t="s">
        <v>604</v>
      </c>
      <c r="G175" s="1111">
        <f>G174/G170</f>
        <v>0.30219849797171361</v>
      </c>
      <c r="H175" s="1111">
        <f>H174/H170</f>
        <v>0.3011967623819618</v>
      </c>
      <c r="I175" s="1112">
        <f>I174/I170</f>
        <v>0.2251080255804575</v>
      </c>
      <c r="J175" s="1111">
        <f>AVERAGE(G175:I175)</f>
        <v>0.27616776197804432</v>
      </c>
      <c r="K175" s="1113">
        <f t="shared" ref="K175:AJ175" si="63">K174/K170</f>
        <v>0.17711007805898193</v>
      </c>
      <c r="L175" s="1114">
        <f t="shared" si="63"/>
        <v>0.18906368637553864</v>
      </c>
      <c r="M175" s="1111">
        <f t="shared" si="63"/>
        <v>0.20302048396977804</v>
      </c>
      <c r="N175" s="1111">
        <f t="shared" si="63"/>
        <v>0.21679154341001694</v>
      </c>
      <c r="O175" s="1111">
        <f t="shared" si="63"/>
        <v>0.21740177375456363</v>
      </c>
      <c r="P175" s="1111">
        <f t="shared" si="63"/>
        <v>0.21774056204997616</v>
      </c>
      <c r="Q175" s="1111">
        <f t="shared" si="63"/>
        <v>0.20522649653214772</v>
      </c>
      <c r="R175" s="1111">
        <f t="shared" si="63"/>
        <v>0.20797337445127692</v>
      </c>
      <c r="S175" s="1111">
        <f t="shared" si="63"/>
        <v>0.21114261603518497</v>
      </c>
      <c r="T175" s="1111">
        <f t="shared" si="63"/>
        <v>0.21497205443939268</v>
      </c>
      <c r="U175" s="1111">
        <f t="shared" si="63"/>
        <v>0.21570892184002274</v>
      </c>
      <c r="V175" s="1111">
        <f t="shared" si="63"/>
        <v>0.21713441954667906</v>
      </c>
      <c r="W175" s="1111">
        <f t="shared" si="63"/>
        <v>0.21925247764978859</v>
      </c>
      <c r="X175" s="1111">
        <f t="shared" si="63"/>
        <v>0.22206409426968318</v>
      </c>
      <c r="Y175" s="1111">
        <f t="shared" si="63"/>
        <v>0.22186184644781332</v>
      </c>
      <c r="Z175" s="1111">
        <f t="shared" si="63"/>
        <v>0.22236857007153932</v>
      </c>
      <c r="AA175" s="1111">
        <f t="shared" si="63"/>
        <v>0.22179032458518685</v>
      </c>
      <c r="AB175" s="1111">
        <f t="shared" si="63"/>
        <v>0.22191122979375086</v>
      </c>
      <c r="AC175" s="1111">
        <f t="shared" si="63"/>
        <v>0.22264007107966755</v>
      </c>
      <c r="AD175" s="1111">
        <f t="shared" si="63"/>
        <v>0.2239748334145637</v>
      </c>
      <c r="AE175" s="1111">
        <f t="shared" si="63"/>
        <v>0.2259112285769419</v>
      </c>
      <c r="AF175" s="1111">
        <f t="shared" si="63"/>
        <v>0.2284427268248303</v>
      </c>
      <c r="AG175" s="1111">
        <f t="shared" si="63"/>
        <v>0.23156060883568452</v>
      </c>
      <c r="AH175" s="1111">
        <f t="shared" si="63"/>
        <v>0.23525403711555654</v>
      </c>
      <c r="AI175" s="1111">
        <f t="shared" si="63"/>
        <v>0.23951014575968016</v>
      </c>
      <c r="AJ175" s="1115">
        <f t="shared" si="63"/>
        <v>0.24431414715536673</v>
      </c>
    </row>
    <row r="176" spans="1:36" ht="12.75" hidden="1" customHeight="1">
      <c r="F176" s="994" t="s">
        <v>605</v>
      </c>
      <c r="G176" s="1023">
        <v>-1706.6089999999999</v>
      </c>
      <c r="H176" s="1023">
        <v>-1997.1780000000001</v>
      </c>
      <c r="I176" s="1024">
        <v>-1584.0519999999999</v>
      </c>
      <c r="J176" s="1023"/>
      <c r="K176" s="1258">
        <f>K177*K170</f>
        <v>-1454.5958377899171</v>
      </c>
      <c r="L176" s="1108">
        <f t="shared" ref="L176" si="64">L177*L170</f>
        <v>-1402.2354450518967</v>
      </c>
      <c r="M176" s="1023">
        <f>-1*M177*M170</f>
        <v>-1181.8914718057583</v>
      </c>
      <c r="N176" s="1023">
        <f t="shared" ref="N176:AJ176" si="65">-1*N177*N170</f>
        <v>-1166.5923506266768</v>
      </c>
      <c r="O176" s="1023">
        <f t="shared" si="65"/>
        <v>-1190.8520400860218</v>
      </c>
      <c r="P176" s="1023">
        <f t="shared" si="65"/>
        <v>-1215.1951412296701</v>
      </c>
      <c r="Q176" s="1023">
        <f t="shared" si="65"/>
        <v>-1243.9038022673928</v>
      </c>
      <c r="R176" s="1023">
        <f t="shared" si="65"/>
        <v>-1622.6832234158119</v>
      </c>
      <c r="S176" s="1023">
        <f t="shared" si="65"/>
        <v>-1694.3704624652769</v>
      </c>
      <c r="T176" s="1023">
        <f t="shared" si="65"/>
        <v>-1770.7411874547042</v>
      </c>
      <c r="U176" s="1023">
        <f t="shared" si="65"/>
        <v>-1852.1630759308891</v>
      </c>
      <c r="V176" s="1023">
        <f t="shared" si="65"/>
        <v>-1939.0347303041203</v>
      </c>
      <c r="W176" s="1023">
        <f t="shared" si="65"/>
        <v>-2031.7883361553199</v>
      </c>
      <c r="X176" s="1023">
        <f t="shared" si="65"/>
        <v>-2130.8925505370489</v>
      </c>
      <c r="Y176" s="1023">
        <f t="shared" si="65"/>
        <v>-2236.8556402048871</v>
      </c>
      <c r="Z176" s="1023">
        <f t="shared" si="65"/>
        <v>-2350.2288914448204</v>
      </c>
      <c r="AA176" s="1023">
        <f t="shared" si="65"/>
        <v>-2712.497360923734</v>
      </c>
      <c r="AB176" s="1023">
        <f t="shared" si="65"/>
        <v>-2848.5647913423581</v>
      </c>
      <c r="AC176" s="1023">
        <f t="shared" si="65"/>
        <v>-2993.7973421760007</v>
      </c>
      <c r="AD176" s="1023">
        <f t="shared" si="65"/>
        <v>-3148.8940034299485</v>
      </c>
      <c r="AE176" s="1023">
        <f t="shared" si="65"/>
        <v>-3314.6095615536515</v>
      </c>
      <c r="AF176" s="1023">
        <f t="shared" si="65"/>
        <v>-3491.759120260469</v>
      </c>
      <c r="AG176" s="1023">
        <f t="shared" si="65"/>
        <v>-3681.2229893592871</v>
      </c>
      <c r="AH176" s="1023">
        <f t="shared" si="65"/>
        <v>-3883.951971599116</v>
      </c>
      <c r="AI176" s="1023">
        <f t="shared" si="65"/>
        <v>-4100.9730799746194</v>
      </c>
      <c r="AJ176" s="1023">
        <f t="shared" si="65"/>
        <v>-4333.3957205869619</v>
      </c>
    </row>
    <row r="177" spans="1:36" ht="12.75" hidden="1" customHeight="1">
      <c r="F177" s="993" t="s">
        <v>604</v>
      </c>
      <c r="G177" s="1008">
        <f>G176/G170</f>
        <v>-4.6776915908343382E-2</v>
      </c>
      <c r="H177" s="1008">
        <f>H176/H170</f>
        <v>-4.8110859510502993E-2</v>
      </c>
      <c r="I177" s="1009">
        <f>I176/I170</f>
        <v>-4.5631503139943533E-2</v>
      </c>
      <c r="J177" s="1008">
        <f>AVERAGE(G177:I177)</f>
        <v>-4.6839759519596645E-2</v>
      </c>
      <c r="K177" s="1010">
        <v>-4.6839759519596645E-2</v>
      </c>
      <c r="L177" s="1107">
        <v>-4.6839759519596645E-2</v>
      </c>
      <c r="M177" s="1008">
        <v>0.04</v>
      </c>
      <c r="N177" s="1008">
        <v>0.04</v>
      </c>
      <c r="O177" s="1008">
        <v>0.04</v>
      </c>
      <c r="P177" s="1008">
        <v>0.04</v>
      </c>
      <c r="Q177" s="1008">
        <v>0.04</v>
      </c>
      <c r="R177" s="1008">
        <v>0.05</v>
      </c>
      <c r="S177" s="1008">
        <v>0.05</v>
      </c>
      <c r="T177" s="1008">
        <v>0.05</v>
      </c>
      <c r="U177" s="1008">
        <v>0.05</v>
      </c>
      <c r="V177" s="1008">
        <v>0.05</v>
      </c>
      <c r="W177" s="1008">
        <v>0.05</v>
      </c>
      <c r="X177" s="1008">
        <v>0.05</v>
      </c>
      <c r="Y177" s="1008">
        <v>0.05</v>
      </c>
      <c r="Z177" s="1008">
        <v>0.05</v>
      </c>
      <c r="AA177" s="1008">
        <v>5.5E-2</v>
      </c>
      <c r="AB177" s="1008">
        <v>5.5E-2</v>
      </c>
      <c r="AC177" s="1008">
        <v>5.5E-2</v>
      </c>
      <c r="AD177" s="1008">
        <v>5.5E-2</v>
      </c>
      <c r="AE177" s="1008">
        <v>5.5E-2</v>
      </c>
      <c r="AF177" s="1008">
        <v>5.5E-2</v>
      </c>
      <c r="AG177" s="1008">
        <v>5.5E-2</v>
      </c>
      <c r="AH177" s="1008">
        <v>5.5E-2</v>
      </c>
      <c r="AI177" s="1008">
        <v>5.5E-2</v>
      </c>
      <c r="AJ177" s="1008">
        <v>5.5E-2</v>
      </c>
    </row>
    <row r="178" spans="1:36" ht="12.75" hidden="1" customHeight="1">
      <c r="B178" s="833"/>
      <c r="C178" s="833"/>
      <c r="D178" s="833"/>
      <c r="F178" s="994" t="s">
        <v>606</v>
      </c>
      <c r="G178" s="1023">
        <v>-40.906999999999996</v>
      </c>
      <c r="H178" s="1023">
        <v>-91.042000000000002</v>
      </c>
      <c r="I178" s="1024">
        <v>-12.782999999999999</v>
      </c>
      <c r="J178" s="1023"/>
      <c r="K178" s="1259">
        <f>K170*K179</f>
        <v>-38.120893928332087</v>
      </c>
      <c r="L178" s="1108">
        <f t="shared" ref="L178" si="66">L170*L179</f>
        <v>-36.748674287827264</v>
      </c>
      <c r="M178" s="1023">
        <f>-1*M170*M179</f>
        <v>-29.547286795143954</v>
      </c>
      <c r="N178" s="1023">
        <f t="shared" ref="N178:AJ178" si="67">-1*N170*N179</f>
        <v>-29.164808765666919</v>
      </c>
      <c r="O178" s="1023">
        <f t="shared" si="67"/>
        <v>-29.771301002150544</v>
      </c>
      <c r="P178" s="1023">
        <f t="shared" si="67"/>
        <v>-30.379878530741749</v>
      </c>
      <c r="Q178" s="1023">
        <f t="shared" si="67"/>
        <v>-31.097595056684824</v>
      </c>
      <c r="R178" s="1023">
        <f t="shared" si="67"/>
        <v>-32.453664468316234</v>
      </c>
      <c r="S178" s="1023">
        <f t="shared" si="67"/>
        <v>-33.887409249305534</v>
      </c>
      <c r="T178" s="1023">
        <f t="shared" si="67"/>
        <v>-35.414823749094083</v>
      </c>
      <c r="U178" s="1023">
        <f t="shared" si="67"/>
        <v>-37.043261518617783</v>
      </c>
      <c r="V178" s="1023">
        <f t="shared" si="67"/>
        <v>-38.780694606082406</v>
      </c>
      <c r="W178" s="1023">
        <f t="shared" si="67"/>
        <v>-40.6357667231064</v>
      </c>
      <c r="X178" s="1023">
        <f t="shared" si="67"/>
        <v>-42.617851010740978</v>
      </c>
      <c r="Y178" s="1023">
        <f t="shared" si="67"/>
        <v>-44.737112804097741</v>
      </c>
      <c r="Z178" s="1023">
        <f t="shared" si="67"/>
        <v>-47.004577828896409</v>
      </c>
      <c r="AA178" s="1023">
        <f t="shared" si="67"/>
        <v>-49.318133834976983</v>
      </c>
      <c r="AB178" s="1023">
        <f t="shared" si="67"/>
        <v>-51.792087115315603</v>
      </c>
      <c r="AC178" s="1023">
        <f t="shared" si="67"/>
        <v>-54.432678948654562</v>
      </c>
      <c r="AD178" s="1023">
        <f t="shared" si="67"/>
        <v>-57.25261824418088</v>
      </c>
      <c r="AE178" s="1023">
        <f t="shared" si="67"/>
        <v>-60.265628391884576</v>
      </c>
      <c r="AF178" s="1023">
        <f t="shared" si="67"/>
        <v>-63.486529459281257</v>
      </c>
      <c r="AG178" s="1023">
        <f t="shared" si="67"/>
        <v>-66.931327079259759</v>
      </c>
      <c r="AH178" s="1023">
        <f t="shared" si="67"/>
        <v>-70.617308574529375</v>
      </c>
      <c r="AI178" s="1023">
        <f t="shared" si="67"/>
        <v>-74.563146908629435</v>
      </c>
      <c r="AJ178" s="1023">
        <f t="shared" si="67"/>
        <v>-78.789013101581119</v>
      </c>
    </row>
    <row r="179" spans="1:36" ht="12.75" hidden="1" customHeight="1">
      <c r="F179" s="993" t="s">
        <v>604</v>
      </c>
      <c r="G179" s="1008">
        <f>G178/G170</f>
        <v>-1.1212312246464203E-3</v>
      </c>
      <c r="H179" s="1008">
        <f>H178/H170</f>
        <v>-2.1931489689728271E-3</v>
      </c>
      <c r="I179" s="1009">
        <f>I178/I170</f>
        <v>-3.6823759866336345E-4</v>
      </c>
      <c r="J179" s="1008">
        <f>AVERAGE(G179:I179)</f>
        <v>-1.2275392640942037E-3</v>
      </c>
      <c r="K179" s="1010">
        <v>-1.2275392640942037E-3</v>
      </c>
      <c r="L179" s="1107">
        <v>-1.2275392640942037E-3</v>
      </c>
      <c r="M179" s="1008">
        <v>1E-3</v>
      </c>
      <c r="N179" s="1008">
        <v>1E-3</v>
      </c>
      <c r="O179" s="1008">
        <v>1E-3</v>
      </c>
      <c r="P179" s="1008">
        <v>1E-3</v>
      </c>
      <c r="Q179" s="1008">
        <v>1E-3</v>
      </c>
      <c r="R179" s="1008">
        <v>1E-3</v>
      </c>
      <c r="S179" s="1008">
        <v>1E-3</v>
      </c>
      <c r="T179" s="1008">
        <v>1E-3</v>
      </c>
      <c r="U179" s="1008">
        <v>1E-3</v>
      </c>
      <c r="V179" s="1008">
        <v>1E-3</v>
      </c>
      <c r="W179" s="1008">
        <v>1E-3</v>
      </c>
      <c r="X179" s="1008">
        <v>1E-3</v>
      </c>
      <c r="Y179" s="1008">
        <v>1E-3</v>
      </c>
      <c r="Z179" s="1008">
        <v>1E-3</v>
      </c>
      <c r="AA179" s="1008">
        <v>1E-3</v>
      </c>
      <c r="AB179" s="1008">
        <v>1E-3</v>
      </c>
      <c r="AC179" s="1008">
        <v>1E-3</v>
      </c>
      <c r="AD179" s="1008">
        <v>1E-3</v>
      </c>
      <c r="AE179" s="1008">
        <v>1E-3</v>
      </c>
      <c r="AF179" s="1008">
        <v>1E-3</v>
      </c>
      <c r="AG179" s="1008">
        <v>1E-3</v>
      </c>
      <c r="AH179" s="1008">
        <v>1E-3</v>
      </c>
      <c r="AI179" s="1008">
        <v>1E-3</v>
      </c>
      <c r="AJ179" s="1008">
        <v>1E-3</v>
      </c>
    </row>
    <row r="180" spans="1:36" ht="12.75" customHeight="1">
      <c r="F180" s="1016" t="s">
        <v>289</v>
      </c>
      <c r="G180" s="1017">
        <f t="shared" ref="G180:AJ180" si="68">G174+G178+G176</f>
        <v>9277.8940000000002</v>
      </c>
      <c r="H180" s="1017">
        <f t="shared" si="68"/>
        <v>10415.06</v>
      </c>
      <c r="I180" s="1018">
        <f t="shared" si="68"/>
        <v>6217.5650000000014</v>
      </c>
      <c r="J180" s="1018"/>
      <c r="K180" s="1019">
        <f>K174+K178+K176</f>
        <v>4007.3879873817468</v>
      </c>
      <c r="L180" s="1109">
        <f t="shared" si="68"/>
        <v>4220.9894827245462</v>
      </c>
      <c r="M180" s="1017">
        <f t="shared" si="68"/>
        <v>4787.2657065430549</v>
      </c>
      <c r="N180" s="1017">
        <f t="shared" si="68"/>
        <v>5126.9267461745785</v>
      </c>
      <c r="O180" s="1017">
        <f t="shared" si="68"/>
        <v>5251.7103037603738</v>
      </c>
      <c r="P180" s="1017">
        <f t="shared" si="68"/>
        <v>5369.3568065333002</v>
      </c>
      <c r="Q180" s="1017">
        <f t="shared" si="68"/>
        <v>5107.0490867347844</v>
      </c>
      <c r="R180" s="1017">
        <f t="shared" si="68"/>
        <v>5094.3612249011048</v>
      </c>
      <c r="S180" s="1017">
        <f t="shared" si="68"/>
        <v>5426.8183678387122</v>
      </c>
      <c r="T180" s="1017">
        <f t="shared" si="68"/>
        <v>5807.0414077479509</v>
      </c>
      <c r="U180" s="1017">
        <f t="shared" si="68"/>
        <v>6101.3556661695375</v>
      </c>
      <c r="V180" s="1017">
        <f t="shared" si="68"/>
        <v>6442.8081879985275</v>
      </c>
      <c r="W180" s="1017">
        <f t="shared" si="68"/>
        <v>6837.0684323614823</v>
      </c>
      <c r="X180" s="1017">
        <f t="shared" si="68"/>
        <v>7290.384082872707</v>
      </c>
      <c r="Y180" s="1017">
        <f t="shared" si="68"/>
        <v>7643.8656984522513</v>
      </c>
      <c r="Z180" s="1017">
        <f t="shared" si="68"/>
        <v>8055.1072893543569</v>
      </c>
      <c r="AA180" s="1017">
        <f t="shared" si="68"/>
        <v>8176.4694164365201</v>
      </c>
      <c r="AB180" s="1017">
        <f t="shared" si="68"/>
        <v>8592.8888668870895</v>
      </c>
      <c r="AC180" s="1017">
        <f t="shared" si="68"/>
        <v>9070.6654890605205</v>
      </c>
      <c r="AD180" s="1017">
        <f t="shared" si="68"/>
        <v>9616.9990121138926</v>
      </c>
      <c r="AE180" s="1017">
        <f t="shared" si="68"/>
        <v>10239.806961026541</v>
      </c>
      <c r="AF180" s="1017">
        <f t="shared" si="68"/>
        <v>10947.790256603379</v>
      </c>
      <c r="AG180" s="1017">
        <f t="shared" si="68"/>
        <v>11750.504532215184</v>
      </c>
      <c r="AH180" s="1017">
        <f t="shared" si="68"/>
        <v>12658.4376522194</v>
      </c>
      <c r="AI180" s="1017">
        <f t="shared" si="68"/>
        <v>13683.093957503033</v>
      </c>
      <c r="AJ180" s="1018">
        <f t="shared" si="68"/>
        <v>14837.085807437263</v>
      </c>
    </row>
    <row r="181" spans="1:36" s="833" customFormat="1" ht="12.75" customHeight="1">
      <c r="A181" s="556"/>
      <c r="B181" s="556"/>
      <c r="C181" s="556"/>
      <c r="D181" s="556"/>
      <c r="F181" s="1116" t="s">
        <v>604</v>
      </c>
      <c r="G181" s="1117">
        <f>G180/G170</f>
        <v>0.25430035083872382</v>
      </c>
      <c r="H181" s="1117">
        <f>H180/H170</f>
        <v>0.250892753902486</v>
      </c>
      <c r="I181" s="1118">
        <f>I180/I170</f>
        <v>0.1791082848418506</v>
      </c>
      <c r="J181" s="1118">
        <f>AVERAGE(G181:I181)</f>
        <v>0.22810046319435348</v>
      </c>
      <c r="K181" s="1119">
        <f t="shared" ref="K181:AJ181" si="69">K180/K170</f>
        <v>0.12904277927529109</v>
      </c>
      <c r="L181" s="1120">
        <f t="shared" si="69"/>
        <v>0.14099638759184777</v>
      </c>
      <c r="M181" s="1117">
        <f t="shared" si="69"/>
        <v>0.16202048396977803</v>
      </c>
      <c r="N181" s="1117">
        <f t="shared" si="69"/>
        <v>0.17579154341001693</v>
      </c>
      <c r="O181" s="1117">
        <f t="shared" si="69"/>
        <v>0.17640177375456365</v>
      </c>
      <c r="P181" s="1117">
        <f t="shared" si="69"/>
        <v>0.17674056204997615</v>
      </c>
      <c r="Q181" s="1117">
        <f t="shared" si="69"/>
        <v>0.16422649653214774</v>
      </c>
      <c r="R181" s="1117">
        <f t="shared" si="69"/>
        <v>0.1569733744512769</v>
      </c>
      <c r="S181" s="1117">
        <f t="shared" si="69"/>
        <v>0.16014261603518498</v>
      </c>
      <c r="T181" s="1117">
        <f t="shared" si="69"/>
        <v>0.16397205443939267</v>
      </c>
      <c r="U181" s="1117">
        <f t="shared" si="69"/>
        <v>0.16470892184002273</v>
      </c>
      <c r="V181" s="1117">
        <f t="shared" si="69"/>
        <v>0.16613441954667904</v>
      </c>
      <c r="W181" s="1117">
        <f t="shared" si="69"/>
        <v>0.1682524776497886</v>
      </c>
      <c r="X181" s="1117">
        <f t="shared" si="69"/>
        <v>0.17106409426968319</v>
      </c>
      <c r="Y181" s="1117">
        <f t="shared" si="69"/>
        <v>0.17086184644781333</v>
      </c>
      <c r="Z181" s="1117">
        <f t="shared" si="69"/>
        <v>0.1713685700715393</v>
      </c>
      <c r="AA181" s="1117">
        <f t="shared" si="69"/>
        <v>0.16579032458518686</v>
      </c>
      <c r="AB181" s="1117">
        <f t="shared" si="69"/>
        <v>0.16591122979375084</v>
      </c>
      <c r="AC181" s="1117">
        <f t="shared" si="69"/>
        <v>0.16664007107966758</v>
      </c>
      <c r="AD181" s="1117">
        <f t="shared" si="69"/>
        <v>0.16797483341456368</v>
      </c>
      <c r="AE181" s="1117">
        <f t="shared" si="69"/>
        <v>0.16991122857694194</v>
      </c>
      <c r="AF181" s="1117">
        <f t="shared" si="69"/>
        <v>0.17244272682483031</v>
      </c>
      <c r="AG181" s="1117">
        <f t="shared" si="69"/>
        <v>0.17556060883568456</v>
      </c>
      <c r="AH181" s="1117">
        <f t="shared" si="69"/>
        <v>0.17925403711555657</v>
      </c>
      <c r="AI181" s="1117">
        <f t="shared" si="69"/>
        <v>0.18351014575968017</v>
      </c>
      <c r="AJ181" s="1121">
        <f t="shared" si="69"/>
        <v>0.18831414715536671</v>
      </c>
    </row>
    <row r="183" spans="1:36" ht="12.75" customHeight="1">
      <c r="A183" s="558"/>
      <c r="B183" s="558"/>
      <c r="C183" s="558"/>
      <c r="D183" s="558"/>
      <c r="E183" s="558"/>
      <c r="F183" s="10" t="s">
        <v>607</v>
      </c>
      <c r="G183" s="1246"/>
      <c r="H183" s="1246"/>
      <c r="I183" s="1246"/>
      <c r="J183" s="1246"/>
      <c r="K183" s="1246"/>
      <c r="L183" s="1246"/>
      <c r="M183" s="1246"/>
      <c r="N183" s="1246"/>
      <c r="O183" s="1246"/>
      <c r="P183" s="1246"/>
      <c r="Q183" s="1246"/>
      <c r="R183" s="1246"/>
      <c r="S183" s="1246"/>
      <c r="T183" s="1246"/>
      <c r="U183" s="1246"/>
      <c r="V183" s="1246"/>
      <c r="W183" s="1246"/>
      <c r="X183" s="1246"/>
      <c r="Y183" s="1246"/>
      <c r="Z183" s="1246"/>
      <c r="AA183" s="1246"/>
      <c r="AB183" s="1246"/>
      <c r="AC183" s="1246"/>
      <c r="AD183" s="1246"/>
      <c r="AE183" s="1246"/>
      <c r="AF183" s="1246"/>
    </row>
    <row r="186" spans="1:36" ht="12.75" customHeight="1">
      <c r="A186" s="840" t="s">
        <v>288</v>
      </c>
      <c r="B186" s="837">
        <v>2024</v>
      </c>
      <c r="C186" s="838">
        <v>2023</v>
      </c>
      <c r="D186" s="838">
        <v>2022</v>
      </c>
      <c r="E186" s="838">
        <v>2021</v>
      </c>
      <c r="F186" s="838">
        <v>2020</v>
      </c>
      <c r="G186" s="838">
        <v>2019</v>
      </c>
      <c r="H186" s="838">
        <v>2018</v>
      </c>
      <c r="I186" s="838">
        <v>2017</v>
      </c>
      <c r="J186" s="839">
        <v>2016</v>
      </c>
      <c r="K186" s="851"/>
    </row>
    <row r="187" spans="1:36" ht="12.75" customHeight="1">
      <c r="B187" s="738">
        <v>70.489999999999995</v>
      </c>
      <c r="C187" s="556">
        <v>71.33</v>
      </c>
      <c r="D187" s="556">
        <v>80.510000000000005</v>
      </c>
      <c r="E187" s="556">
        <v>75.209999999999994</v>
      </c>
      <c r="F187" s="556">
        <v>48.52</v>
      </c>
      <c r="G187" s="556">
        <v>61.14</v>
      </c>
      <c r="H187" s="556">
        <v>45.15</v>
      </c>
      <c r="J187" s="739"/>
    </row>
    <row r="188" spans="1:36" ht="12.75" customHeight="1">
      <c r="B188" s="835">
        <v>-1.1776251226692902E-2</v>
      </c>
      <c r="C188" s="725">
        <v>-0.11402310272015903</v>
      </c>
      <c r="D188" s="725">
        <v>7.0469352479723524E-2</v>
      </c>
      <c r="E188" s="725">
        <v>0.55008244023083241</v>
      </c>
      <c r="F188" s="725">
        <v>-0.20641151455675499</v>
      </c>
      <c r="G188" s="725">
        <v>0.35415282392026581</v>
      </c>
      <c r="J188" s="739"/>
    </row>
    <row r="189" spans="1:36" ht="12.75" customHeight="1">
      <c r="B189"/>
      <c r="C189"/>
      <c r="D189"/>
      <c r="E189"/>
      <c r="F189"/>
      <c r="G189"/>
      <c r="H189"/>
      <c r="I189"/>
      <c r="J189"/>
    </row>
    <row r="190" spans="1:36" ht="12.75" customHeight="1">
      <c r="B190"/>
      <c r="C190"/>
      <c r="D190"/>
      <c r="E190"/>
      <c r="F190"/>
      <c r="G190"/>
      <c r="H190"/>
      <c r="I190"/>
      <c r="J190"/>
      <c r="K190" s="564"/>
    </row>
    <row r="191" spans="1:36" s="555" customFormat="1" ht="12.75" customHeight="1">
      <c r="A191" s="10" t="s">
        <v>608</v>
      </c>
      <c r="B191" s="850">
        <v>0.89267360656258277</v>
      </c>
      <c r="C191" s="556"/>
      <c r="D191" s="556"/>
      <c r="E191" s="556"/>
      <c r="F191" s="556"/>
      <c r="G191" s="556"/>
      <c r="H191" s="556"/>
      <c r="I191" s="556"/>
      <c r="J191" s="556"/>
      <c r="K191" s="556"/>
      <c r="L191" s="556"/>
      <c r="M191" s="556"/>
      <c r="N191" s="556"/>
      <c r="O191" s="556"/>
      <c r="P191" s="556"/>
      <c r="Q191" s="556"/>
      <c r="R191" s="556"/>
      <c r="S191" s="556"/>
      <c r="T191" s="556"/>
      <c r="U191" s="556"/>
      <c r="V191" s="556"/>
      <c r="W191" s="556"/>
      <c r="X191" s="556"/>
      <c r="Y191" s="556"/>
      <c r="Z191" s="556"/>
      <c r="AA191" s="556"/>
      <c r="AB191" s="556"/>
      <c r="AC191" s="556"/>
      <c r="AD191" s="556"/>
      <c r="AE191" s="556"/>
      <c r="AF191" s="556"/>
      <c r="AG191" s="556"/>
      <c r="AH191" s="556"/>
      <c r="AI191" s="556"/>
      <c r="AJ191" s="556"/>
    </row>
    <row r="192" spans="1:36" ht="12.75" customHeight="1">
      <c r="B192" s="556" t="s">
        <v>609</v>
      </c>
    </row>
    <row r="193" spans="1:36" ht="12.75" customHeight="1">
      <c r="B193" s="556" t="s">
        <v>610</v>
      </c>
    </row>
    <row r="194" spans="1:36" ht="12.75" customHeight="1">
      <c r="B194" s="556" t="s">
        <v>611</v>
      </c>
    </row>
    <row r="195" spans="1:36" ht="12.75" customHeight="1">
      <c r="A195" s="828" t="s">
        <v>612</v>
      </c>
      <c r="B195" s="555"/>
      <c r="C195" s="555"/>
      <c r="D195" s="555"/>
      <c r="E195" s="555"/>
      <c r="F195" s="555"/>
      <c r="G195" s="555"/>
      <c r="H195" s="555"/>
      <c r="I195" s="555"/>
      <c r="J195" s="555"/>
      <c r="K195" s="555"/>
      <c r="L195" s="555"/>
      <c r="M195" s="555"/>
      <c r="N195" s="555"/>
      <c r="O195" s="555"/>
      <c r="P195" s="555"/>
      <c r="Q195" s="555"/>
      <c r="R195" s="555"/>
      <c r="S195" s="555"/>
      <c r="T195" s="555"/>
      <c r="U195" s="555"/>
      <c r="V195" s="555"/>
      <c r="W195" s="555"/>
      <c r="X195" s="555"/>
      <c r="Y195" s="555"/>
      <c r="Z195" s="555"/>
      <c r="AA195" s="555"/>
      <c r="AB195" s="555"/>
      <c r="AC195" s="555"/>
      <c r="AD195" s="555"/>
      <c r="AE195" s="555"/>
      <c r="AF195" s="555"/>
      <c r="AG195" s="555"/>
      <c r="AH195" s="555"/>
      <c r="AI195" s="555"/>
      <c r="AJ195" s="555"/>
    </row>
    <row r="198" spans="1:36" ht="12.75" customHeight="1">
      <c r="C198" s="746">
        <v>2023</v>
      </c>
      <c r="D198" s="825">
        <v>2022</v>
      </c>
      <c r="E198" s="825">
        <v>2021</v>
      </c>
      <c r="F198" s="825">
        <v>2020</v>
      </c>
      <c r="G198" s="825">
        <v>2019</v>
      </c>
      <c r="H198" s="748">
        <v>2018</v>
      </c>
    </row>
    <row r="199" spans="1:36" ht="12.75" customHeight="1">
      <c r="B199" s="733" t="s">
        <v>547</v>
      </c>
      <c r="C199" s="827">
        <v>245.95400000000001</v>
      </c>
      <c r="D199" s="827">
        <v>218.911</v>
      </c>
      <c r="E199" s="827">
        <v>163.12100000000001</v>
      </c>
      <c r="F199" s="827">
        <v>166.613</v>
      </c>
      <c r="G199" s="827">
        <v>157.358</v>
      </c>
      <c r="H199" s="827">
        <v>161.256</v>
      </c>
    </row>
    <row r="200" spans="1:36" ht="12.75" customHeight="1">
      <c r="B200" s="733" t="s">
        <v>548</v>
      </c>
      <c r="C200" s="827">
        <v>6842.183</v>
      </c>
      <c r="D200" s="827">
        <v>6691.3670000000002</v>
      </c>
      <c r="E200" s="827">
        <v>5720.84</v>
      </c>
      <c r="F200" s="827">
        <v>5340.5989999999993</v>
      </c>
      <c r="G200" s="827">
        <v>4383.0410000000002</v>
      </c>
      <c r="H200" s="827">
        <v>4291.1459999999997</v>
      </c>
    </row>
    <row r="201" spans="1:36" ht="12.75" customHeight="1">
      <c r="B201" s="733" t="s">
        <v>467</v>
      </c>
      <c r="C201" s="831">
        <v>3.5946714666941826E-2</v>
      </c>
      <c r="D201" s="831">
        <v>3.2715437667669399E-2</v>
      </c>
      <c r="E201" s="831">
        <v>2.8513470049852819E-2</v>
      </c>
      <c r="F201" s="831">
        <v>3.119743684182243E-2</v>
      </c>
      <c r="G201" s="831">
        <v>3.5901557845340715E-2</v>
      </c>
      <c r="H201" s="831">
        <v>3.7578772663526251E-2</v>
      </c>
      <c r="I201" s="832">
        <f>AVERAGE(C201:H201)</f>
        <v>3.3642231622525574E-2</v>
      </c>
    </row>
    <row r="202" spans="1:36" ht="12.75" hidden="1" customHeight="1"/>
    <row r="203" spans="1:36" ht="12.75" hidden="1" customHeight="1">
      <c r="B203" s="556" t="s">
        <v>613</v>
      </c>
    </row>
    <row r="204" spans="1:36" ht="12.75" hidden="1" customHeight="1">
      <c r="B204" s="556" t="s">
        <v>614</v>
      </c>
    </row>
    <row r="205" spans="1:36" ht="12.75" hidden="1" customHeight="1">
      <c r="F205" s="1102"/>
    </row>
    <row r="206" spans="1:36" ht="12.75" hidden="1" customHeight="1">
      <c r="C206" s="746">
        <v>2025</v>
      </c>
      <c r="D206" s="825">
        <v>2026</v>
      </c>
      <c r="E206" s="825">
        <v>2027</v>
      </c>
      <c r="F206" s="825">
        <v>2028</v>
      </c>
      <c r="G206" s="825">
        <v>2029</v>
      </c>
      <c r="H206" s="825">
        <v>2030</v>
      </c>
      <c r="I206" s="825">
        <v>2031</v>
      </c>
      <c r="J206" s="825">
        <v>2032</v>
      </c>
      <c r="K206" s="825">
        <v>2033</v>
      </c>
      <c r="L206" s="825">
        <v>2034</v>
      </c>
      <c r="M206" s="825">
        <v>2035</v>
      </c>
      <c r="N206" s="825">
        <v>2036</v>
      </c>
      <c r="O206" s="825">
        <v>2037</v>
      </c>
      <c r="P206" s="825">
        <v>2038</v>
      </c>
      <c r="Q206" s="825">
        <v>2039</v>
      </c>
      <c r="R206" s="825">
        <v>2040</v>
      </c>
      <c r="S206" s="825">
        <v>2041</v>
      </c>
      <c r="T206" s="825">
        <v>2042</v>
      </c>
      <c r="U206" s="825">
        <v>2043</v>
      </c>
      <c r="V206" s="825">
        <v>2044</v>
      </c>
      <c r="W206" s="825">
        <v>2045</v>
      </c>
      <c r="X206" s="825">
        <v>2046</v>
      </c>
      <c r="Y206" s="825">
        <v>2047</v>
      </c>
      <c r="Z206" s="825">
        <v>2048</v>
      </c>
      <c r="AA206" s="825">
        <v>2049</v>
      </c>
      <c r="AB206" s="825">
        <v>2050</v>
      </c>
      <c r="AC206" s="825">
        <v>2051</v>
      </c>
      <c r="AD206" s="825">
        <v>2052</v>
      </c>
      <c r="AE206" s="825">
        <v>2053</v>
      </c>
      <c r="AF206" s="825">
        <v>2054</v>
      </c>
      <c r="AG206" s="748">
        <v>2055</v>
      </c>
    </row>
    <row r="207" spans="1:36" ht="12.75" hidden="1" customHeight="1">
      <c r="B207" s="814" t="s">
        <v>615</v>
      </c>
      <c r="C207" s="901">
        <v>0.02</v>
      </c>
      <c r="D207" s="902"/>
      <c r="E207" s="902">
        <v>4.2999999999999997E-2</v>
      </c>
      <c r="F207" s="902">
        <v>3.95E-2</v>
      </c>
      <c r="G207" s="902"/>
      <c r="H207" s="902">
        <v>2.7E-2</v>
      </c>
      <c r="I207" s="903"/>
      <c r="J207" s="902">
        <v>3.125E-2</v>
      </c>
      <c r="K207" s="902"/>
      <c r="L207" s="902"/>
      <c r="M207" s="902"/>
      <c r="N207" s="902"/>
      <c r="O207" s="902">
        <v>6.4000000000000001E-2</v>
      </c>
      <c r="P207" s="902"/>
      <c r="Q207" s="902"/>
      <c r="R207" s="902"/>
      <c r="S207" s="902"/>
      <c r="T207" s="902"/>
      <c r="U207" s="902">
        <v>5.1999999999999998E-2</v>
      </c>
      <c r="V207" s="902"/>
      <c r="W207" s="902"/>
      <c r="X207" s="902"/>
      <c r="Y207" s="902"/>
      <c r="Z207" s="902">
        <v>4.3999999999999997E-2</v>
      </c>
      <c r="AA207" s="902"/>
      <c r="AB207" s="902"/>
      <c r="AC207" s="902"/>
      <c r="AD207" s="902">
        <v>3.85E-2</v>
      </c>
      <c r="AE207" s="902"/>
      <c r="AF207" s="902"/>
      <c r="AG207" s="904">
        <v>2.9790000000000001E-2</v>
      </c>
    </row>
    <row r="208" spans="1:36" ht="12.75" customHeight="1">
      <c r="B208" s="854" t="s">
        <v>616</v>
      </c>
      <c r="C208" s="749">
        <v>500</v>
      </c>
      <c r="D208" s="740"/>
      <c r="E208" s="740">
        <v>500</v>
      </c>
      <c r="F208" s="740">
        <v>500</v>
      </c>
      <c r="G208" s="740"/>
      <c r="H208" s="740">
        <v>500</v>
      </c>
      <c r="I208" s="740"/>
      <c r="J208" s="740">
        <v>550</v>
      </c>
      <c r="K208" s="740"/>
      <c r="L208" s="740"/>
      <c r="M208" s="740"/>
      <c r="N208" s="740"/>
      <c r="O208" s="740">
        <v>543.33100000000002</v>
      </c>
      <c r="P208" s="740"/>
      <c r="Q208" s="740"/>
      <c r="R208" s="740"/>
      <c r="S208" s="740"/>
      <c r="T208" s="740"/>
      <c r="U208" s="740">
        <v>338.13299999999998</v>
      </c>
      <c r="V208" s="740"/>
      <c r="W208" s="740"/>
      <c r="X208" s="740"/>
      <c r="Y208" s="740"/>
      <c r="Z208" s="740">
        <v>329.21899999999999</v>
      </c>
      <c r="AA208" s="740"/>
      <c r="AB208" s="740"/>
      <c r="AC208" s="740"/>
      <c r="AD208" s="740">
        <v>550</v>
      </c>
      <c r="AE208" s="740"/>
      <c r="AF208" s="740"/>
      <c r="AG208" s="742">
        <v>188.88900000000001</v>
      </c>
    </row>
    <row r="209" spans="1:36" ht="12.75" customHeight="1">
      <c r="B209" s="853" t="s">
        <v>615</v>
      </c>
      <c r="C209" s="835">
        <v>3.95E-2</v>
      </c>
      <c r="D209" s="732"/>
      <c r="E209" s="732">
        <v>2.9499999999999998E-2</v>
      </c>
      <c r="F209" s="734"/>
      <c r="G209" s="734"/>
      <c r="H209" s="734"/>
      <c r="I209" s="734"/>
      <c r="J209" s="734"/>
      <c r="K209" s="734"/>
      <c r="L209" s="734"/>
      <c r="M209" s="734"/>
      <c r="N209" s="734"/>
      <c r="O209" s="734"/>
      <c r="P209" s="734"/>
      <c r="Q209" s="734"/>
      <c r="R209" s="734"/>
      <c r="S209" s="734"/>
      <c r="T209" s="734"/>
      <c r="U209" s="734"/>
      <c r="V209" s="734"/>
      <c r="W209" s="734"/>
      <c r="X209" s="734"/>
      <c r="Y209" s="734"/>
      <c r="Z209" s="734"/>
      <c r="AA209" s="734"/>
      <c r="AB209" s="734"/>
      <c r="AC209" s="734"/>
      <c r="AD209" s="734"/>
      <c r="AE209" s="734"/>
      <c r="AF209" s="734"/>
      <c r="AG209" s="900"/>
    </row>
    <row r="210" spans="1:36" ht="12.75" customHeight="1">
      <c r="B210" s="854" t="s">
        <v>617</v>
      </c>
      <c r="C210" s="749">
        <v>500</v>
      </c>
      <c r="D210" s="740"/>
      <c r="E210" s="740">
        <v>58.04</v>
      </c>
      <c r="F210" s="740"/>
      <c r="G210" s="740"/>
      <c r="H210" s="740"/>
      <c r="I210" s="740"/>
      <c r="J210" s="740"/>
      <c r="K210" s="740"/>
      <c r="L210" s="740"/>
      <c r="M210" s="740"/>
      <c r="N210" s="740"/>
      <c r="O210" s="740"/>
      <c r="P210" s="740"/>
      <c r="Q210" s="740"/>
      <c r="R210" s="740"/>
      <c r="S210" s="740"/>
      <c r="T210" s="740"/>
      <c r="U210" s="740"/>
      <c r="V210" s="740"/>
      <c r="W210" s="740"/>
      <c r="X210" s="740"/>
      <c r="Y210" s="740"/>
      <c r="Z210" s="740"/>
      <c r="AA210" s="740"/>
      <c r="AB210" s="740"/>
      <c r="AC210" s="740"/>
      <c r="AD210" s="740"/>
      <c r="AE210" s="740"/>
      <c r="AF210" s="740"/>
      <c r="AG210" s="742"/>
    </row>
    <row r="212" spans="1:36" ht="12.75" customHeight="1">
      <c r="C212" s="733">
        <v>2023</v>
      </c>
      <c r="D212" s="733">
        <v>2022</v>
      </c>
      <c r="E212" s="733">
        <v>2021</v>
      </c>
      <c r="F212" s="733">
        <v>2020</v>
      </c>
      <c r="G212" s="733">
        <v>2019</v>
      </c>
      <c r="H212" s="733">
        <v>2018</v>
      </c>
      <c r="K212" s="556" t="s">
        <v>618</v>
      </c>
    </row>
    <row r="213" spans="1:36" ht="12.75" customHeight="1">
      <c r="B213" s="814" t="s">
        <v>619</v>
      </c>
      <c r="C213" s="1034">
        <f>'Fin. Data'!B63</f>
        <v>6842.183</v>
      </c>
      <c r="D213" s="1034">
        <f>'Fin. Data'!C63</f>
        <v>6691.3670000000002</v>
      </c>
      <c r="E213" s="1034">
        <f>'Fin. Data'!D63</f>
        <v>5720.84</v>
      </c>
      <c r="F213" s="1034">
        <f>'Fin. Data'!E63</f>
        <v>5340.5989999999993</v>
      </c>
      <c r="G213" s="1030">
        <f>'Fin. Data'!F63</f>
        <v>4383.0410000000002</v>
      </c>
      <c r="H213" s="862">
        <f>'Fin. Data'!G63</f>
        <v>4291.1459999999997</v>
      </c>
      <c r="I213" s="752"/>
      <c r="J213" s="824" t="s">
        <v>620</v>
      </c>
      <c r="K213" s="870" t="s">
        <v>621</v>
      </c>
      <c r="L213" s="870" t="s">
        <v>622</v>
      </c>
    </row>
    <row r="214" spans="1:36" s="846" customFormat="1" ht="12.75" customHeight="1">
      <c r="A214" s="556"/>
      <c r="B214" s="853" t="s">
        <v>55</v>
      </c>
      <c r="C214" s="1030">
        <f>'Fin. Data'!B19</f>
        <v>7411.5029999999997</v>
      </c>
      <c r="D214" s="1030">
        <f>'Fin. Data'!C19</f>
        <v>11476.868000000002</v>
      </c>
      <c r="E214" s="1030">
        <f>'Fin. Data'!D19</f>
        <v>10223.876999999999</v>
      </c>
      <c r="F214" s="1034">
        <f>'Fin. Data'!E19</f>
        <v>1774.2469999999998</v>
      </c>
      <c r="G214" s="1030">
        <f>'Fin. Data'!F19</f>
        <v>2639.1350000000002</v>
      </c>
      <c r="H214" s="1031">
        <f>'Fin. Data'!G19</f>
        <v>4083.8799999999997</v>
      </c>
      <c r="I214" s="556"/>
      <c r="J214" s="872">
        <f>AVERAGE(C215:E215,G215:H215)</f>
        <v>0.95546220474213084</v>
      </c>
      <c r="K214" s="1035">
        <v>1.3</v>
      </c>
      <c r="L214" s="1035">
        <v>1</v>
      </c>
      <c r="M214" s="556"/>
      <c r="N214" s="556"/>
      <c r="O214" s="556"/>
      <c r="P214" s="556"/>
      <c r="Q214" s="556"/>
      <c r="R214" s="556"/>
      <c r="S214" s="556"/>
      <c r="T214" s="556"/>
      <c r="U214" s="556"/>
      <c r="V214" s="556"/>
      <c r="W214" s="556"/>
      <c r="X214" s="556"/>
      <c r="Y214" s="556"/>
      <c r="Z214" s="556"/>
      <c r="AA214" s="556"/>
      <c r="AB214" s="556"/>
      <c r="AC214" s="556"/>
      <c r="AD214" s="556"/>
      <c r="AE214" s="556"/>
      <c r="AF214" s="556"/>
      <c r="AG214" s="556"/>
      <c r="AH214" s="556"/>
      <c r="AI214" s="556"/>
      <c r="AJ214" s="556"/>
    </row>
    <row r="215" spans="1:36" ht="12.75" customHeight="1">
      <c r="B215" s="826" t="s">
        <v>623</v>
      </c>
      <c r="C215" s="1032">
        <f>C213/C214</f>
        <v>0.92318427180020035</v>
      </c>
      <c r="D215" s="1032">
        <f t="shared" ref="D215:H215" si="70">D213/D214</f>
        <v>0.58303075368645862</v>
      </c>
      <c r="E215" s="1032">
        <f t="shared" si="70"/>
        <v>0.55955681000465884</v>
      </c>
      <c r="F215" s="1032">
        <f t="shared" si="70"/>
        <v>3.0100651149473552</v>
      </c>
      <c r="G215" s="1032">
        <f t="shared" si="70"/>
        <v>1.6607869623948754</v>
      </c>
      <c r="H215" s="1033">
        <f t="shared" si="70"/>
        <v>1.050752225824461</v>
      </c>
      <c r="I215" s="782"/>
    </row>
    <row r="217" spans="1:36" ht="12.75" customHeight="1">
      <c r="A217" s="847" t="s">
        <v>624</v>
      </c>
      <c r="B217" s="846"/>
      <c r="C217" s="846"/>
      <c r="D217" s="846"/>
      <c r="E217" s="846"/>
      <c r="F217" s="846"/>
      <c r="G217" s="846"/>
      <c r="H217" s="846"/>
      <c r="I217" s="846"/>
      <c r="J217" s="846"/>
      <c r="K217" s="846"/>
      <c r="L217" s="846"/>
      <c r="M217" s="846"/>
      <c r="N217" s="846"/>
      <c r="O217" s="846"/>
      <c r="P217" s="846"/>
      <c r="Q217" s="846"/>
      <c r="R217" s="846"/>
      <c r="S217" s="846"/>
      <c r="T217" s="846"/>
      <c r="U217" s="846"/>
      <c r="V217" s="846"/>
      <c r="W217" s="846"/>
      <c r="X217" s="846"/>
      <c r="Y217" s="846"/>
      <c r="Z217" s="846"/>
      <c r="AA217" s="846"/>
      <c r="AB217" s="846"/>
      <c r="AC217" s="846"/>
      <c r="AD217" s="846"/>
      <c r="AE217" s="846"/>
      <c r="AF217" s="846"/>
      <c r="AG217" s="846"/>
      <c r="AH217" s="846"/>
      <c r="AI217" s="846"/>
      <c r="AJ217" s="846"/>
    </row>
    <row r="218" spans="1:36" ht="12.75" customHeight="1">
      <c r="A218" s="859"/>
    </row>
    <row r="219" spans="1:36" ht="12.75" customHeight="1">
      <c r="B219" s="829">
        <v>2024</v>
      </c>
      <c r="C219" s="875">
        <v>2023</v>
      </c>
      <c r="D219" s="875">
        <v>2022</v>
      </c>
      <c r="E219" s="875">
        <v>2021</v>
      </c>
      <c r="F219" s="875">
        <v>2020</v>
      </c>
      <c r="G219" s="826">
        <v>2019</v>
      </c>
      <c r="H219" s="1045"/>
      <c r="I219" s="1045"/>
      <c r="J219" s="1045"/>
      <c r="K219" s="1045"/>
    </row>
    <row r="220" spans="1:36" ht="12.75" customHeight="1">
      <c r="A220" s="814" t="s">
        <v>624</v>
      </c>
      <c r="B220" s="873">
        <v>3500</v>
      </c>
      <c r="C220" s="871">
        <f>C241</f>
        <v>2215.21</v>
      </c>
      <c r="D220" s="871">
        <f t="shared" ref="D220:G220" si="71">D241</f>
        <v>1952.4650000000001</v>
      </c>
      <c r="E220" s="871">
        <f t="shared" si="71"/>
        <v>1700.3640000000003</v>
      </c>
      <c r="F220" s="871">
        <f t="shared" si="71"/>
        <v>1527.116</v>
      </c>
      <c r="G220" s="871">
        <f t="shared" si="71"/>
        <v>1512.07</v>
      </c>
      <c r="H220" s="1046"/>
      <c r="I220" s="1046"/>
      <c r="J220" s="1046"/>
      <c r="K220" s="1046"/>
    </row>
    <row r="221" spans="1:36" ht="12.75" customHeight="1">
      <c r="A221" s="853" t="s">
        <v>625</v>
      </c>
      <c r="B221" s="874">
        <f>K170</f>
        <v>31054.724719099995</v>
      </c>
      <c r="C221" s="872">
        <f>Inputs!B6</f>
        <v>34714</v>
      </c>
      <c r="D221" s="872">
        <f>Inputs!C6</f>
        <v>41512</v>
      </c>
      <c r="E221" s="872">
        <f>Inputs!D6</f>
        <v>36484</v>
      </c>
      <c r="F221" s="872">
        <f>Inputs!E6</f>
        <v>20140</v>
      </c>
      <c r="G221" s="872">
        <f>Inputs!F6</f>
        <v>22588.858</v>
      </c>
      <c r="H221" s="782"/>
      <c r="I221" s="782"/>
      <c r="J221" s="782"/>
      <c r="K221" s="782"/>
      <c r="L221" s="558"/>
    </row>
    <row r="222" spans="1:36" ht="12.75" customHeight="1">
      <c r="A222" s="733" t="s">
        <v>626</v>
      </c>
      <c r="B222" s="869">
        <f>B220/B221</f>
        <v>0.11270426743945178</v>
      </c>
      <c r="C222" s="876">
        <f>C220/C221</f>
        <v>6.3813158956040797E-2</v>
      </c>
      <c r="D222" s="876">
        <f t="shared" ref="D222:G222" si="72">D220/D221</f>
        <v>4.7033749277317405E-2</v>
      </c>
      <c r="E222" s="876">
        <f t="shared" si="72"/>
        <v>4.660574498410263E-2</v>
      </c>
      <c r="F222" s="876">
        <f t="shared" si="72"/>
        <v>7.5825024826216489E-2</v>
      </c>
      <c r="G222" s="868">
        <f t="shared" si="72"/>
        <v>6.6938753610297608E-2</v>
      </c>
      <c r="H222" s="991"/>
      <c r="I222" s="991"/>
      <c r="J222" s="991"/>
      <c r="K222" s="991"/>
    </row>
    <row r="223" spans="1:36" ht="12.75" customHeight="1">
      <c r="B223" s="849"/>
      <c r="C223" s="849"/>
      <c r="D223" s="849"/>
      <c r="E223" s="849"/>
      <c r="F223" s="849"/>
    </row>
    <row r="224" spans="1:36" ht="12.75" customHeight="1">
      <c r="A224" s="556" t="s">
        <v>627</v>
      </c>
      <c r="B224" s="732"/>
      <c r="C224" s="732"/>
      <c r="D224" s="732"/>
      <c r="E224" s="732"/>
      <c r="F224" s="732"/>
      <c r="G224" s="732"/>
      <c r="H224" s="732"/>
      <c r="I224" s="732"/>
      <c r="J224" s="732"/>
      <c r="K224" s="732"/>
      <c r="L224" s="732"/>
    </row>
    <row r="226" spans="1:36" ht="12.75" customHeight="1">
      <c r="A226" s="870" t="s">
        <v>628</v>
      </c>
      <c r="B226" s="870" t="s">
        <v>622</v>
      </c>
      <c r="D226" s="813"/>
    </row>
    <row r="227" spans="1:36" ht="12.75" customHeight="1">
      <c r="A227" s="877">
        <v>-7.0000000000000007E-2</v>
      </c>
      <c r="B227" s="877">
        <v>-0.05</v>
      </c>
    </row>
    <row r="229" spans="1:36" ht="12.75" customHeight="1">
      <c r="C229" s="746">
        <v>2023</v>
      </c>
      <c r="D229" s="825">
        <v>2022</v>
      </c>
      <c r="E229" s="825">
        <v>2021</v>
      </c>
      <c r="F229" s="825">
        <v>2020</v>
      </c>
      <c r="G229" s="748">
        <v>2019</v>
      </c>
    </row>
    <row r="230" spans="1:36" ht="12.75" customHeight="1">
      <c r="B230" s="1049" t="s">
        <v>186</v>
      </c>
      <c r="C230" s="1050">
        <v>1440.4780000000001</v>
      </c>
      <c r="D230" s="1051">
        <v>1453.277</v>
      </c>
      <c r="E230" s="1052">
        <v>1336.2760000000001</v>
      </c>
      <c r="F230" s="1053">
        <v>1238.1320000000001</v>
      </c>
      <c r="G230" s="1052">
        <v>1133.0889999999999</v>
      </c>
    </row>
    <row r="231" spans="1:36" ht="12.75" customHeight="1">
      <c r="B231" s="749" t="s">
        <v>629</v>
      </c>
      <c r="C231" s="1061">
        <f>C230/D230-1</f>
        <v>-8.8069927481133625E-3</v>
      </c>
      <c r="D231" s="1062">
        <f>D230/E230-1</f>
        <v>8.7557510574162833E-2</v>
      </c>
      <c r="E231" s="1061">
        <f t="shared" ref="E231:F231" si="73">E230/F230-1</f>
        <v>7.9267800202240224E-2</v>
      </c>
      <c r="F231" s="1062">
        <f t="shared" si="73"/>
        <v>9.2704986104357401E-2</v>
      </c>
      <c r="G231" s="816"/>
    </row>
    <row r="232" spans="1:36" ht="12.75" customHeight="1">
      <c r="B232" s="1064" t="s">
        <v>182</v>
      </c>
      <c r="C232" s="1069">
        <f>C230/C241</f>
        <v>0.65026701757395466</v>
      </c>
      <c r="D232" s="1069">
        <f t="shared" ref="D232:G232" si="74">D230/D241</f>
        <v>0.74432934777319948</v>
      </c>
      <c r="E232" s="1069">
        <f t="shared" si="74"/>
        <v>0.78587643586902556</v>
      </c>
      <c r="F232" s="1069">
        <f t="shared" si="74"/>
        <v>0.8107648665851187</v>
      </c>
      <c r="G232" s="1069">
        <f t="shared" si="74"/>
        <v>0.74936279405053996</v>
      </c>
    </row>
    <row r="233" spans="1:36" ht="12.75" customHeight="1">
      <c r="B233" s="1049" t="s">
        <v>187</v>
      </c>
      <c r="C233" s="1050">
        <v>367.17</v>
      </c>
      <c r="D233" s="1051">
        <v>267.12799999999999</v>
      </c>
      <c r="E233" s="1052">
        <v>187.15199999999999</v>
      </c>
      <c r="F233" s="1053">
        <v>135.512</v>
      </c>
      <c r="G233" s="1052">
        <v>93.847999999999999</v>
      </c>
    </row>
    <row r="234" spans="1:36" ht="12.75" customHeight="1">
      <c r="B234" s="749" t="s">
        <v>629</v>
      </c>
      <c r="C234" s="1059">
        <f>C233/D233-1</f>
        <v>0.37450959839477727</v>
      </c>
      <c r="D234" s="1060">
        <f>D233/E233-1</f>
        <v>0.42733179447721636</v>
      </c>
      <c r="E234" s="1059">
        <f t="shared" ref="E234:F234" si="75">E233/F233-1</f>
        <v>0.38107326288446774</v>
      </c>
      <c r="F234" s="1060">
        <f t="shared" si="75"/>
        <v>0.44395192225726698</v>
      </c>
      <c r="G234" s="816"/>
    </row>
    <row r="235" spans="1:36" ht="12.75" customHeight="1">
      <c r="B235" s="1064" t="s">
        <v>182</v>
      </c>
      <c r="C235" s="1068">
        <f>C233/C241</f>
        <v>0.16574952261862308</v>
      </c>
      <c r="D235" s="1068">
        <f t="shared" ref="D235:G235" si="76">D233/D241</f>
        <v>0.13681576878458768</v>
      </c>
      <c r="E235" s="1068">
        <f t="shared" si="76"/>
        <v>0.1100658447250118</v>
      </c>
      <c r="F235" s="1068">
        <f t="shared" si="76"/>
        <v>8.8737201365187715E-2</v>
      </c>
      <c r="G235" s="1068">
        <f t="shared" si="76"/>
        <v>6.2065909647040153E-2</v>
      </c>
    </row>
    <row r="236" spans="1:36" ht="12.75" customHeight="1">
      <c r="B236" s="1049" t="s">
        <v>188</v>
      </c>
      <c r="C236" s="1050">
        <v>352.642</v>
      </c>
      <c r="D236" s="1051">
        <v>181.68</v>
      </c>
      <c r="E236" s="1052">
        <v>128.76499999999999</v>
      </c>
      <c r="F236" s="1053">
        <v>125.21299999999999</v>
      </c>
      <c r="G236" s="1052">
        <v>244.81800000000001</v>
      </c>
    </row>
    <row r="237" spans="1:36" ht="12.75" customHeight="1">
      <c r="B237" s="749" t="s">
        <v>629</v>
      </c>
      <c r="C237" s="1059">
        <f>C236/D236-1</f>
        <v>0.94100616468516063</v>
      </c>
      <c r="D237" s="1060">
        <f>D236/E236-1</f>
        <v>0.41094241447598368</v>
      </c>
      <c r="E237" s="1059">
        <f t="shared" ref="E237:F237" si="77">E236/F236-1</f>
        <v>2.836766150479586E-2</v>
      </c>
      <c r="F237" s="1060">
        <f t="shared" si="77"/>
        <v>-0.4885465937962078</v>
      </c>
      <c r="G237" s="816"/>
    </row>
    <row r="238" spans="1:36" ht="12.75" customHeight="1">
      <c r="B238" s="1065" t="s">
        <v>182</v>
      </c>
      <c r="C238" s="1044">
        <f>C236/C241</f>
        <v>0.15919122791970061</v>
      </c>
      <c r="D238" s="1044">
        <f t="shared" ref="D238:G238" si="78">D236/D241</f>
        <v>9.3051603998023008E-2</v>
      </c>
      <c r="E238" s="1044">
        <f t="shared" si="78"/>
        <v>7.5727902966658878E-2</v>
      </c>
      <c r="F238" s="1044">
        <f t="shared" si="78"/>
        <v>8.1993116436472405E-2</v>
      </c>
      <c r="G238" s="1044">
        <f t="shared" si="78"/>
        <v>0.16190917087171891</v>
      </c>
    </row>
    <row r="239" spans="1:36" ht="12.75" customHeight="1">
      <c r="B239" s="1054" t="s">
        <v>220</v>
      </c>
      <c r="C239" s="1055">
        <v>54.92</v>
      </c>
      <c r="D239" s="1056">
        <v>50.38</v>
      </c>
      <c r="E239" s="1057">
        <v>48.170999999999999</v>
      </c>
      <c r="F239" s="1058">
        <v>28.259</v>
      </c>
      <c r="G239" s="1057">
        <v>40.314999999999998</v>
      </c>
    </row>
    <row r="240" spans="1:36" s="846" customFormat="1" ht="12.75" customHeight="1">
      <c r="A240" s="556"/>
      <c r="B240" s="1065" t="s">
        <v>182</v>
      </c>
      <c r="C240" s="1067">
        <f>C239/C241</f>
        <v>2.4792231887721707E-2</v>
      </c>
      <c r="D240" s="1063">
        <f t="shared" ref="D240:G240" si="79">D239/D241</f>
        <v>2.5803279444189781E-2</v>
      </c>
      <c r="E240" s="1067">
        <f t="shared" si="79"/>
        <v>2.832981643930358E-2</v>
      </c>
      <c r="F240" s="1063">
        <f t="shared" si="79"/>
        <v>1.8504815613221263E-2</v>
      </c>
      <c r="G240" s="1067">
        <f t="shared" si="79"/>
        <v>2.6662125430700959E-2</v>
      </c>
      <c r="H240" s="556"/>
      <c r="I240" s="556"/>
      <c r="J240" s="556"/>
      <c r="K240" s="556"/>
      <c r="L240" s="556"/>
      <c r="M240" s="556"/>
      <c r="N240" s="556"/>
      <c r="O240" s="556"/>
      <c r="P240" s="556"/>
      <c r="Q240" s="556"/>
      <c r="R240" s="556"/>
      <c r="S240" s="556"/>
      <c r="T240" s="556"/>
      <c r="U240" s="556"/>
      <c r="V240" s="556"/>
      <c r="W240" s="556"/>
      <c r="X240" s="556"/>
      <c r="Y240" s="556"/>
      <c r="Z240" s="556"/>
      <c r="AA240" s="556"/>
      <c r="AB240" s="556"/>
      <c r="AC240" s="556"/>
      <c r="AD240" s="556"/>
      <c r="AE240" s="556"/>
      <c r="AF240" s="556"/>
      <c r="AG240" s="556"/>
      <c r="AH240" s="556"/>
      <c r="AI240" s="556"/>
      <c r="AJ240" s="556"/>
    </row>
    <row r="241" spans="1:36" ht="12.75" customHeight="1">
      <c r="B241" s="1066" t="s">
        <v>457</v>
      </c>
      <c r="C241" s="1047">
        <f>C230+C233+C236+C239</f>
        <v>2215.21</v>
      </c>
      <c r="D241" s="1047">
        <f t="shared" ref="D241:G241" si="80">D230+D233+D236+D239</f>
        <v>1952.4650000000001</v>
      </c>
      <c r="E241" s="1047">
        <f t="shared" si="80"/>
        <v>1700.3640000000003</v>
      </c>
      <c r="F241" s="1047">
        <f t="shared" si="80"/>
        <v>1527.116</v>
      </c>
      <c r="G241" s="1048">
        <f t="shared" si="80"/>
        <v>1512.07</v>
      </c>
    </row>
    <row r="243" spans="1:36" ht="12.75" customHeight="1">
      <c r="A243" s="847" t="s">
        <v>630</v>
      </c>
      <c r="B243" s="846"/>
      <c r="C243" s="846"/>
      <c r="D243" s="846"/>
      <c r="E243" s="846"/>
      <c r="F243" s="846"/>
      <c r="G243" s="846"/>
      <c r="H243" s="846"/>
      <c r="I243" s="846"/>
      <c r="J243" s="846"/>
      <c r="K243" s="846"/>
      <c r="L243" s="846"/>
      <c r="M243" s="846"/>
      <c r="N243" s="846"/>
      <c r="O243" s="846"/>
      <c r="P243" s="846"/>
      <c r="Q243" s="846"/>
      <c r="R243" s="846"/>
      <c r="S243" s="846"/>
      <c r="T243" s="846"/>
      <c r="U243" s="846"/>
      <c r="V243" s="846"/>
      <c r="W243" s="846"/>
      <c r="X243" s="846"/>
      <c r="Y243" s="846"/>
      <c r="Z243" s="846"/>
      <c r="AA243" s="846"/>
      <c r="AB243" s="846"/>
      <c r="AC243" s="846"/>
      <c r="AD243" s="846"/>
      <c r="AE243" s="846"/>
      <c r="AF243" s="846"/>
      <c r="AG243" s="846"/>
      <c r="AH243" s="846"/>
      <c r="AI243" s="846"/>
      <c r="AJ243" s="846"/>
    </row>
    <row r="244" spans="1:36" ht="12.75" customHeight="1">
      <c r="B244" s="849"/>
    </row>
    <row r="245" spans="1:36" ht="12.75" customHeight="1">
      <c r="B245" s="746">
        <v>2023</v>
      </c>
      <c r="C245" s="825">
        <v>2022</v>
      </c>
      <c r="D245" s="746">
        <v>2021</v>
      </c>
      <c r="E245"/>
      <c r="F245"/>
      <c r="G245"/>
      <c r="H245"/>
      <c r="I245"/>
    </row>
    <row r="246" spans="1:36" ht="12.75" customHeight="1">
      <c r="A246" s="1296" t="s">
        <v>631</v>
      </c>
      <c r="B246" s="1297">
        <f>Inputs!B72</f>
        <v>-1591.52</v>
      </c>
      <c r="C246" s="1297">
        <f>Inputs!C72</f>
        <v>-2803.8</v>
      </c>
      <c r="D246" s="1298">
        <f>Inputs!D72</f>
        <v>-3204.09</v>
      </c>
      <c r="F246" s="870" t="s">
        <v>628</v>
      </c>
      <c r="G246" s="870" t="s">
        <v>622</v>
      </c>
      <c r="H246"/>
      <c r="I246"/>
    </row>
    <row r="247" spans="1:36" ht="12.75" customHeight="1">
      <c r="A247" s="853" t="s">
        <v>438</v>
      </c>
      <c r="B247" s="1295">
        <f>DCF!D34</f>
        <v>3577.4050000000002</v>
      </c>
      <c r="C247" s="1295">
        <f>DCF!E34</f>
        <v>5332.6540000000023</v>
      </c>
      <c r="D247" s="1294">
        <f>DCF!F34</f>
        <v>4258.8720000000012</v>
      </c>
      <c r="F247" s="877">
        <v>-0.45</v>
      </c>
      <c r="G247" s="877">
        <v>-0.55000000000000004</v>
      </c>
      <c r="H247"/>
      <c r="I247"/>
    </row>
    <row r="248" spans="1:36" customFormat="1" ht="12.75" customHeight="1">
      <c r="A248" s="1299" t="s">
        <v>516</v>
      </c>
      <c r="B248" s="1300">
        <f>B246/B247</f>
        <v>-0.44488113590717293</v>
      </c>
      <c r="C248" s="1300">
        <f>C246/C247</f>
        <v>-0.52577947116013879</v>
      </c>
      <c r="D248" s="1301">
        <f>D246/D247</f>
        <v>-0.75233301212151937</v>
      </c>
      <c r="E248" s="556"/>
      <c r="F248" s="877"/>
      <c r="G248" s="877"/>
    </row>
    <row r="249" spans="1:36" customFormat="1" ht="12.75" customHeight="1">
      <c r="A249" s="556"/>
      <c r="B249" s="556"/>
      <c r="C249" s="556"/>
      <c r="D249" s="556"/>
    </row>
    <row r="250" spans="1:36" ht="12.75" customHeight="1">
      <c r="B250"/>
      <c r="C250"/>
      <c r="D250"/>
      <c r="E250"/>
      <c r="F250"/>
      <c r="G250"/>
      <c r="H250"/>
      <c r="I250"/>
    </row>
    <row r="251" spans="1:36" ht="12.75" customHeight="1">
      <c r="E251"/>
      <c r="F251"/>
      <c r="G251"/>
      <c r="H251"/>
      <c r="I251"/>
    </row>
    <row r="252" spans="1:36" ht="12.75" customHeight="1">
      <c r="E252"/>
      <c r="F252"/>
      <c r="G252"/>
      <c r="H252"/>
      <c r="I252"/>
    </row>
    <row r="253" spans="1:36" ht="12.75" customHeight="1">
      <c r="B253"/>
      <c r="C253"/>
      <c r="D253"/>
      <c r="E253"/>
      <c r="F253"/>
      <c r="G253"/>
      <c r="H253"/>
      <c r="I253"/>
    </row>
    <row r="254" spans="1:36" ht="12.75" customHeight="1">
      <c r="B254" s="746">
        <v>2023</v>
      </c>
      <c r="C254" s="825">
        <v>2022</v>
      </c>
      <c r="D254" s="825">
        <v>2021</v>
      </c>
      <c r="G254"/>
      <c r="H254"/>
      <c r="I254"/>
    </row>
    <row r="255" spans="1:36" ht="12.75" customHeight="1">
      <c r="A255" s="1296" t="s">
        <v>632</v>
      </c>
      <c r="B255" s="1302">
        <f>Inputs!B71</f>
        <v>-514.53</v>
      </c>
      <c r="C255" s="1302">
        <f>Inputs!C71</f>
        <v>-533.59</v>
      </c>
      <c r="D255" s="1303">
        <f>Inputs!D71</f>
        <v>-483.47</v>
      </c>
      <c r="F255" s="870" t="s">
        <v>628</v>
      </c>
      <c r="G255" s="870" t="s">
        <v>622</v>
      </c>
      <c r="H255"/>
      <c r="I255"/>
    </row>
    <row r="256" spans="1:36" ht="12.75" customHeight="1">
      <c r="A256" s="853" t="s">
        <v>633</v>
      </c>
      <c r="B256" s="1031">
        <f>DCF!D34</f>
        <v>3577.4050000000002</v>
      </c>
      <c r="C256" s="1031">
        <f>DCF!E34</f>
        <v>5332.6540000000023</v>
      </c>
      <c r="D256" s="830">
        <f>DCF!F34</f>
        <v>4258.8720000000012</v>
      </c>
      <c r="E256"/>
      <c r="F256" s="877">
        <v>0.1</v>
      </c>
      <c r="G256" s="877">
        <v>0.15</v>
      </c>
      <c r="H256"/>
      <c r="I256"/>
    </row>
    <row r="257" spans="1:36" ht="12.75" customHeight="1">
      <c r="A257" s="1299" t="s">
        <v>634</v>
      </c>
      <c r="B257" s="1304">
        <f>B255/B256</f>
        <v>-0.14382771869553487</v>
      </c>
      <c r="C257" s="1304">
        <f>C255/C256</f>
        <v>-0.10006087025334848</v>
      </c>
      <c r="D257" s="1305">
        <f>D255/D256</f>
        <v>-0.11352066932276901</v>
      </c>
      <c r="E257"/>
      <c r="F257"/>
      <c r="G257"/>
      <c r="H257"/>
      <c r="I257"/>
    </row>
    <row r="258" spans="1:36" ht="12.75" customHeight="1">
      <c r="A258"/>
      <c r="B258"/>
      <c r="C258"/>
      <c r="D258"/>
      <c r="E258"/>
      <c r="F258"/>
      <c r="G258"/>
      <c r="H258"/>
      <c r="I258"/>
    </row>
    <row r="259" spans="1:36" ht="12.75" customHeight="1">
      <c r="A259"/>
      <c r="B259"/>
      <c r="C259"/>
      <c r="D259"/>
      <c r="E259"/>
      <c r="F259"/>
      <c r="G259"/>
      <c r="H259"/>
      <c r="I259"/>
    </row>
    <row r="263" spans="1:36" ht="12.75" customHeight="1">
      <c r="A263" s="905" t="s">
        <v>635</v>
      </c>
      <c r="B263" s="905"/>
      <c r="C263" s="846"/>
      <c r="D263" s="846"/>
      <c r="E263" s="846"/>
      <c r="F263" s="846"/>
      <c r="G263" s="846"/>
      <c r="H263" s="846"/>
      <c r="I263" s="846"/>
      <c r="J263" s="846"/>
      <c r="K263" s="846"/>
      <c r="L263" s="846"/>
      <c r="M263" s="846"/>
      <c r="N263" s="846"/>
      <c r="O263" s="846"/>
      <c r="P263" s="846"/>
      <c r="Q263" s="846"/>
      <c r="R263" s="846"/>
      <c r="S263" s="846"/>
      <c r="T263" s="846"/>
      <c r="U263" s="846"/>
      <c r="V263" s="846"/>
      <c r="W263" s="846"/>
      <c r="X263" s="846"/>
      <c r="Y263" s="846"/>
      <c r="Z263" s="846"/>
      <c r="AA263" s="846"/>
      <c r="AB263" s="846"/>
      <c r="AC263" s="846"/>
      <c r="AD263" s="846"/>
      <c r="AE263" s="846"/>
      <c r="AF263" s="846"/>
      <c r="AG263" s="846"/>
      <c r="AH263" s="846"/>
      <c r="AI263" s="846"/>
      <c r="AJ263" s="846"/>
    </row>
    <row r="264" spans="1:36" ht="12.75" customHeight="1" thickBot="1"/>
    <row r="265" spans="1:36" ht="12.75" customHeight="1" thickBot="1">
      <c r="K265" s="1653" t="s">
        <v>636</v>
      </c>
      <c r="L265" s="1654"/>
      <c r="O265" s="937" t="s">
        <v>637</v>
      </c>
      <c r="P265" s="938" t="s">
        <v>638</v>
      </c>
    </row>
    <row r="266" spans="1:36" ht="12.75" customHeight="1" thickBot="1">
      <c r="B266"/>
      <c r="C266" s="1650" t="s">
        <v>639</v>
      </c>
      <c r="D266" s="1651"/>
      <c r="E266" s="1651"/>
      <c r="F266" s="1651"/>
      <c r="G266" s="1652"/>
      <c r="H266" s="906" t="s">
        <v>640</v>
      </c>
      <c r="I266" s="906" t="s">
        <v>641</v>
      </c>
      <c r="K266" s="985" t="s">
        <v>213</v>
      </c>
      <c r="L266" s="983">
        <f>(G286+F286+C286+D286)/4</f>
        <v>1.8572342064132736E-2</v>
      </c>
      <c r="N266" s="936" t="s">
        <v>642</v>
      </c>
      <c r="O266" s="935">
        <v>0.03</v>
      </c>
      <c r="P266" s="987">
        <v>2.5000000000000001E-2</v>
      </c>
    </row>
    <row r="267" spans="1:36" ht="12.75" customHeight="1" thickBot="1">
      <c r="B267"/>
      <c r="C267" s="907">
        <v>2023</v>
      </c>
      <c r="D267" s="908">
        <v>2022</v>
      </c>
      <c r="E267" s="908">
        <v>2021</v>
      </c>
      <c r="F267" s="908">
        <v>2020</v>
      </c>
      <c r="G267" s="908">
        <v>2019</v>
      </c>
      <c r="H267" s="909" t="s">
        <v>421</v>
      </c>
      <c r="I267" s="909" t="s">
        <v>421</v>
      </c>
      <c r="K267" s="986" t="s">
        <v>641</v>
      </c>
      <c r="L267" s="984">
        <v>6.2138075946800136E-3</v>
      </c>
    </row>
    <row r="268" spans="1:36" ht="12.75" customHeight="1">
      <c r="B268" s="910" t="s">
        <v>643</v>
      </c>
      <c r="C268" s="911">
        <v>34714</v>
      </c>
      <c r="D268" s="911">
        <v>41512</v>
      </c>
      <c r="E268" s="911">
        <v>36484</v>
      </c>
      <c r="F268" s="911">
        <v>20140</v>
      </c>
      <c r="G268" s="911">
        <v>22588.858</v>
      </c>
      <c r="H268" s="912"/>
      <c r="I268" s="912"/>
    </row>
    <row r="269" spans="1:36" ht="12.75" customHeight="1">
      <c r="B269" s="913" t="s">
        <v>644</v>
      </c>
      <c r="C269" s="914">
        <f>C268-D268</f>
        <v>-6798</v>
      </c>
      <c r="D269" s="914">
        <f>D268-E268</f>
        <v>5028</v>
      </c>
      <c r="E269" s="914">
        <v>217024</v>
      </c>
      <c r="F269" s="914">
        <f>F268-G268</f>
        <v>-2448.8580000000002</v>
      </c>
      <c r="G269" s="914">
        <v>217024</v>
      </c>
      <c r="H269" s="915"/>
      <c r="I269" s="915"/>
      <c r="K269" s="556" t="s">
        <v>645</v>
      </c>
    </row>
    <row r="270" spans="1:36" ht="12.75" customHeight="1">
      <c r="B270" s="916" t="s">
        <v>407</v>
      </c>
      <c r="C270" s="917">
        <f>C268/D268-1</f>
        <v>-0.16375987666216996</v>
      </c>
      <c r="D270" s="917">
        <f>D268/E268-1</f>
        <v>0.1378138362021708</v>
      </c>
      <c r="E270" s="917">
        <v>0.34143294731029372</v>
      </c>
      <c r="F270" s="917">
        <f>F268/G268-1</f>
        <v>-0.10840999575985644</v>
      </c>
      <c r="G270" s="917">
        <v>0.34143294731029372</v>
      </c>
      <c r="H270" s="918">
        <f>AVERAGE(C270:G270)</f>
        <v>0.10970197168014637</v>
      </c>
      <c r="I270" s="918">
        <f>_xlfn.STDEV.S(C270:G270)</f>
        <v>0.24007445714780312</v>
      </c>
      <c r="K270" s="990"/>
    </row>
    <row r="271" spans="1:36" ht="12.75" customHeight="1" thickBot="1">
      <c r="B271" s="919" t="s">
        <v>646</v>
      </c>
      <c r="C271" s="353"/>
      <c r="D271" s="353"/>
      <c r="E271" s="353"/>
      <c r="F271" s="353"/>
      <c r="G271" s="353"/>
      <c r="H271" s="920"/>
      <c r="I271" s="920"/>
      <c r="K271" s="990"/>
    </row>
    <row r="272" spans="1:36" ht="12.75" hidden="1" customHeight="1" thickBot="1">
      <c r="B272" s="921" t="s">
        <v>647</v>
      </c>
      <c r="C272" s="934">
        <f>663825/1000</f>
        <v>663.82500000000005</v>
      </c>
      <c r="D272" s="934">
        <f>501225/1000</f>
        <v>501.22500000000002</v>
      </c>
      <c r="E272" s="922">
        <f>-1392084/1000</f>
        <v>-1392.0840000000001</v>
      </c>
      <c r="F272" s="914">
        <v>-129.29</v>
      </c>
      <c r="G272" s="922">
        <v>361.34</v>
      </c>
      <c r="H272" s="915"/>
      <c r="I272" s="915"/>
      <c r="K272" s="990"/>
    </row>
    <row r="273" spans="1:36" ht="12.75" hidden="1" customHeight="1" thickBot="1">
      <c r="B273" s="916" t="s">
        <v>648</v>
      </c>
      <c r="C273" s="917">
        <f>C272/C268</f>
        <v>1.9122688252578211E-2</v>
      </c>
      <c r="D273" s="917">
        <f>D272/D268</f>
        <v>1.2074219502794373E-2</v>
      </c>
      <c r="E273" s="917">
        <f>E272/E268</f>
        <v>-3.8156013595000551E-2</v>
      </c>
      <c r="F273" s="917">
        <f>F272/F268</f>
        <v>-6.4195630585898705E-3</v>
      </c>
      <c r="G273" s="917">
        <f>G272/G268</f>
        <v>1.5996381933075145E-2</v>
      </c>
      <c r="H273" s="918">
        <f>AVERAGE(C273:G273)</f>
        <v>5.2354260697146137E-4</v>
      </c>
      <c r="I273" s="918">
        <f>_xlfn.STDEV.S(C273:G273)</f>
        <v>2.3785867109348106E-2</v>
      </c>
      <c r="K273"/>
      <c r="L273"/>
      <c r="M273"/>
      <c r="N273"/>
    </row>
    <row r="274" spans="1:36" ht="12.75" hidden="1" customHeight="1">
      <c r="B274" s="921" t="s">
        <v>649</v>
      </c>
      <c r="C274" s="922">
        <v>-75.042000000000002</v>
      </c>
      <c r="D274" s="922">
        <v>962.42399999999998</v>
      </c>
      <c r="E274" s="922">
        <v>-2307.3359999999998</v>
      </c>
      <c r="F274" s="922">
        <v>284.08100000000002</v>
      </c>
      <c r="G274" s="922">
        <v>712.64499999999998</v>
      </c>
      <c r="H274" s="915"/>
      <c r="I274" s="915"/>
    </row>
    <row r="275" spans="1:36" ht="12.75" hidden="1" customHeight="1">
      <c r="B275" s="916" t="s">
        <v>648</v>
      </c>
      <c r="C275" s="917">
        <f>C274/C268</f>
        <v>-2.1617214956501699E-3</v>
      </c>
      <c r="D275" s="917">
        <f>D274/D268</f>
        <v>2.3184235883599923E-2</v>
      </c>
      <c r="E275" s="917">
        <f>E274/E268</f>
        <v>-6.3242407630742237E-2</v>
      </c>
      <c r="F275" s="917">
        <f>F274/F268</f>
        <v>1.4105312810327708E-2</v>
      </c>
      <c r="G275" s="917">
        <f>G274/G268</f>
        <v>3.1548518300482477E-2</v>
      </c>
      <c r="H275" s="918">
        <f>AVERAGE(C275:G275)</f>
        <v>6.8678757360354087E-4</v>
      </c>
      <c r="I275" s="918">
        <f>_xlfn.STDEV.S(C275:G275)</f>
        <v>3.7860581172378067E-2</v>
      </c>
    </row>
    <row r="276" spans="1:36" ht="12.75" hidden="1" customHeight="1">
      <c r="B276" t="s">
        <v>650</v>
      </c>
      <c r="C276" s="922">
        <v>361.14600000000002</v>
      </c>
      <c r="D276" s="922">
        <v>-496.23399999999998</v>
      </c>
      <c r="E276" s="922">
        <v>383.428</v>
      </c>
      <c r="F276" s="922">
        <v>250.56100000000001</v>
      </c>
      <c r="G276" s="922">
        <v>-253.45699999999999</v>
      </c>
      <c r="H276" s="923"/>
      <c r="I276" s="923"/>
    </row>
    <row r="277" spans="1:36" ht="12.75" hidden="1" customHeight="1">
      <c r="B277" s="916" t="s">
        <v>648</v>
      </c>
      <c r="C277" s="917">
        <f>C276/C268</f>
        <v>1.0403468341303221E-2</v>
      </c>
      <c r="D277" s="917">
        <f>D276/D268</f>
        <v>-1.1953989207939872E-2</v>
      </c>
      <c r="E277" s="917">
        <f>E276/E268</f>
        <v>1.0509483609253372E-2</v>
      </c>
      <c r="F277" s="917">
        <f>F276/F268</f>
        <v>1.2440963257199603E-2</v>
      </c>
      <c r="G277" s="917">
        <f>G276/G268</f>
        <v>-1.122044328225889E-2</v>
      </c>
      <c r="H277" s="918">
        <f>AVERAGE(C277:G277)</f>
        <v>2.0358965435114868E-3</v>
      </c>
      <c r="I277" s="918">
        <f>_xlfn.STDEV.S(C277:G277)</f>
        <v>1.2465259702300387E-2</v>
      </c>
    </row>
    <row r="278" spans="1:36" ht="12.75" hidden="1" customHeight="1">
      <c r="B278" t="s">
        <v>651</v>
      </c>
      <c r="C278" s="922">
        <v>188.34399999999999</v>
      </c>
      <c r="D278" s="922">
        <v>-337.35899999999998</v>
      </c>
      <c r="E278" s="922">
        <v>313.67899999999997</v>
      </c>
      <c r="F278" s="922">
        <v>-197.27500000000001</v>
      </c>
      <c r="G278" s="922">
        <v>-180.32499999999999</v>
      </c>
      <c r="H278" s="923"/>
      <c r="I278" s="923"/>
    </row>
    <row r="279" spans="1:36" ht="12.75" hidden="1" customHeight="1">
      <c r="B279" s="916" t="s">
        <v>648</v>
      </c>
      <c r="C279" s="917">
        <f>C278/C268</f>
        <v>5.4255919801809065E-3</v>
      </c>
      <c r="D279" s="917">
        <f>D278/D268</f>
        <v>-8.1267826170745797E-3</v>
      </c>
      <c r="E279" s="917">
        <f>E278/E268</f>
        <v>8.597714066440082E-3</v>
      </c>
      <c r="F279" s="917">
        <f>F278/F268</f>
        <v>-9.7951837140019867E-3</v>
      </c>
      <c r="G279" s="917">
        <f>G278/G268</f>
        <v>-7.9829179500796356E-3</v>
      </c>
      <c r="H279" s="918">
        <f>AVERAGE(C279:G279)</f>
        <v>-2.3763156469070431E-3</v>
      </c>
      <c r="I279" s="918">
        <f>_xlfn.STDEV.S(C279:G279)</f>
        <v>8.6723779024113073E-3</v>
      </c>
    </row>
    <row r="280" spans="1:36" ht="12.75" hidden="1" customHeight="1">
      <c r="B280" t="s">
        <v>652</v>
      </c>
      <c r="C280" s="922">
        <v>-290.85899999999998</v>
      </c>
      <c r="D280" s="922">
        <v>155.005</v>
      </c>
      <c r="E280" s="922">
        <v>997.03399999999999</v>
      </c>
      <c r="F280" s="922">
        <v>-41.168999999999997</v>
      </c>
      <c r="G280" s="922">
        <v>-186.755</v>
      </c>
      <c r="H280" s="923"/>
      <c r="I280" s="923"/>
    </row>
    <row r="281" spans="1:36" ht="12.75" hidden="1" customHeight="1">
      <c r="B281" s="916" t="s">
        <v>648</v>
      </c>
      <c r="C281" s="917">
        <f>C280/C268</f>
        <v>-8.3787232816730992E-3</v>
      </c>
      <c r="D281" s="917">
        <f>D280/D268</f>
        <v>3.7339805357486989E-3</v>
      </c>
      <c r="E281" s="917">
        <f>E280/E268</f>
        <v>2.7327979388224975E-2</v>
      </c>
      <c r="F281" s="917">
        <f>F280/F268</f>
        <v>-2.0441410129096323E-3</v>
      </c>
      <c r="G281" s="917">
        <f>G280/G268</f>
        <v>-8.2675715611652441E-3</v>
      </c>
      <c r="H281" s="918">
        <f>AVERAGE(C281:G281)</f>
        <v>2.4743048136451401E-3</v>
      </c>
      <c r="I281" s="918">
        <f>_xlfn.STDEV.S(C281:G281)</f>
        <v>1.4772308573484376E-2</v>
      </c>
    </row>
    <row r="282" spans="1:36" ht="12.75" hidden="1" customHeight="1">
      <c r="B282" s="921" t="s">
        <v>653</v>
      </c>
      <c r="C282" s="922">
        <v>10.992000000000001</v>
      </c>
      <c r="D282" s="922">
        <v>92.379000000000005</v>
      </c>
      <c r="E282" s="922">
        <v>142.38900000000001</v>
      </c>
      <c r="F282" s="922">
        <v>37.091999999999999</v>
      </c>
      <c r="G282" s="922">
        <v>-40.177999999999997</v>
      </c>
      <c r="H282" s="923"/>
      <c r="I282" s="923"/>
    </row>
    <row r="283" spans="1:36" ht="12.75" hidden="1" customHeight="1">
      <c r="B283" s="916" t="s">
        <v>648</v>
      </c>
      <c r="C283" s="917">
        <f>C282/C268</f>
        <v>3.166445814368843E-4</v>
      </c>
      <c r="D283" s="917">
        <f>D282/D268</f>
        <v>2.2253565234149164E-3</v>
      </c>
      <c r="E283" s="917">
        <f>E282/E268</f>
        <v>3.9027793005152948E-3</v>
      </c>
      <c r="F283" s="917">
        <v>0</v>
      </c>
      <c r="G283" s="917">
        <f>G282/G268</f>
        <v>-1.7786645079622882E-3</v>
      </c>
      <c r="H283" s="918">
        <f>AVERAGE(C283:G283)</f>
        <v>9.332231794809614E-4</v>
      </c>
      <c r="I283" s="918">
        <f>_xlfn.STDEV.S(C283:G283)</f>
        <v>2.1847929898546033E-3</v>
      </c>
    </row>
    <row r="284" spans="1:36" ht="12.75" customHeight="1" thickBot="1">
      <c r="B284" s="924" t="s">
        <v>654</v>
      </c>
      <c r="C284" s="925">
        <f>C272+C274+C276+C278+C280+C282</f>
        <v>858.40600000000018</v>
      </c>
      <c r="D284" s="925">
        <f>D272+D274+D276+D278+D280+D282</f>
        <v>877.44</v>
      </c>
      <c r="E284" s="925">
        <f>E272+E274+E276+E278+E280+E282</f>
        <v>-1862.8899999999999</v>
      </c>
      <c r="F284" s="925">
        <f>F272+F274+F276+F278+F280+F282</f>
        <v>204</v>
      </c>
      <c r="G284" s="926">
        <f>G272+G274+G276+G278+G280+G282</f>
        <v>413.27</v>
      </c>
      <c r="H284" s="927">
        <f>AVERAGE(C284:G284)</f>
        <v>98.045200000000065</v>
      </c>
      <c r="I284" s="927">
        <f>_xlfn.STDEV.S(C284:G284)</f>
        <v>1133.7399121073581</v>
      </c>
    </row>
    <row r="285" spans="1:36" ht="12.75" customHeight="1">
      <c r="B285" s="928" t="s">
        <v>655</v>
      </c>
      <c r="C285" s="929">
        <f>C284/C269</f>
        <v>-0.12627331568108269</v>
      </c>
      <c r="D285" s="929">
        <f>D284/D269</f>
        <v>0.17451073985680193</v>
      </c>
      <c r="E285" s="929">
        <f>E284/E269</f>
        <v>-8.583797183721615E-3</v>
      </c>
      <c r="F285" s="929">
        <f>F284/F269</f>
        <v>-8.3304136050354888E-2</v>
      </c>
      <c r="G285" s="929">
        <f>G284/G269</f>
        <v>1.9042594367443232E-3</v>
      </c>
      <c r="H285" s="930">
        <f>AVERAGE(C285:G285)</f>
        <v>-8.349249924322585E-3</v>
      </c>
      <c r="I285" s="930">
        <f>_xlfn.STDEV.S(C285:G285)</f>
        <v>0.11518168861429157</v>
      </c>
      <c r="K285" s="556" t="s">
        <v>656</v>
      </c>
    </row>
    <row r="286" spans="1:36" s="846" customFormat="1" ht="12.75" customHeight="1" thickBot="1">
      <c r="A286" s="556"/>
      <c r="B286" s="931" t="s">
        <v>648</v>
      </c>
      <c r="C286" s="932">
        <f>C284/C268</f>
        <v>2.4727948378175955E-2</v>
      </c>
      <c r="D286" s="932">
        <f>D284/D268</f>
        <v>2.113702062054346E-2</v>
      </c>
      <c r="E286" s="932">
        <f>E284/E268</f>
        <v>-5.1060464861309066E-2</v>
      </c>
      <c r="F286" s="932">
        <f>F284/F268</f>
        <v>1.012909632571996E-2</v>
      </c>
      <c r="G286" s="932">
        <f>G284/G268</f>
        <v>1.8295302932091563E-2</v>
      </c>
      <c r="H286" s="933">
        <f>AVERAGE(C286:G286)</f>
        <v>4.6457806790443758E-3</v>
      </c>
      <c r="I286" s="933">
        <f>_xlfn.STDEV.S(C286:G286)</f>
        <v>3.1602280197494427E-2</v>
      </c>
      <c r="J286" s="556"/>
      <c r="K286" s="556"/>
      <c r="L286" s="556"/>
      <c r="M286" s="556"/>
      <c r="N286" s="556"/>
      <c r="O286" s="556"/>
      <c r="P286" s="556"/>
      <c r="Q286" s="556"/>
      <c r="R286" s="556"/>
      <c r="S286" s="556"/>
      <c r="T286" s="556"/>
      <c r="U286" s="556"/>
      <c r="V286" s="556"/>
      <c r="W286" s="556"/>
      <c r="X286" s="556"/>
      <c r="Y286" s="556"/>
      <c r="Z286" s="556"/>
      <c r="AA286" s="556"/>
      <c r="AB286" s="556"/>
      <c r="AC286" s="556"/>
      <c r="AD286" s="556"/>
      <c r="AE286" s="556"/>
      <c r="AF286" s="556"/>
      <c r="AG286" s="556"/>
      <c r="AH286" s="556"/>
      <c r="AI286" s="556"/>
      <c r="AJ286" s="556"/>
    </row>
    <row r="287" spans="1:36" ht="12.75" customHeight="1">
      <c r="K287" s="556" t="s">
        <v>657</v>
      </c>
      <c r="L287" s="990"/>
      <c r="M287" s="990"/>
    </row>
    <row r="289" spans="1:36" ht="12.75" customHeight="1">
      <c r="A289" s="905" t="s">
        <v>476</v>
      </c>
      <c r="B289" s="905"/>
      <c r="C289" s="846"/>
      <c r="D289" s="846"/>
      <c r="E289" s="846"/>
      <c r="F289" s="846"/>
      <c r="G289" s="846"/>
      <c r="H289" s="846"/>
      <c r="I289" s="846"/>
      <c r="J289" s="846"/>
      <c r="K289" s="846"/>
      <c r="L289" s="846"/>
      <c r="M289" s="846"/>
      <c r="N289" s="846"/>
      <c r="O289" s="846"/>
      <c r="P289" s="846"/>
      <c r="Q289" s="846"/>
      <c r="R289" s="846"/>
      <c r="S289" s="846"/>
      <c r="T289" s="846"/>
      <c r="U289" s="846"/>
      <c r="V289" s="846"/>
      <c r="W289" s="846"/>
      <c r="X289" s="846"/>
      <c r="Y289" s="846"/>
      <c r="Z289" s="846"/>
      <c r="AA289" s="846"/>
      <c r="AB289" s="846"/>
      <c r="AC289" s="846"/>
      <c r="AD289" s="846"/>
      <c r="AE289" s="846"/>
      <c r="AF289" s="846"/>
      <c r="AG289" s="846"/>
      <c r="AH289" s="846"/>
      <c r="AI289" s="846"/>
      <c r="AJ289" s="846"/>
    </row>
    <row r="290" spans="1:36" ht="12.75" hidden="1" customHeight="1"/>
    <row r="291" spans="1:36" ht="12.75" hidden="1" customHeight="1" thickBot="1">
      <c r="B291" s="19"/>
      <c r="C291" s="959">
        <v>2023</v>
      </c>
      <c r="D291" s="960">
        <v>2022</v>
      </c>
      <c r="E291" s="960">
        <v>2021</v>
      </c>
      <c r="F291" s="960">
        <v>2020</v>
      </c>
      <c r="G291" s="960">
        <v>2019</v>
      </c>
      <c r="H291" s="961">
        <v>2018</v>
      </c>
      <c r="I291" s="962" t="s">
        <v>213</v>
      </c>
      <c r="J291" s="962" t="s">
        <v>641</v>
      </c>
    </row>
    <row r="292" spans="1:36" ht="12.75" hidden="1" customHeight="1" thickBot="1">
      <c r="B292" s="954" t="s">
        <v>643</v>
      </c>
      <c r="C292" s="975">
        <v>34714</v>
      </c>
      <c r="D292" s="976">
        <v>41512</v>
      </c>
      <c r="E292" s="976">
        <v>36484</v>
      </c>
      <c r="F292" s="976">
        <v>20140</v>
      </c>
      <c r="G292" s="976">
        <v>22588.858</v>
      </c>
      <c r="H292" s="977">
        <v>950.9</v>
      </c>
      <c r="I292" s="963"/>
      <c r="J292" s="963"/>
      <c r="L292" s="990"/>
      <c r="M292" s="990"/>
      <c r="N292" s="990"/>
    </row>
    <row r="293" spans="1:36" ht="12.75" hidden="1" customHeight="1" thickBot="1">
      <c r="B293" s="948" t="s">
        <v>658</v>
      </c>
      <c r="C293" s="978">
        <v>-70.823999999999998</v>
      </c>
      <c r="D293" s="979">
        <v>-3553.1909999999998</v>
      </c>
      <c r="E293" s="979">
        <v>-1426.424</v>
      </c>
      <c r="F293" s="979">
        <v>-88.070999999999998</v>
      </c>
      <c r="G293" s="979">
        <v>-83.105999999999995</v>
      </c>
      <c r="H293" s="980">
        <v>-33.063000000000002</v>
      </c>
      <c r="I293" s="964"/>
      <c r="J293" s="964"/>
      <c r="L293" s="990"/>
      <c r="M293" s="990"/>
      <c r="N293" s="990"/>
    </row>
    <row r="294" spans="1:36" ht="12.75" hidden="1" customHeight="1" thickBot="1">
      <c r="B294" s="957" t="s">
        <v>659</v>
      </c>
      <c r="C294" s="965">
        <f t="shared" ref="C294:H294" si="81">C293/C292</f>
        <v>-2.0402143227516273E-3</v>
      </c>
      <c r="D294" s="966">
        <f t="shared" si="81"/>
        <v>-8.5594310079013289E-2</v>
      </c>
      <c r="E294" s="966">
        <f t="shared" si="81"/>
        <v>-3.9097248108760002E-2</v>
      </c>
      <c r="F294" s="966">
        <f t="shared" si="81"/>
        <v>-4.3729394240317777E-3</v>
      </c>
      <c r="G294" s="966">
        <f t="shared" si="81"/>
        <v>-3.679070451458856E-3</v>
      </c>
      <c r="H294" s="967">
        <f t="shared" si="81"/>
        <v>-3.4770217688505627E-2</v>
      </c>
      <c r="I294" s="968">
        <f>AVERAGE(C294:H294)</f>
        <v>-2.8259000012420196E-2</v>
      </c>
      <c r="J294" s="969">
        <f>_xlfn.STDEV.S(C294:H294)</f>
        <v>3.2586325072184209E-2</v>
      </c>
    </row>
    <row r="295" spans="1:36" ht="12.75" hidden="1" customHeight="1" thickBot="1">
      <c r="B295" s="948" t="s">
        <v>660</v>
      </c>
      <c r="C295" s="978">
        <v>-1471.528</v>
      </c>
      <c r="D295" s="979">
        <v>-913.89800000000002</v>
      </c>
      <c r="E295" s="979">
        <v>-493.88900000000001</v>
      </c>
      <c r="F295" s="979">
        <v>-488.517</v>
      </c>
      <c r="G295" s="979">
        <v>-367.74099999999999</v>
      </c>
      <c r="H295" s="980">
        <v>0</v>
      </c>
      <c r="I295" s="964"/>
      <c r="J295" s="964"/>
    </row>
    <row r="296" spans="1:36" customFormat="1" ht="12.75" customHeight="1" thickBot="1"/>
    <row r="297" spans="1:36" ht="12.75" customHeight="1">
      <c r="B297" s="954" t="s">
        <v>661</v>
      </c>
      <c r="C297" s="975">
        <v>1317.308</v>
      </c>
      <c r="D297" s="976">
        <v>590.173</v>
      </c>
      <c r="E297" s="976">
        <v>648.88699999999994</v>
      </c>
      <c r="F297" s="976">
        <v>392.178</v>
      </c>
      <c r="G297" s="976">
        <v>67.700999999999993</v>
      </c>
      <c r="H297" s="977">
        <v>50</v>
      </c>
      <c r="I297" s="963"/>
      <c r="J297" s="963"/>
    </row>
    <row r="298" spans="1:36" ht="12.75" customHeight="1">
      <c r="B298" s="948" t="s">
        <v>662</v>
      </c>
      <c r="C298" s="978">
        <f t="shared" ref="C298:H298" si="82">C295+C297</f>
        <v>-154.22000000000003</v>
      </c>
      <c r="D298" s="979">
        <f t="shared" si="82"/>
        <v>-323.72500000000002</v>
      </c>
      <c r="E298" s="979">
        <f t="shared" si="82"/>
        <v>154.99799999999993</v>
      </c>
      <c r="F298" s="979">
        <f t="shared" si="82"/>
        <v>-96.338999999999999</v>
      </c>
      <c r="G298" s="979">
        <f t="shared" si="82"/>
        <v>-300.03999999999996</v>
      </c>
      <c r="H298" s="980">
        <f t="shared" si="82"/>
        <v>50</v>
      </c>
      <c r="I298" s="964"/>
      <c r="J298" s="964"/>
    </row>
    <row r="299" spans="1:36" ht="12.75" customHeight="1">
      <c r="B299" s="958" t="s">
        <v>663</v>
      </c>
      <c r="C299" s="970">
        <f t="shared" ref="C299:H299" si="83">C298/C292</f>
        <v>-4.4425880048395471E-3</v>
      </c>
      <c r="D299" s="1278">
        <f t="shared" si="83"/>
        <v>-7.7983474657930246E-3</v>
      </c>
      <c r="E299" s="1278">
        <f t="shared" si="83"/>
        <v>4.248382852757371E-3</v>
      </c>
      <c r="F299" s="1278">
        <f t="shared" si="83"/>
        <v>-4.7834657398212509E-3</v>
      </c>
      <c r="G299" s="1278">
        <f t="shared" si="83"/>
        <v>-1.3282654660983745E-2</v>
      </c>
      <c r="H299" s="971">
        <f t="shared" si="83"/>
        <v>5.2581764644021457E-2</v>
      </c>
      <c r="I299" s="972">
        <f>AVERAGE(C299:H299)</f>
        <v>4.4205152708902103E-3</v>
      </c>
      <c r="J299" s="972">
        <f>_xlfn.STDEV.S(C299:H299)</f>
        <v>2.4271408154809677E-2</v>
      </c>
    </row>
    <row r="300" spans="1:36" ht="12.75" customHeight="1" thickBot="1">
      <c r="B300" s="948" t="s">
        <v>664</v>
      </c>
      <c r="C300" s="978">
        <f t="shared" ref="C300:H300" si="84">C298+C293</f>
        <v>-225.04400000000004</v>
      </c>
      <c r="D300" s="979">
        <f t="shared" si="84"/>
        <v>-3876.9159999999997</v>
      </c>
      <c r="E300" s="979">
        <f t="shared" si="84"/>
        <v>-1271.4259999999999</v>
      </c>
      <c r="F300" s="979">
        <f t="shared" si="84"/>
        <v>-184.41</v>
      </c>
      <c r="G300" s="979">
        <f t="shared" si="84"/>
        <v>-383.14599999999996</v>
      </c>
      <c r="H300" s="980">
        <f t="shared" si="84"/>
        <v>16.936999999999998</v>
      </c>
      <c r="I300" s="964"/>
      <c r="J300" s="964"/>
    </row>
    <row r="301" spans="1:36" s="846" customFormat="1" ht="12.75" customHeight="1" thickBot="1">
      <c r="A301" s="556"/>
      <c r="B301" s="893" t="s">
        <v>659</v>
      </c>
      <c r="C301" s="981">
        <f t="shared" ref="C301:H301" si="85">C300/C292</f>
        <v>-6.4828023275911749E-3</v>
      </c>
      <c r="D301" s="982">
        <f t="shared" si="85"/>
        <v>-9.3392657544806315E-2</v>
      </c>
      <c r="E301" s="982">
        <f t="shared" si="85"/>
        <v>-3.4848865256002629E-2</v>
      </c>
      <c r="F301" s="982">
        <f t="shared" si="85"/>
        <v>-9.1564051638530278E-3</v>
      </c>
      <c r="G301" s="982">
        <f t="shared" si="85"/>
        <v>-1.6961725112442601E-2</v>
      </c>
      <c r="H301" s="982">
        <f t="shared" si="85"/>
        <v>1.7811546955515824E-2</v>
      </c>
      <c r="I301" s="973">
        <f>AVERAGE(C301:H301)</f>
        <v>-2.3838484741529983E-2</v>
      </c>
      <c r="J301" s="974">
        <f>_xlfn.STDEV.S(C301:H301)</f>
        <v>3.8099368943753951E-2</v>
      </c>
      <c r="K301" s="556"/>
      <c r="L301" s="556"/>
      <c r="M301" s="556"/>
      <c r="N301" s="937" t="s">
        <v>637</v>
      </c>
      <c r="O301" s="938" t="s">
        <v>638</v>
      </c>
      <c r="P301" s="556"/>
      <c r="Q301" s="556"/>
      <c r="R301" s="556"/>
      <c r="S301" s="556"/>
      <c r="T301" s="556"/>
      <c r="U301" s="556"/>
      <c r="V301" s="556"/>
      <c r="W301" s="556"/>
      <c r="X301" s="556"/>
      <c r="Y301" s="556"/>
      <c r="Z301" s="556"/>
      <c r="AA301" s="556"/>
      <c r="AB301" s="556"/>
      <c r="AC301" s="556"/>
      <c r="AD301" s="556"/>
      <c r="AE301" s="556"/>
      <c r="AF301" s="556"/>
      <c r="AG301" s="556"/>
      <c r="AH301" s="556"/>
      <c r="AI301" s="556"/>
      <c r="AJ301" s="556"/>
    </row>
    <row r="302" spans="1:36" ht="12.75" customHeight="1" thickBot="1">
      <c r="M302" s="936" t="s">
        <v>642</v>
      </c>
      <c r="N302" s="1043">
        <v>-0.03</v>
      </c>
      <c r="O302" s="987">
        <v>-2.5000000000000001E-2</v>
      </c>
    </row>
    <row r="304" spans="1:36" ht="12.75" customHeight="1">
      <c r="A304" s="846"/>
      <c r="B304" s="846"/>
      <c r="C304" s="846"/>
      <c r="D304" s="846"/>
      <c r="E304" s="846"/>
      <c r="F304" s="846"/>
      <c r="G304" s="846"/>
      <c r="H304" s="846"/>
      <c r="I304" s="846"/>
      <c r="J304" s="846"/>
      <c r="K304" s="846"/>
      <c r="L304" s="846"/>
      <c r="M304" s="846"/>
      <c r="N304" s="846"/>
      <c r="O304" s="846"/>
      <c r="P304" s="846"/>
      <c r="Q304" s="846"/>
      <c r="R304" s="846"/>
      <c r="S304" s="846"/>
      <c r="T304" s="846"/>
      <c r="U304" s="846"/>
      <c r="V304" s="846"/>
      <c r="W304" s="846"/>
      <c r="X304" s="846"/>
      <c r="Y304" s="846"/>
      <c r="Z304" s="846"/>
      <c r="AA304" s="846"/>
      <c r="AB304" s="846"/>
      <c r="AC304" s="846"/>
      <c r="AD304" s="846"/>
      <c r="AE304" s="846"/>
      <c r="AF304" s="846"/>
      <c r="AG304" s="846"/>
      <c r="AH304" s="846"/>
      <c r="AI304" s="846"/>
      <c r="AJ304" s="846"/>
    </row>
    <row r="305" spans="1:36" ht="12.6" customHeight="1"/>
    <row r="306" spans="1:36" ht="2.4500000000000002" customHeight="1"/>
    <row r="307" spans="1:36" customFormat="1" ht="12.75" customHeight="1">
      <c r="A307" s="556"/>
      <c r="B307" s="556"/>
      <c r="C307" s="556"/>
      <c r="D307" s="556"/>
      <c r="E307" s="556"/>
      <c r="F307" s="556"/>
      <c r="G307" s="556"/>
      <c r="H307" s="556"/>
      <c r="I307" s="556"/>
      <c r="J307" s="556"/>
      <c r="K307" s="556"/>
      <c r="L307" s="556"/>
      <c r="M307" s="556"/>
      <c r="N307" s="556"/>
      <c r="O307" s="556"/>
      <c r="P307" s="556"/>
      <c r="Q307" s="556"/>
      <c r="R307" s="556"/>
      <c r="S307" s="556"/>
      <c r="T307" s="556"/>
      <c r="U307" s="556"/>
      <c r="V307" s="556"/>
      <c r="W307" s="556"/>
      <c r="X307" s="556"/>
      <c r="Y307" s="556"/>
      <c r="Z307" s="556"/>
      <c r="AA307" s="556"/>
      <c r="AB307" s="556"/>
      <c r="AC307" s="556"/>
      <c r="AD307" s="556"/>
      <c r="AE307" s="556"/>
      <c r="AF307" s="556"/>
      <c r="AG307" s="556"/>
      <c r="AH307" s="556"/>
      <c r="AI307" s="556"/>
      <c r="AJ307" s="556"/>
    </row>
    <row r="308" spans="1:36" customFormat="1" ht="12.75" customHeight="1">
      <c r="A308" s="556"/>
      <c r="B308" s="556"/>
      <c r="C308" s="556"/>
      <c r="D308" s="556"/>
      <c r="E308" s="556"/>
      <c r="F308" s="556"/>
      <c r="G308" s="556"/>
      <c r="H308" s="556"/>
      <c r="I308" s="556"/>
      <c r="J308" s="556"/>
      <c r="K308" s="556"/>
      <c r="L308" s="556"/>
      <c r="M308" s="556"/>
      <c r="N308" s="556"/>
      <c r="O308" s="556"/>
      <c r="P308" s="556"/>
      <c r="Q308" s="556"/>
      <c r="R308" s="556"/>
      <c r="S308" s="556"/>
      <c r="T308" s="556"/>
      <c r="U308" s="556"/>
      <c r="V308" s="556"/>
      <c r="W308" s="556"/>
      <c r="X308" s="556"/>
      <c r="Y308" s="556"/>
      <c r="Z308" s="556"/>
      <c r="AA308" s="556"/>
      <c r="AB308" s="556"/>
      <c r="AC308" s="556"/>
      <c r="AD308" s="556"/>
      <c r="AE308" s="556"/>
      <c r="AF308" s="556"/>
      <c r="AG308" s="556"/>
      <c r="AH308" s="556"/>
      <c r="AI308" s="556"/>
      <c r="AJ308" s="556"/>
    </row>
    <row r="309" spans="1:36" customFormat="1" ht="12.75" customHeight="1">
      <c r="A309" s="556"/>
      <c r="B309" s="556"/>
      <c r="C309" s="556"/>
      <c r="D309" s="556"/>
      <c r="E309" s="556"/>
      <c r="F309" s="556"/>
      <c r="G309" s="556"/>
      <c r="H309" s="556"/>
      <c r="I309" s="556"/>
      <c r="J309" s="556"/>
      <c r="K309" s="556"/>
      <c r="L309" s="556"/>
      <c r="M309" s="556"/>
      <c r="N309" s="556"/>
      <c r="O309" s="556"/>
      <c r="P309" s="556"/>
      <c r="Q309" s="556"/>
      <c r="R309" s="556"/>
      <c r="S309" s="556"/>
      <c r="T309" s="556"/>
      <c r="U309" s="556"/>
      <c r="V309" s="556"/>
      <c r="W309" s="556"/>
      <c r="X309" s="556"/>
      <c r="Y309" s="556"/>
      <c r="Z309" s="556"/>
      <c r="AA309" s="556"/>
      <c r="AB309" s="556"/>
      <c r="AC309" s="556"/>
      <c r="AD309" s="556"/>
      <c r="AE309" s="556"/>
      <c r="AF309" s="556"/>
      <c r="AG309" s="556"/>
      <c r="AH309" s="556"/>
      <c r="AI309" s="556"/>
      <c r="AJ309" s="556"/>
    </row>
    <row r="310" spans="1:36" customFormat="1" ht="12.75" customHeight="1"/>
    <row r="311" spans="1:36" customFormat="1" ht="12.75" customHeight="1"/>
    <row r="312" spans="1:36" customFormat="1" ht="12.75" customHeight="1"/>
    <row r="313" spans="1:36" customFormat="1" ht="12.75" customHeight="1"/>
    <row r="314" spans="1:36" customFormat="1" ht="12.75" customHeight="1"/>
    <row r="315" spans="1:36" customFormat="1" ht="12.75" customHeight="1"/>
    <row r="316" spans="1:36" ht="12.75" customHeight="1">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row>
    <row r="317" spans="1:36" ht="12.75" customHeight="1">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row>
    <row r="318" spans="1:36" ht="12.75" customHeight="1">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row>
  </sheetData>
  <mergeCells count="3">
    <mergeCell ref="C15:H15"/>
    <mergeCell ref="C266:G266"/>
    <mergeCell ref="K265:L265"/>
  </mergeCells>
  <phoneticPr fontId="93" type="noConversion"/>
  <conditionalFormatting sqref="C48 H48:I48">
    <cfRule type="cellIs" dxfId="86" priority="9" operator="lessThan">
      <formula>0</formula>
    </cfRule>
  </conditionalFormatting>
  <conditionalFormatting sqref="C45:H45">
    <cfRule type="cellIs" dxfId="85" priority="11" operator="lessThan">
      <formula>0</formula>
    </cfRule>
  </conditionalFormatting>
  <conditionalFormatting sqref="C140:H140">
    <cfRule type="cellIs" dxfId="84" priority="1" operator="lessThan">
      <formula>0</formula>
    </cfRule>
  </conditionalFormatting>
  <conditionalFormatting sqref="D146:D150 E154:F156 B188:H188">
    <cfRule type="cellIs" dxfId="83" priority="4" operator="lessThan">
      <formula>0</formula>
    </cfRule>
  </conditionalFormatting>
  <conditionalFormatting sqref="D157:D158">
    <cfRule type="cellIs" dxfId="82" priority="5" operator="lessThan">
      <formula>0</formula>
    </cfRule>
  </conditionalFormatting>
  <conditionalFormatting sqref="D47:H47">
    <cfRule type="cellIs" dxfId="81" priority="10" operator="lessThan">
      <formula>0</formula>
    </cfRule>
  </conditionalFormatting>
  <conditionalFormatting sqref="E53">
    <cfRule type="cellIs" dxfId="80" priority="21" operator="lessThan">
      <formula>0</formula>
    </cfRule>
  </conditionalFormatting>
  <conditionalFormatting sqref="F55">
    <cfRule type="cellIs" dxfId="79" priority="20" operator="lessThan">
      <formula>0</formula>
    </cfRule>
  </conditionalFormatting>
  <conditionalFormatting sqref="F57">
    <cfRule type="cellIs" dxfId="78" priority="19" operator="lessThan">
      <formula>0</formula>
    </cfRule>
  </conditionalFormatting>
  <conditionalFormatting sqref="F59">
    <cfRule type="cellIs" dxfId="77" priority="18" operator="lessThan">
      <formula>0</formula>
    </cfRule>
  </conditionalFormatting>
  <conditionalFormatting sqref="F61">
    <cfRule type="cellIs" dxfId="76" priority="17" operator="lessThan">
      <formula>0</formula>
    </cfRule>
  </conditionalFormatting>
  <conditionalFormatting sqref="F63">
    <cfRule type="cellIs" dxfId="75" priority="16" operator="lessThan">
      <formula>0</formula>
    </cfRule>
  </conditionalFormatting>
  <conditionalFormatting sqref="H52:H62">
    <cfRule type="cellIs" dxfId="74" priority="14" operator="lessThan">
      <formula>0</formula>
    </cfRule>
  </conditionalFormatting>
  <conditionalFormatting sqref="I133">
    <cfRule type="cellIs" dxfId="73" priority="3" operator="lessThan">
      <formula>0</formula>
    </cfRule>
  </conditionalFormatting>
  <conditionalFormatting sqref="I135">
    <cfRule type="cellIs" dxfId="72" priority="2" operator="greaterThan">
      <formula>0</formula>
    </cfRule>
  </conditionalFormatting>
  <conditionalFormatting sqref="P55:V55">
    <cfRule type="cellIs" dxfId="71" priority="13" operator="lessThan">
      <formula>0</formula>
    </cfRule>
  </conditionalFormatting>
  <conditionalFormatting sqref="U60:U63">
    <cfRule type="cellIs" dxfId="70" priority="12" operator="lessThan">
      <formula>0</formula>
    </cfRule>
  </conditionalFormatting>
  <pageMargins left="0.7" right="0.7" top="0.75" bottom="0.75" header="0.3" footer="0.3"/>
  <pageSetup paperSize="9" orientation="portrait" r:id="rId1"/>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104"/>
  <sheetViews>
    <sheetView topLeftCell="A4" zoomScale="145" zoomScaleNormal="145" workbookViewId="0">
      <selection activeCell="D18" sqref="D18"/>
    </sheetView>
  </sheetViews>
  <sheetFormatPr defaultColWidth="11.42578125" defaultRowHeight="12.75"/>
  <cols>
    <col min="1" max="1" width="36.140625" style="10" customWidth="1"/>
    <col min="2" max="10" width="12.42578125" style="40" customWidth="1"/>
    <col min="11" max="12" width="12.42578125" style="46" customWidth="1"/>
    <col min="13" max="13" width="12.140625" style="46" bestFit="1" customWidth="1"/>
    <col min="14" max="16384" width="11.42578125" style="39"/>
  </cols>
  <sheetData>
    <row r="1" spans="1:25" ht="15">
      <c r="A1" s="1656" t="e" vm="1">
        <f>Inputs!H3</f>
        <v>#VALUE!</v>
      </c>
      <c r="B1" s="1656"/>
      <c r="C1" s="1656"/>
      <c r="D1" s="1656"/>
      <c r="E1" s="1656"/>
      <c r="F1" s="1656"/>
      <c r="G1" s="1656"/>
      <c r="H1" s="1656"/>
      <c r="I1" s="1656"/>
      <c r="J1" s="1656"/>
      <c r="K1" s="1656"/>
      <c r="L1" s="1656"/>
      <c r="M1" s="1656"/>
    </row>
    <row r="2" spans="1:25" ht="11.65">
      <c r="A2" s="1657" t="str">
        <f>Inputs!G2</f>
        <v>Figures in Millions of USD</v>
      </c>
      <c r="B2" s="1657"/>
      <c r="C2" s="1657"/>
      <c r="D2" s="1657"/>
      <c r="E2" s="1657"/>
      <c r="F2" s="1657"/>
      <c r="G2" s="1657"/>
      <c r="H2" s="1657"/>
      <c r="I2" s="1657"/>
      <c r="J2" s="1657"/>
      <c r="K2" s="1657"/>
      <c r="L2" s="1657"/>
      <c r="M2" s="1657"/>
    </row>
    <row r="3" spans="1:25" ht="20.65">
      <c r="A3" s="1655" t="s">
        <v>665</v>
      </c>
      <c r="B3" s="1655"/>
      <c r="C3" s="1655"/>
      <c r="D3" s="1655"/>
      <c r="E3" s="1655"/>
      <c r="F3" s="1655"/>
      <c r="G3" s="1655"/>
      <c r="H3" s="1655"/>
      <c r="I3" s="1655"/>
      <c r="J3" s="1655"/>
      <c r="K3" s="1655"/>
      <c r="L3" s="1655"/>
      <c r="M3" s="1655"/>
    </row>
    <row r="4" spans="1:25">
      <c r="A4" s="109"/>
      <c r="B4" s="49">
        <f>OP!J20</f>
        <v>2023</v>
      </c>
      <c r="C4" s="41">
        <f>B4-1</f>
        <v>2022</v>
      </c>
      <c r="D4" s="41">
        <f t="shared" ref="D4:M4" si="0">C4-1</f>
        <v>2021</v>
      </c>
      <c r="E4" s="41">
        <f t="shared" si="0"/>
        <v>2020</v>
      </c>
      <c r="F4" s="41">
        <f t="shared" si="0"/>
        <v>2019</v>
      </c>
      <c r="G4" s="41">
        <f t="shared" si="0"/>
        <v>2018</v>
      </c>
      <c r="H4" s="41">
        <f t="shared" si="0"/>
        <v>2017</v>
      </c>
      <c r="I4" s="41">
        <f t="shared" si="0"/>
        <v>2016</v>
      </c>
      <c r="J4" s="41">
        <f>I4-1</f>
        <v>2015</v>
      </c>
      <c r="K4" s="41">
        <f t="shared" si="0"/>
        <v>2014</v>
      </c>
      <c r="L4" s="41">
        <f t="shared" si="0"/>
        <v>2013</v>
      </c>
      <c r="M4" s="41">
        <f t="shared" si="0"/>
        <v>2012</v>
      </c>
    </row>
    <row r="5" spans="1:25">
      <c r="A5" s="110" t="s">
        <v>123</v>
      </c>
      <c r="B5" s="50">
        <f>_xlfn.XLOOKUP($A5,Inputs!$A:$A,Inputs!B:B,,0)</f>
        <v>34714</v>
      </c>
      <c r="C5" s="50">
        <f>_xlfn.XLOOKUP($A5,Inputs!$A:$A,Inputs!C:C,,0)</f>
        <v>41512</v>
      </c>
      <c r="D5" s="50">
        <f>_xlfn.XLOOKUP($A5,Inputs!$A:$A,Inputs!D:D,,0)</f>
        <v>36484</v>
      </c>
      <c r="E5" s="50">
        <f>_xlfn.XLOOKUP($A5,Inputs!$A:$A,Inputs!E:E,,0)</f>
        <v>20140</v>
      </c>
      <c r="F5" s="50">
        <f>_xlfn.XLOOKUP($A5,Inputs!$A:$A,Inputs!F:F,,0)</f>
        <v>22588.858</v>
      </c>
      <c r="G5" s="50">
        <f>_xlfn.XLOOKUP($A5,Inputs!$A:$A,Inputs!G:G,,0)</f>
        <v>25067.278999999999</v>
      </c>
      <c r="H5" s="50">
        <f>_xlfn.XLOOKUP($A5,Inputs!$A:$A,Inputs!H:H,,0)</f>
        <v>20252.393</v>
      </c>
      <c r="I5" s="50">
        <f>_xlfn.XLOOKUP($A5,Inputs!$A:$A,Inputs!I:I,,0)</f>
        <v>16208.121999999999</v>
      </c>
      <c r="J5" s="50">
        <f>_xlfn.XLOOKUP($A5,Inputs!$A:$A,Inputs!J:J,,0)</f>
        <v>16439.276000000002</v>
      </c>
      <c r="K5" s="50">
        <f>_xlfn.XLOOKUP($A5,Inputs!$A:$A,Inputs!K:K,,0)</f>
        <v>21105.141</v>
      </c>
      <c r="L5" s="50">
        <f>_xlfn.XLOOKUP($A5,Inputs!$A:$A,Inputs!L:L,,0)</f>
        <v>19052.045999999998</v>
      </c>
      <c r="M5" s="51">
        <f>_xlfn.XLOOKUP($A5,Inputs!$A:$A,Inputs!M:M,,0)</f>
        <v>19429</v>
      </c>
    </row>
    <row r="6" spans="1:25" ht="13.15">
      <c r="A6" s="111" t="s">
        <v>666</v>
      </c>
      <c r="B6" s="52">
        <f t="shared" ref="B6:L6" si="1">IFERROR(B5/C5-1,"-")</f>
        <v>-0.16375987666216996</v>
      </c>
      <c r="C6" s="52">
        <f t="shared" si="1"/>
        <v>0.1378138362021708</v>
      </c>
      <c r="D6" s="52">
        <f t="shared" si="1"/>
        <v>0.81151936444885808</v>
      </c>
      <c r="E6" s="52">
        <f t="shared" si="1"/>
        <v>-0.10840999575985644</v>
      </c>
      <c r="F6" s="52">
        <f t="shared" si="1"/>
        <v>-9.8870762957559033E-2</v>
      </c>
      <c r="G6" s="52">
        <f t="shared" si="1"/>
        <v>0.23774405325829884</v>
      </c>
      <c r="H6" s="52">
        <f t="shared" si="1"/>
        <v>0.24952125853939155</v>
      </c>
      <c r="I6" s="52">
        <f t="shared" si="1"/>
        <v>-1.4061081522081742E-2</v>
      </c>
      <c r="J6" s="52">
        <f t="shared" si="1"/>
        <v>-0.22107717735692922</v>
      </c>
      <c r="K6" s="52">
        <f t="shared" si="1"/>
        <v>0.10776244189206774</v>
      </c>
      <c r="L6" s="52">
        <f t="shared" si="1"/>
        <v>-1.9401616140820477E-2</v>
      </c>
      <c r="M6" s="53" t="str">
        <f>IFERROR(M5/#REF!-1,"-")</f>
        <v>-</v>
      </c>
      <c r="N6" s="415"/>
    </row>
    <row r="7" spans="1:25">
      <c r="A7" s="110" t="s">
        <v>519</v>
      </c>
      <c r="B7" s="50">
        <f>_xlfn.XLOOKUP($A7,Inputs!$A:$A,Inputs!B:B,,0)</f>
        <v>7814.4</v>
      </c>
      <c r="C7" s="50">
        <f>_xlfn.XLOOKUP($A7,Inputs!$A:$A,Inputs!C:C,,0)</f>
        <v>12503.28</v>
      </c>
      <c r="D7" s="50">
        <f>_xlfn.XLOOKUP($A7,Inputs!$A:$A,Inputs!D:D,,0)</f>
        <v>11025.41</v>
      </c>
      <c r="E7" s="50">
        <f>_xlfn.XLOOKUP($A7,Inputs!$A:$A,Inputs!E:E,,0)</f>
        <v>2227.9499999999998</v>
      </c>
      <c r="F7" s="50">
        <f>_xlfn.XLOOKUP($A7,Inputs!$A:$A,Inputs!F:F,,0)</f>
        <v>2679.09</v>
      </c>
      <c r="G7" s="50">
        <f>_xlfn.XLOOKUP($A7,Inputs!$A:$A,Inputs!G:G,,0)</f>
        <v>4295</v>
      </c>
      <c r="H7" s="50">
        <f>_xlfn.XLOOKUP($A7,Inputs!$A:$A,Inputs!H:H,,0)</f>
        <v>2570</v>
      </c>
      <c r="I7" s="50">
        <f>_xlfn.XLOOKUP($A7,Inputs!$A:$A,Inputs!I:I,,0)</f>
        <v>2026</v>
      </c>
      <c r="J7" s="50">
        <f>_xlfn.XLOOKUP($A7,Inputs!$A:$A,Inputs!J:J,,0)</f>
        <v>1114</v>
      </c>
      <c r="K7" s="50">
        <f>_xlfn.XLOOKUP($A7,Inputs!$A:$A,Inputs!K:K,,0)</f>
        <v>1849</v>
      </c>
      <c r="L7" s="50">
        <f>_xlfn.XLOOKUP($A7,Inputs!$A:$A,Inputs!L:L,,0)</f>
        <v>1411</v>
      </c>
      <c r="M7" s="51">
        <f>_xlfn.XLOOKUP($A7,Inputs!$A:$A,Inputs!M:M,,0)</f>
        <v>1513.54</v>
      </c>
    </row>
    <row r="8" spans="1:25" ht="13.15">
      <c r="A8" s="111" t="s">
        <v>667</v>
      </c>
      <c r="B8" s="52">
        <f>IFERROR(B7/B$5,"-")</f>
        <v>0.22510802558045745</v>
      </c>
      <c r="C8" s="52">
        <f t="shared" ref="C8:M8" si="2">IFERROR(C7/C$5,"-")</f>
        <v>0.30119676238196186</v>
      </c>
      <c r="D8" s="52">
        <f t="shared" si="2"/>
        <v>0.30219849797171361</v>
      </c>
      <c r="E8" s="52">
        <f t="shared" si="2"/>
        <v>0.11062313803376364</v>
      </c>
      <c r="F8" s="52">
        <f t="shared" si="2"/>
        <v>0.11860227728201223</v>
      </c>
      <c r="G8" s="52">
        <f t="shared" si="2"/>
        <v>0.17133889960693383</v>
      </c>
      <c r="H8" s="52">
        <f t="shared" si="2"/>
        <v>0.1268985842808798</v>
      </c>
      <c r="I8" s="52">
        <f t="shared" si="2"/>
        <v>0.12499905911369621</v>
      </c>
      <c r="J8" s="52">
        <f t="shared" si="2"/>
        <v>6.776454145547528E-2</v>
      </c>
      <c r="K8" s="52">
        <f t="shared" si="2"/>
        <v>8.7608985886424545E-2</v>
      </c>
      <c r="L8" s="52">
        <f t="shared" si="2"/>
        <v>7.4060287278332207E-2</v>
      </c>
      <c r="M8" s="53">
        <f t="shared" si="2"/>
        <v>7.7901075711565182E-2</v>
      </c>
    </row>
    <row r="9" spans="1:25">
      <c r="A9" s="110" t="s">
        <v>668</v>
      </c>
      <c r="B9" s="50">
        <f t="shared" ref="B9:M9" si="3">B5-B11</f>
        <v>28483.599999999999</v>
      </c>
      <c r="C9" s="50">
        <f t="shared" si="3"/>
        <v>31005.72</v>
      </c>
      <c r="D9" s="50">
        <f t="shared" si="3"/>
        <v>27165.59</v>
      </c>
      <c r="E9" s="50">
        <f t="shared" si="3"/>
        <v>18527.05</v>
      </c>
      <c r="F9" s="50">
        <f t="shared" si="3"/>
        <v>20620.768</v>
      </c>
      <c r="G9" s="50">
        <f t="shared" si="3"/>
        <v>21633.278999999999</v>
      </c>
      <c r="H9" s="50">
        <f t="shared" si="3"/>
        <v>18370.393</v>
      </c>
      <c r="I9" s="50">
        <f t="shared" si="3"/>
        <v>14779.121999999999</v>
      </c>
      <c r="J9" s="50">
        <f t="shared" si="3"/>
        <v>15784.276000000002</v>
      </c>
      <c r="K9" s="50">
        <f t="shared" si="3"/>
        <v>19777.141</v>
      </c>
      <c r="L9" s="50">
        <f t="shared" si="3"/>
        <v>18109.045999999998</v>
      </c>
      <c r="M9" s="51">
        <f t="shared" si="3"/>
        <v>18352.46</v>
      </c>
    </row>
    <row r="10" spans="1:25" ht="13.15">
      <c r="A10" s="111" t="s">
        <v>667</v>
      </c>
      <c r="B10" s="52">
        <f>IFERROR(B9/B$5,"-")</f>
        <v>0.82052197960477036</v>
      </c>
      <c r="C10" s="52">
        <f t="shared" ref="C10:M10" si="4">IFERROR(C9/C$5,"-")</f>
        <v>0.74690980921179417</v>
      </c>
      <c r="D10" s="52">
        <f t="shared" si="4"/>
        <v>0.74458913496327161</v>
      </c>
      <c r="E10" s="52">
        <f t="shared" si="4"/>
        <v>0.91991310824230388</v>
      </c>
      <c r="F10" s="52">
        <f t="shared" si="4"/>
        <v>0.91287341750521434</v>
      </c>
      <c r="G10" s="52">
        <f t="shared" si="4"/>
        <v>0.8630086655994853</v>
      </c>
      <c r="H10" s="52">
        <f t="shared" si="4"/>
        <v>0.90707270987680322</v>
      </c>
      <c r="I10" s="52">
        <f t="shared" si="4"/>
        <v>0.91183432602493986</v>
      </c>
      <c r="J10" s="52">
        <f t="shared" si="4"/>
        <v>0.96015639618192428</v>
      </c>
      <c r="K10" s="52">
        <f t="shared" si="4"/>
        <v>0.93707694253262752</v>
      </c>
      <c r="L10" s="52">
        <f t="shared" si="4"/>
        <v>0.95050400361200049</v>
      </c>
      <c r="M10" s="53">
        <f t="shared" si="4"/>
        <v>0.94459107519687058</v>
      </c>
    </row>
    <row r="11" spans="1:25">
      <c r="A11" s="110" t="s">
        <v>289</v>
      </c>
      <c r="B11" s="50">
        <f>Inputs!B8</f>
        <v>6230.4</v>
      </c>
      <c r="C11" s="50">
        <f>Inputs!C8</f>
        <v>10506.28</v>
      </c>
      <c r="D11" s="50">
        <f>Inputs!D8</f>
        <v>9318.41</v>
      </c>
      <c r="E11" s="50">
        <f>Inputs!E8</f>
        <v>1612.9499999999998</v>
      </c>
      <c r="F11" s="50">
        <f>Inputs!F8</f>
        <v>1968.0900000000001</v>
      </c>
      <c r="G11" s="50">
        <f>Inputs!G8</f>
        <v>3434</v>
      </c>
      <c r="H11" s="50">
        <f>Inputs!H8</f>
        <v>1882</v>
      </c>
      <c r="I11" s="50">
        <f>Inputs!I8</f>
        <v>1429</v>
      </c>
      <c r="J11" s="50">
        <f>Inputs!J8</f>
        <v>655</v>
      </c>
      <c r="K11" s="50">
        <f>Inputs!K8</f>
        <v>1328</v>
      </c>
      <c r="L11" s="50">
        <f>Inputs!L8</f>
        <v>943</v>
      </c>
      <c r="M11" s="50">
        <f>Inputs!M8</f>
        <v>1076.54</v>
      </c>
    </row>
    <row r="12" spans="1:25" ht="13.15">
      <c r="A12" s="111" t="s">
        <v>124</v>
      </c>
      <c r="B12" s="52">
        <f t="shared" ref="B12:M12" si="5">IFERROR(B11/B$5,"-")</f>
        <v>0.17947802039522959</v>
      </c>
      <c r="C12" s="52">
        <f t="shared" si="5"/>
        <v>0.25309019078820583</v>
      </c>
      <c r="D12" s="52">
        <f t="shared" si="5"/>
        <v>0.25541086503672844</v>
      </c>
      <c r="E12" s="52">
        <f t="shared" si="5"/>
        <v>8.0086891757696121E-2</v>
      </c>
      <c r="F12" s="52">
        <f t="shared" si="5"/>
        <v>8.7126582494785706E-2</v>
      </c>
      <c r="G12" s="52">
        <f t="shared" si="5"/>
        <v>0.13699133440051472</v>
      </c>
      <c r="H12" s="52">
        <f t="shared" si="5"/>
        <v>9.2927290123196796E-2</v>
      </c>
      <c r="I12" s="52">
        <f t="shared" si="5"/>
        <v>8.8165673975060158E-2</v>
      </c>
      <c r="J12" s="52">
        <f t="shared" si="5"/>
        <v>3.9843603818075682E-2</v>
      </c>
      <c r="K12" s="52">
        <f t="shared" si="5"/>
        <v>6.292305746737252E-2</v>
      </c>
      <c r="L12" s="52">
        <f t="shared" si="5"/>
        <v>4.9495996387999487E-2</v>
      </c>
      <c r="M12" s="53">
        <f t="shared" si="5"/>
        <v>5.5408924803129339E-2</v>
      </c>
    </row>
    <row r="13" spans="1:25" ht="13.15">
      <c r="A13" s="110" t="s">
        <v>669</v>
      </c>
      <c r="B13" s="52">
        <f t="shared" ref="B13" si="6">IFERROR(B12/C12-1,"-")</f>
        <v>-0.29085351021990935</v>
      </c>
      <c r="C13" s="52">
        <f t="shared" ref="C13" si="7">IFERROR(C12/D12-1,"-")</f>
        <v>-9.0860435721435984E-3</v>
      </c>
      <c r="D13" s="52">
        <f t="shared" ref="D13" si="8">IFERROR(D12/E12-1,"-")</f>
        <v>2.189171903555418</v>
      </c>
      <c r="E13" s="52">
        <f t="shared" ref="E13" si="9">IFERROR(E12/F12-1,"-")</f>
        <v>-8.0798426100448628E-2</v>
      </c>
      <c r="F13" s="52">
        <f t="shared" ref="F13" si="10">IFERROR(F12/G12-1,"-")</f>
        <v>-0.3639993151679356</v>
      </c>
      <c r="G13" s="52">
        <f t="shared" ref="G13" si="11">IFERROR(G12/H12-1,"-")</f>
        <v>0.47417765243020393</v>
      </c>
      <c r="H13" s="52">
        <f t="shared" ref="H13" si="12">IFERROR(H12/I12-1,"-")</f>
        <v>5.4007596533358182E-2</v>
      </c>
      <c r="I13" s="52">
        <f t="shared" ref="I13" si="13">IFERROR(I12/J12-1,"-")</f>
        <v>1.2127936613771468</v>
      </c>
      <c r="J13" s="52">
        <f t="shared" ref="J13" si="14">IFERROR(J12/K12-1,"-")</f>
        <v>-0.36678849658989032</v>
      </c>
      <c r="K13" s="52">
        <f t="shared" ref="K13" si="15">IFERROR(K12/L12-1,"-")</f>
        <v>0.27127570024286807</v>
      </c>
      <c r="L13" s="52">
        <f t="shared" ref="L13" si="16">IFERROR(L12/M12-1,"-")</f>
        <v>-0.10671436841878412</v>
      </c>
      <c r="M13" s="53" t="str">
        <f>IFERROR(M12/#REF!-1,"-")</f>
        <v>-</v>
      </c>
    </row>
    <row r="14" spans="1:25">
      <c r="A14" s="112" t="s">
        <v>290</v>
      </c>
      <c r="B14" s="50">
        <f>_xlfn.XLOOKUP($A14,Inputs!$A:$A,Inputs!B:B,,0)</f>
        <v>29.632000000000001</v>
      </c>
      <c r="C14" s="50">
        <f>_xlfn.XLOOKUP($A14,Inputs!$A:$A,Inputs!C:C,,0)</f>
        <v>-170.21600000000001</v>
      </c>
      <c r="D14" s="50">
        <f>_xlfn.XLOOKUP($A14,Inputs!$A:$A,Inputs!D:D,,0)</f>
        <v>-158.85400000000001</v>
      </c>
      <c r="E14" s="50">
        <f>_xlfn.XLOOKUP($A14,Inputs!$A:$A,Inputs!E:E,,0)</f>
        <v>-153.19800000000001</v>
      </c>
      <c r="F14" s="50">
        <f>_xlfn.XLOOKUP($A14,Inputs!$A:$A,Inputs!F:F,,0)</f>
        <v>-121.425</v>
      </c>
      <c r="G14" s="50">
        <f>_xlfn.XLOOKUP($A14,Inputs!$A:$A,Inputs!G:G,,0)</f>
        <v>-135.535</v>
      </c>
      <c r="H14" s="50">
        <f>_xlfn.XLOOKUP($A14,Inputs!$A:$A,Inputs!H:H,,0)</f>
        <v>-173.58</v>
      </c>
      <c r="I14" s="50">
        <f>_xlfn.XLOOKUP($A14,Inputs!$A:$A,Inputs!I:I,,0)</f>
        <v>-169.244</v>
      </c>
      <c r="J14" s="50">
        <f>_xlfn.XLOOKUP($A14,Inputs!$A:$A,Inputs!J:J,,0)</f>
        <v>-173.53100000000001</v>
      </c>
      <c r="K14" s="50">
        <f>_xlfn.XLOOKUP($A14,Inputs!$A:$A,Inputs!K:K,,0)</f>
        <v>-169.256</v>
      </c>
      <c r="L14" s="50">
        <f>_xlfn.XLOOKUP($A14,Inputs!$A:$A,Inputs!L:L,,0)</f>
        <v>-146.89500000000001</v>
      </c>
      <c r="M14" s="51">
        <f>_xlfn.XLOOKUP($A14,Inputs!$A:$A,Inputs!M:M,,0)</f>
        <v>-162.375</v>
      </c>
    </row>
    <row r="15" spans="1:25">
      <c r="A15" s="110" t="s">
        <v>670</v>
      </c>
      <c r="B15" s="50">
        <f>Inputs!B9</f>
        <v>-12.782999999999999</v>
      </c>
      <c r="C15" s="50">
        <f>Inputs!C9</f>
        <v>91.042000000000002</v>
      </c>
      <c r="D15" s="50">
        <f>Inputs!D9</f>
        <v>-40.906999999999996</v>
      </c>
      <c r="E15" s="50">
        <f>Inputs!E9</f>
        <v>624.173</v>
      </c>
      <c r="F15" s="50">
        <f>Inputs!F9</f>
        <v>63.604999999999997</v>
      </c>
      <c r="G15" s="50">
        <f>Inputs!G9</f>
        <v>69.759999999999991</v>
      </c>
      <c r="H15" s="50">
        <f>Inputs!H9</f>
        <v>-41.661000000000001</v>
      </c>
      <c r="I15" s="50">
        <f>Inputs!I9</f>
        <v>-38.756999999999998</v>
      </c>
      <c r="J15" s="50">
        <f>Inputs!J9</f>
        <v>239.50399999999999</v>
      </c>
      <c r="K15" s="50">
        <f>Inputs!K9</f>
        <v>11.888</v>
      </c>
      <c r="L15" s="50">
        <f>Inputs!L9</f>
        <v>4.7029999999999994</v>
      </c>
      <c r="M15" s="50">
        <f>Inputs!M9</f>
        <v>60.886000000000003</v>
      </c>
    </row>
    <row r="16" spans="1:25">
      <c r="A16" s="112" t="s">
        <v>63</v>
      </c>
      <c r="B16" s="50">
        <f>B11-B15</f>
        <v>6243.183</v>
      </c>
      <c r="C16" s="50">
        <f t="shared" ref="C16:M16" si="17">C11-C15</f>
        <v>10415.238000000001</v>
      </c>
      <c r="D16" s="50">
        <f t="shared" si="17"/>
        <v>9359.3169999999991</v>
      </c>
      <c r="E16" s="50">
        <f t="shared" si="17"/>
        <v>988.77699999999982</v>
      </c>
      <c r="F16" s="50">
        <f t="shared" si="17"/>
        <v>1904.4850000000001</v>
      </c>
      <c r="G16" s="50">
        <f t="shared" si="17"/>
        <v>3364.24</v>
      </c>
      <c r="H16" s="50">
        <f t="shared" si="17"/>
        <v>1923.6610000000001</v>
      </c>
      <c r="I16" s="50">
        <f t="shared" si="17"/>
        <v>1467.7570000000001</v>
      </c>
      <c r="J16" s="50">
        <f t="shared" si="17"/>
        <v>415.49599999999998</v>
      </c>
      <c r="K16" s="50">
        <f t="shared" si="17"/>
        <v>1316.1120000000001</v>
      </c>
      <c r="L16" s="50">
        <f t="shared" si="17"/>
        <v>938.29700000000003</v>
      </c>
      <c r="M16" s="51">
        <f t="shared" si="17"/>
        <v>1015.654</v>
      </c>
      <c r="N16" s="48"/>
      <c r="O16" s="48"/>
      <c r="P16" s="48"/>
      <c r="Q16" s="48"/>
      <c r="R16" s="48"/>
      <c r="S16" s="48"/>
      <c r="T16" s="48"/>
      <c r="U16" s="48"/>
      <c r="V16" s="48"/>
      <c r="W16" s="48"/>
      <c r="X16" s="48"/>
      <c r="Y16" s="48"/>
    </row>
    <row r="17" spans="1:18">
      <c r="A17" s="110" t="s">
        <v>59</v>
      </c>
      <c r="B17" s="50">
        <f>_xlfn.XLOOKUP($A17,Inputs!$A:$A,Inputs!B:B,,0)</f>
        <v>1168.32</v>
      </c>
      <c r="C17" s="50">
        <f>_xlfn.XLOOKUP($A17,Inputs!$A:$A,Inputs!C:C,,0)</f>
        <v>1061.6300000000001</v>
      </c>
      <c r="D17" s="50">
        <f>_xlfn.XLOOKUP($A17,Inputs!$A:$A,Inputs!D:D,,0)</f>
        <v>864.56</v>
      </c>
      <c r="E17" s="50">
        <f>_xlfn.XLOOKUP($A17,Inputs!$A:$A,Inputs!E:E,,0)</f>
        <v>785.47</v>
      </c>
      <c r="F17" s="50">
        <f>_xlfn.XLOOKUP($A17,Inputs!$A:$A,Inputs!F:F,,0)</f>
        <v>734.65</v>
      </c>
      <c r="G17" s="50">
        <f>_xlfn.XLOOKUP($A17,Inputs!$A:$A,Inputs!G:G,,0)</f>
        <v>719.64</v>
      </c>
      <c r="H17" s="50">
        <f>_xlfn.XLOOKUP($A17,Inputs!$A:$A,Inputs!H:H,,0)</f>
        <v>727.06</v>
      </c>
      <c r="I17" s="50">
        <f>_xlfn.XLOOKUP($A17,Inputs!$A:$A,Inputs!I:I,,0)</f>
        <v>687.05</v>
      </c>
      <c r="J17" s="50">
        <f>_xlfn.XLOOKUP($A17,Inputs!$A:$A,Inputs!J:J,,0)</f>
        <v>944.9</v>
      </c>
      <c r="K17" s="50">
        <f>_xlfn.XLOOKUP($A17,Inputs!$A:$A,Inputs!K:K,,0)</f>
        <v>749.8</v>
      </c>
      <c r="L17" s="50">
        <f>_xlfn.XLOOKUP($A17,Inputs!$A:$A,Inputs!L:L,,0)</f>
        <v>624.20000000000005</v>
      </c>
      <c r="M17" s="51">
        <f>_xlfn.XLOOKUP($A17,Inputs!$A:$A,Inputs!M:M,,0)</f>
        <v>624.6</v>
      </c>
      <c r="N17" s="278"/>
    </row>
    <row r="18" spans="1:18">
      <c r="A18" s="112" t="s">
        <v>671</v>
      </c>
      <c r="B18" s="50">
        <v>858.40600000000018</v>
      </c>
      <c r="C18" s="50">
        <v>877.44</v>
      </c>
      <c r="D18" s="50">
        <v>-1862.8899999999999</v>
      </c>
      <c r="E18" s="50">
        <v>204</v>
      </c>
      <c r="F18" s="50">
        <v>413.27</v>
      </c>
      <c r="G18" s="50">
        <f>_xlfn.XLOOKUP($A18,Inputs!$A:$A,Inputs!G:G,,0)</f>
        <v>1380.5099999999998</v>
      </c>
      <c r="H18" s="50">
        <f>_xlfn.XLOOKUP($A18,Inputs!$A:$A,Inputs!H:H,,0)</f>
        <v>980.13999999999987</v>
      </c>
      <c r="I18" s="50">
        <f>_xlfn.XLOOKUP($A18,Inputs!$A:$A,Inputs!I:I,,0)</f>
        <v>-459.27999999999975</v>
      </c>
      <c r="J18" s="50">
        <f>_xlfn.XLOOKUP($A18,Inputs!$A:$A,Inputs!J:J,,0)</f>
        <v>-790.29999999999973</v>
      </c>
      <c r="K18" s="50">
        <f>_xlfn.XLOOKUP($A18,Inputs!$A:$A,Inputs!K:K,,0)</f>
        <v>353.49999999999955</v>
      </c>
      <c r="L18" s="50">
        <f>_xlfn.XLOOKUP($A18,Inputs!$A:$A,Inputs!L:L,,0)</f>
        <v>387.60000000000036</v>
      </c>
      <c r="M18" s="51">
        <f>_xlfn.XLOOKUP($A18,Inputs!$A:$A,Inputs!M:M,,0)</f>
        <v>2578.8999999999996</v>
      </c>
    </row>
    <row r="19" spans="1:18">
      <c r="A19" s="110" t="s">
        <v>55</v>
      </c>
      <c r="B19" s="50">
        <f>B11-B15+B17</f>
        <v>7411.5029999999997</v>
      </c>
      <c r="C19" s="50">
        <f t="shared" ref="C19:M19" si="18">C11-C15+C17</f>
        <v>11476.868000000002</v>
      </c>
      <c r="D19" s="50">
        <f t="shared" si="18"/>
        <v>10223.876999999999</v>
      </c>
      <c r="E19" s="50">
        <f t="shared" si="18"/>
        <v>1774.2469999999998</v>
      </c>
      <c r="F19" s="50">
        <f t="shared" si="18"/>
        <v>2639.1350000000002</v>
      </c>
      <c r="G19" s="50">
        <f t="shared" si="18"/>
        <v>4083.8799999999997</v>
      </c>
      <c r="H19" s="50">
        <f t="shared" si="18"/>
        <v>2650.721</v>
      </c>
      <c r="I19" s="50">
        <f t="shared" si="18"/>
        <v>2154.8069999999998</v>
      </c>
      <c r="J19" s="50">
        <f t="shared" si="18"/>
        <v>1360.396</v>
      </c>
      <c r="K19" s="50">
        <f t="shared" si="18"/>
        <v>2065.9120000000003</v>
      </c>
      <c r="L19" s="50">
        <f t="shared" si="18"/>
        <v>1562.4970000000001</v>
      </c>
      <c r="M19" s="51">
        <f t="shared" si="18"/>
        <v>1640.2539999999999</v>
      </c>
    </row>
    <row r="20" spans="1:18" ht="13.15">
      <c r="A20" s="111" t="s">
        <v>672</v>
      </c>
      <c r="B20" s="52">
        <f t="shared" ref="B20" si="19">IFERROR(B19/B$5,"-")</f>
        <v>0.21350184363657312</v>
      </c>
      <c r="C20" s="52">
        <f t="shared" ref="C20" si="20">IFERROR(C19/C$5,"-")</f>
        <v>0.27647109269608794</v>
      </c>
      <c r="D20" s="52">
        <f t="shared" ref="D20" si="21">IFERROR(D19/D$5,"-")</f>
        <v>0.2802290593136717</v>
      </c>
      <c r="E20" s="52">
        <f t="shared" ref="E20" si="22">IFERROR(E19/E$5,"-")</f>
        <v>8.8095680238331669E-2</v>
      </c>
      <c r="F20" s="52">
        <f t="shared" ref="F20" si="23">IFERROR(F19/F$5,"-")</f>
        <v>0.11683348489773145</v>
      </c>
      <c r="G20" s="52">
        <f t="shared" ref="G20" si="24">IFERROR(G19/G$5,"-")</f>
        <v>0.16291676491892079</v>
      </c>
      <c r="H20" s="52">
        <f t="shared" ref="H20" si="25">IFERROR(H19/H$5,"-")</f>
        <v>0.13088433549556341</v>
      </c>
      <c r="I20" s="52">
        <f t="shared" ref="I20" si="26">IFERROR(I19/I$5,"-")</f>
        <v>0.13294612417157273</v>
      </c>
      <c r="J20" s="52">
        <f t="shared" ref="J20" si="27">IFERROR(J19/J$5,"-")</f>
        <v>8.2752792762892949E-2</v>
      </c>
      <c r="K20" s="52">
        <f t="shared" ref="K20" si="28">IFERROR(K19/K$5,"-")</f>
        <v>9.7886671309137446E-2</v>
      </c>
      <c r="L20" s="52">
        <f t="shared" ref="L20" si="29">IFERROR(L19/L$5,"-")</f>
        <v>8.2012031673658572E-2</v>
      </c>
      <c r="M20" s="53">
        <f t="shared" ref="M20" si="30">IFERROR(M19/M$5,"-")</f>
        <v>8.4422975963765495E-2</v>
      </c>
      <c r="P20" s="278"/>
      <c r="Q20" s="278"/>
      <c r="R20" s="278"/>
    </row>
    <row r="21" spans="1:18">
      <c r="A21" s="110" t="s">
        <v>291</v>
      </c>
      <c r="B21" s="50">
        <f>_xlfn.XLOOKUP($A21,Inputs!$A:$A,Inputs!B:B,,0)</f>
        <v>-1359.9659999999999</v>
      </c>
      <c r="C21" s="50">
        <f>_xlfn.XLOOKUP($A21,Inputs!$A:$A,Inputs!C:C,,0)</f>
        <v>-2165.2040000000002</v>
      </c>
      <c r="D21" s="50">
        <f>_xlfn.XLOOKUP($A21,Inputs!$A:$A,Inputs!D:D,,0)</f>
        <v>-2078.4879999999998</v>
      </c>
      <c r="E21" s="50">
        <f>_xlfn.XLOOKUP($A21,Inputs!$A:$A,Inputs!E:E,,0)</f>
        <v>0.49</v>
      </c>
      <c r="F21" s="50">
        <f>_xlfn.XLOOKUP($A21,Inputs!$A:$A,Inputs!F:F,,0)</f>
        <v>-411.89699999999999</v>
      </c>
      <c r="G21" s="50">
        <f>_xlfn.XLOOKUP($A21,Inputs!$A:$A,Inputs!G:G,,0)</f>
        <v>-748.30700000000002</v>
      </c>
      <c r="H21" s="50">
        <f>_xlfn.XLOOKUP($A21,Inputs!$A:$A,Inputs!H:H,,0)</f>
        <v>-369.38600000000002</v>
      </c>
      <c r="I21" s="50">
        <f>_xlfn.XLOOKUP($A21,Inputs!$A:$A,Inputs!I:I,,0)</f>
        <v>-398.24299999999999</v>
      </c>
      <c r="J21" s="50">
        <f>_xlfn.XLOOKUP($A21,Inputs!$A:$A,Inputs!J:J,,0)</f>
        <v>-48.835999999999999</v>
      </c>
      <c r="K21" s="50">
        <f>_xlfn.XLOOKUP($A21,Inputs!$A:$A,Inputs!K:K,,0)</f>
        <v>-368.72399999999999</v>
      </c>
      <c r="L21" s="50">
        <f>_xlfn.XLOOKUP($A21,Inputs!$A:$A,Inputs!L:L,,0)</f>
        <v>-205.59399999999999</v>
      </c>
      <c r="M21" s="51">
        <f>_xlfn.XLOOKUP($A21,Inputs!$A:$A,Inputs!M:M,,0)</f>
        <v>-259.81400000000002</v>
      </c>
    </row>
    <row r="22" spans="1:18" ht="13.15">
      <c r="A22" s="111" t="s">
        <v>673</v>
      </c>
      <c r="B22" s="52">
        <f t="shared" ref="B22" si="31">IFERROR(B21/B$5,"-")</f>
        <v>-3.9176297747306556E-2</v>
      </c>
      <c r="C22" s="52">
        <f t="shared" ref="C22" si="32">IFERROR(C21/C$5,"-")</f>
        <v>-5.2158508383118141E-2</v>
      </c>
      <c r="D22" s="52">
        <f t="shared" ref="D22" si="33">IFERROR(D21/D$5,"-")</f>
        <v>-5.696984979717136E-2</v>
      </c>
      <c r="E22" s="52">
        <f t="shared" ref="E22" si="34">IFERROR(E21/E$5,"-")</f>
        <v>2.432969215491559E-5</v>
      </c>
      <c r="F22" s="52">
        <f t="shared" ref="F22" si="35">IFERROR(F21/F$5,"-")</f>
        <v>-1.8234520753550268E-2</v>
      </c>
      <c r="G22" s="52">
        <f t="shared" ref="G22" si="36">IFERROR(G21/G$5,"-")</f>
        <v>-2.9851943643344779E-2</v>
      </c>
      <c r="H22" s="52">
        <f t="shared" ref="H22" si="37">IFERROR(H21/H$5,"-")</f>
        <v>-1.823912858100275E-2</v>
      </c>
      <c r="I22" s="52">
        <f t="shared" ref="I22" si="38">IFERROR(I21/I$5,"-")</f>
        <v>-2.4570582575822172E-2</v>
      </c>
      <c r="J22" s="52">
        <f t="shared" ref="J22" si="39">IFERROR(J21/J$5,"-")</f>
        <v>-2.9706904367321281E-3</v>
      </c>
      <c r="K22" s="52">
        <f t="shared" ref="K22" si="40">IFERROR(K21/K$5,"-")</f>
        <v>-1.7470814338553815E-2</v>
      </c>
      <c r="L22" s="52">
        <f t="shared" ref="L22" si="41">IFERROR(L21/L$5,"-")</f>
        <v>-1.0791176968604842E-2</v>
      </c>
      <c r="M22" s="53">
        <f t="shared" ref="M22" si="42">IFERROR(M21/M$5,"-")</f>
        <v>-1.3372484430490505E-2</v>
      </c>
    </row>
    <row r="23" spans="1:18">
      <c r="A23" s="110" t="s">
        <v>67</v>
      </c>
      <c r="B23" s="50">
        <f>_xlfn.XLOOKUP($A23,Inputs!$A:$A,Inputs!B:B,,0)</f>
        <v>4524.8490000000002</v>
      </c>
      <c r="C23" s="50">
        <f>_xlfn.XLOOKUP($A23,Inputs!$A:$A,Inputs!C:C,,0)</f>
        <v>7607.8180000000011</v>
      </c>
      <c r="D23" s="50">
        <f>_xlfn.XLOOKUP($A23,Inputs!$A:$A,Inputs!D:D,,0)</f>
        <v>6826.9750000000004</v>
      </c>
      <c r="E23" s="50">
        <f>_xlfn.XLOOKUP($A23,Inputs!$A:$A,Inputs!E:E,,0)</f>
        <v>721.06899999999985</v>
      </c>
      <c r="F23" s="50">
        <f>_xlfn.XLOOKUP($A23,Inputs!$A:$A,Inputs!F:F,,0)</f>
        <v>1271.1630000000002</v>
      </c>
      <c r="G23" s="50">
        <f>_xlfn.XLOOKUP($A23,Inputs!$A:$A,Inputs!G:G,,0)</f>
        <v>2360.3980000000001</v>
      </c>
      <c r="H23" s="50">
        <f>_xlfn.XLOOKUP($A23,Inputs!$A:$A,Inputs!H:H,,0)</f>
        <v>1318.6950000000002</v>
      </c>
      <c r="I23" s="50">
        <f>_xlfn.XLOOKUP($A23,Inputs!$A:$A,Inputs!I:I,,0)</f>
        <v>796.27000000000021</v>
      </c>
      <c r="J23" s="50">
        <f>_xlfn.XLOOKUP($A23,Inputs!$A:$A,Inputs!J:J,,0)</f>
        <v>81.128999999999962</v>
      </c>
      <c r="K23" s="50">
        <f>_xlfn.XLOOKUP($A23,Inputs!$A:$A,Inputs!K:K,,0)</f>
        <v>679.13200000000006</v>
      </c>
      <c r="L23" s="50">
        <f>_xlfn.XLOOKUP($A23,Inputs!$A:$A,Inputs!L:L,,0)</f>
        <v>487.80799999999999</v>
      </c>
      <c r="M23" s="51">
        <f>_xlfn.XLOOKUP($A23,Inputs!$A:$A,Inputs!M:M,,0)</f>
        <v>504.46499999999992</v>
      </c>
    </row>
    <row r="24" spans="1:18" ht="13.15">
      <c r="A24" s="111" t="s">
        <v>252</v>
      </c>
      <c r="B24" s="52">
        <f t="shared" ref="B24" si="43">IFERROR(B23/B$5,"-")</f>
        <v>0.13034651725528607</v>
      </c>
      <c r="C24" s="52">
        <f t="shared" ref="C24" si="44">IFERROR(C23/C$5,"-")</f>
        <v>0.18326792252842555</v>
      </c>
      <c r="D24" s="52">
        <f t="shared" ref="D24" si="45">IFERROR(D23/D$5,"-")</f>
        <v>0.18712243723275956</v>
      </c>
      <c r="E24" s="52">
        <f t="shared" ref="E24" si="46">IFERROR(E23/E$5,"-")</f>
        <v>3.580283018867924E-2</v>
      </c>
      <c r="F24" s="52">
        <f t="shared" ref="F24" si="47">IFERROR(F23/F$5,"-")</f>
        <v>5.6273893970204256E-2</v>
      </c>
      <c r="G24" s="52">
        <f t="shared" ref="G24" si="48">IFERROR(G23/G$5,"-")</f>
        <v>9.4162513609873669E-2</v>
      </c>
      <c r="H24" s="52">
        <f t="shared" ref="H24" si="49">IFERROR(H23/H$5,"-")</f>
        <v>6.5113046147188644E-2</v>
      </c>
      <c r="I24" s="52">
        <f t="shared" ref="I24" si="50">IFERROR(I23/I$5,"-")</f>
        <v>4.9127838499734899E-2</v>
      </c>
      <c r="J24" s="52">
        <f t="shared" ref="J24" si="51">IFERROR(J23/J$5,"-")</f>
        <v>4.9350713498574972E-3</v>
      </c>
      <c r="K24" s="52">
        <f t="shared" ref="K24" si="52">IFERROR(K23/K$5,"-")</f>
        <v>3.2178510439707562E-2</v>
      </c>
      <c r="L24" s="52">
        <f t="shared" ref="L24" si="53">IFERROR(L23/L$5,"-")</f>
        <v>2.5603969253485952E-2</v>
      </c>
      <c r="M24" s="53">
        <f t="shared" ref="M24" si="54">IFERROR(M23/M$5,"-")</f>
        <v>2.5964537546965871E-2</v>
      </c>
    </row>
    <row r="25" spans="1:18" ht="13.15">
      <c r="A25" s="110" t="s">
        <v>666</v>
      </c>
      <c r="B25" s="52">
        <f t="shared" ref="B25" si="55">IFERROR(B24/C24-1,"-")</f>
        <v>-0.28876523803521137</v>
      </c>
      <c r="C25" s="52">
        <f t="shared" ref="C25" si="56">IFERROR(C24/D24-1,"-")</f>
        <v>-2.0598891086157756E-2</v>
      </c>
      <c r="D25" s="52">
        <f t="shared" ref="D25" si="57">IFERROR(D24/E24-1,"-")</f>
        <v>4.2264705400839286</v>
      </c>
      <c r="E25" s="52">
        <f t="shared" ref="E25" si="58">IFERROR(E24/F24-1,"-")</f>
        <v>-0.3637754976110944</v>
      </c>
      <c r="F25" s="52">
        <f t="shared" ref="F25" si="59">IFERROR(F24/G24-1,"-")</f>
        <v>-0.40237476876038381</v>
      </c>
      <c r="G25" s="52">
        <f t="shared" ref="G25" si="60">IFERROR(G24/H24-1,"-")</f>
        <v>0.44613897185854934</v>
      </c>
      <c r="H25" s="52">
        <f t="shared" ref="H25" si="61">IFERROR(H24/I24-1,"-")</f>
        <v>0.32537982813023625</v>
      </c>
      <c r="I25" s="52">
        <f t="shared" ref="I25" si="62">IFERROR(I24/J24-1,"-")</f>
        <v>8.9548385457797881</v>
      </c>
      <c r="J25" s="52">
        <f t="shared" ref="J25" si="63">IFERROR(J24/K24-1,"-")</f>
        <v>-0.8466345619352309</v>
      </c>
      <c r="K25" s="52">
        <f t="shared" ref="K25" si="64">IFERROR(K24/L24-1,"-")</f>
        <v>0.25677820189252465</v>
      </c>
      <c r="L25" s="52">
        <f t="shared" ref="L25" si="65">IFERROR(L24/M24-1,"-")</f>
        <v>-1.388695226432235E-2</v>
      </c>
      <c r="M25" s="53" t="str">
        <f>IFERROR(M24/#REF!-1,"-")</f>
        <v>-</v>
      </c>
    </row>
    <row r="26" spans="1:18">
      <c r="A26" s="111" t="s">
        <v>674</v>
      </c>
      <c r="B26" s="54">
        <f>B41-C41</f>
        <v>2102.4000000000005</v>
      </c>
      <c r="C26" s="54">
        <f t="shared" ref="C26:M26" si="66">C41-D41</f>
        <v>1915.9999999999995</v>
      </c>
      <c r="D26" s="54">
        <f t="shared" si="66"/>
        <v>-274.79999999999973</v>
      </c>
      <c r="E26" s="54">
        <f t="shared" si="66"/>
        <v>1105.0999999999999</v>
      </c>
      <c r="F26" s="54">
        <f t="shared" si="66"/>
        <v>135.69999999999982</v>
      </c>
      <c r="G26" s="54">
        <f t="shared" si="66"/>
        <v>449.80000000000007</v>
      </c>
      <c r="H26" s="54">
        <f t="shared" si="66"/>
        <v>-1096.9000000000001</v>
      </c>
      <c r="I26" s="54">
        <f t="shared" si="66"/>
        <v>106.5</v>
      </c>
      <c r="J26" s="54">
        <f t="shared" si="66"/>
        <v>915.40000000000009</v>
      </c>
      <c r="K26" s="54">
        <f t="shared" si="66"/>
        <v>-459.20000000000005</v>
      </c>
      <c r="L26" s="54">
        <f t="shared" si="66"/>
        <v>430.39999999999986</v>
      </c>
      <c r="M26" s="51">
        <f t="shared" si="66"/>
        <v>1052.9000000000001</v>
      </c>
    </row>
    <row r="27" spans="1:18">
      <c r="A27" s="110" t="s">
        <v>134</v>
      </c>
      <c r="B27" s="50">
        <f>_xlfn.XLOOKUP($A27,Inputs!$A:$A,Inputs!B:B,,0)</f>
        <v>-514.53</v>
      </c>
      <c r="C27" s="50">
        <f>_xlfn.XLOOKUP($A27,Inputs!$A:$A,Inputs!C:C,,0)</f>
        <v>-533.59</v>
      </c>
      <c r="D27" s="50">
        <f>_xlfn.XLOOKUP($A27,Inputs!$A:$A,Inputs!D:D,,0)</f>
        <v>-483.47</v>
      </c>
      <c r="E27" s="50">
        <f>_xlfn.XLOOKUP($A27,Inputs!$A:$A,Inputs!E:E,,0)</f>
        <v>-491.66</v>
      </c>
      <c r="F27" s="50">
        <f>_xlfn.XLOOKUP($A27,Inputs!$A:$A,Inputs!F:F,,0)</f>
        <v>-492.06</v>
      </c>
      <c r="G27" s="50">
        <f>_xlfn.XLOOKUP($A27,Inputs!$A:$A,Inputs!G:G,,0)</f>
        <v>-485.38</v>
      </c>
      <c r="H27" s="50">
        <f>_xlfn.XLOOKUP($A27,Inputs!$A:$A,Inputs!H:H,,0)</f>
        <v>-485.32</v>
      </c>
      <c r="I27" s="50">
        <f>_xlfn.XLOOKUP($A27,Inputs!$A:$A,Inputs!I:I,,0)</f>
        <v>-481.08</v>
      </c>
      <c r="J27" s="50">
        <f>_xlfn.XLOOKUP($A27,Inputs!$A:$A,Inputs!J:J,,0)</f>
        <v>-479.4</v>
      </c>
      <c r="K27" s="50">
        <f>_xlfn.XLOOKUP($A27,Inputs!$A:$A,Inputs!K:K,,0)</f>
        <v>-475.1</v>
      </c>
      <c r="L27" s="50">
        <f>_xlfn.XLOOKUP($A27,Inputs!$A:$A,Inputs!L:L,,0)</f>
        <v>-471</v>
      </c>
      <c r="M27" s="51">
        <f>_xlfn.XLOOKUP($A27,Inputs!$A:$A,Inputs!M:M,,0)</f>
        <v>-466.4</v>
      </c>
    </row>
    <row r="28" spans="1:18">
      <c r="A28" s="112" t="s">
        <v>675</v>
      </c>
      <c r="B28" s="50">
        <f>_xlfn.XLOOKUP($A28,Inputs!$A:$A,Inputs!B:B,,0)</f>
        <v>-1591.52</v>
      </c>
      <c r="C28" s="50">
        <f>_xlfn.XLOOKUP($A28,Inputs!$A:$A,Inputs!C:C,,0)</f>
        <v>-2803.8</v>
      </c>
      <c r="D28" s="50">
        <f>_xlfn.XLOOKUP($A28,Inputs!$A:$A,Inputs!D:D,,0)</f>
        <v>-3204.09</v>
      </c>
      <c r="E28" s="50">
        <f>_xlfn.XLOOKUP($A28,Inputs!$A:$A,Inputs!E:E,,0)</f>
        <v>-46.76</v>
      </c>
      <c r="F28" s="50">
        <f>_xlfn.XLOOKUP($A28,Inputs!$A:$A,Inputs!F:F,,0)</f>
        <v>-307.44</v>
      </c>
      <c r="G28" s="50">
        <f>_xlfn.XLOOKUP($A28,Inputs!$A:$A,Inputs!G:G,,0)</f>
        <v>-852.02</v>
      </c>
      <c r="H28" s="50">
        <f>_xlfn.XLOOKUP($A28,Inputs!$A:$A,Inputs!H:H,,0)</f>
        <v>-97.64</v>
      </c>
      <c r="I28" s="50">
        <f>_xlfn.XLOOKUP($A28,Inputs!$A:$A,Inputs!I:I,,0)</f>
        <v>0.89</v>
      </c>
      <c r="J28" s="50">
        <f>_xlfn.XLOOKUP($A28,Inputs!$A:$A,Inputs!J:J,,0)</f>
        <v>-66.5</v>
      </c>
      <c r="K28" s="50">
        <f>_xlfn.XLOOKUP($A28,Inputs!$A:$A,Inputs!K:K,,0)</f>
        <v>0</v>
      </c>
      <c r="L28" s="50">
        <f>_xlfn.XLOOKUP($A28,Inputs!$A:$A,Inputs!L:L,,0)</f>
        <v>0</v>
      </c>
      <c r="M28" s="51">
        <f>_xlfn.XLOOKUP($A28,Inputs!$A:$A,Inputs!M:M,,0)</f>
        <v>0</v>
      </c>
    </row>
    <row r="29" spans="1:18">
      <c r="A29" s="110" t="s">
        <v>126</v>
      </c>
      <c r="B29" s="54">
        <f>SUM(B26:B28)</f>
        <v>-3.6499999999994088</v>
      </c>
      <c r="C29" s="54">
        <f t="shared" ref="C29:M29" si="67">SUM(C26:C28)</f>
        <v>-1421.3900000000008</v>
      </c>
      <c r="D29" s="54">
        <f t="shared" si="67"/>
        <v>-3962.3599999999997</v>
      </c>
      <c r="E29" s="54">
        <f t="shared" si="67"/>
        <v>566.67999999999984</v>
      </c>
      <c r="F29" s="54">
        <f t="shared" si="67"/>
        <v>-663.80000000000018</v>
      </c>
      <c r="G29" s="54">
        <f t="shared" si="67"/>
        <v>-887.59999999999991</v>
      </c>
      <c r="H29" s="54">
        <f t="shared" si="67"/>
        <v>-1679.8600000000001</v>
      </c>
      <c r="I29" s="54">
        <f t="shared" si="67"/>
        <v>-373.69</v>
      </c>
      <c r="J29" s="54">
        <f t="shared" si="67"/>
        <v>369.50000000000011</v>
      </c>
      <c r="K29" s="54">
        <f t="shared" si="67"/>
        <v>-934.30000000000007</v>
      </c>
      <c r="L29" s="54">
        <f t="shared" si="67"/>
        <v>-40.600000000000136</v>
      </c>
      <c r="M29" s="51">
        <f t="shared" si="67"/>
        <v>586.50000000000011</v>
      </c>
    </row>
    <row r="30" spans="1:18">
      <c r="A30" s="112" t="s">
        <v>676</v>
      </c>
      <c r="B30" s="54">
        <f t="shared" ref="B30:M30" si="68">+B29-(B63-C29)</f>
        <v>-8267.223</v>
      </c>
      <c r="C30" s="54">
        <f t="shared" si="68"/>
        <v>-12075.117</v>
      </c>
      <c r="D30" s="54">
        <f t="shared" si="68"/>
        <v>-9116.52</v>
      </c>
      <c r="E30" s="54">
        <f t="shared" si="68"/>
        <v>-5437.7189999999991</v>
      </c>
      <c r="F30" s="54">
        <f t="shared" si="68"/>
        <v>-5934.4409999999998</v>
      </c>
      <c r="G30" s="54">
        <f t="shared" si="68"/>
        <v>-6858.6059999999998</v>
      </c>
      <c r="H30" s="54" t="e">
        <f t="shared" si="68"/>
        <v>#N/A</v>
      </c>
      <c r="I30" s="54" t="e">
        <f t="shared" si="68"/>
        <v>#N/A</v>
      </c>
      <c r="J30" s="54" t="e">
        <f t="shared" si="68"/>
        <v>#N/A</v>
      </c>
      <c r="K30" s="54" t="e">
        <f t="shared" si="68"/>
        <v>#N/A</v>
      </c>
      <c r="L30" s="54" t="e">
        <f t="shared" si="68"/>
        <v>#N/A</v>
      </c>
      <c r="M30" s="51" t="e">
        <f t="shared" si="68"/>
        <v>#N/A</v>
      </c>
    </row>
    <row r="31" spans="1:18">
      <c r="A31" s="110" t="s">
        <v>677</v>
      </c>
      <c r="B31" s="54">
        <f>+B30+B33</f>
        <v>-8492.2669999999998</v>
      </c>
      <c r="C31" s="54">
        <f t="shared" ref="C31:L31" si="69">+C30+C33</f>
        <v>-15952.032999999999</v>
      </c>
      <c r="D31" s="54">
        <f t="shared" si="69"/>
        <v>-10387.946</v>
      </c>
      <c r="E31" s="54">
        <f t="shared" si="69"/>
        <v>-5622.128999999999</v>
      </c>
      <c r="F31" s="54">
        <f t="shared" si="69"/>
        <v>-6317.5869999999995</v>
      </c>
      <c r="G31" s="54">
        <f t="shared" si="69"/>
        <v>-6841.6689999999999</v>
      </c>
      <c r="H31" s="54" t="e">
        <f t="shared" si="69"/>
        <v>#N/A</v>
      </c>
      <c r="I31" s="54" t="e">
        <f t="shared" si="69"/>
        <v>#N/A</v>
      </c>
      <c r="J31" s="54" t="e">
        <f t="shared" si="69"/>
        <v>#N/A</v>
      </c>
      <c r="K31" s="54" t="e">
        <f t="shared" si="69"/>
        <v>#N/A</v>
      </c>
      <c r="L31" s="54" t="e">
        <f t="shared" si="69"/>
        <v>#N/A</v>
      </c>
      <c r="M31" s="51" t="e">
        <f t="shared" ref="M31" si="70">+M30+M33</f>
        <v>#N/A</v>
      </c>
    </row>
    <row r="32" spans="1:18">
      <c r="A32" s="112" t="s">
        <v>131</v>
      </c>
      <c r="B32" s="50">
        <f>_xlfn.XLOOKUP($A32,Inputs!$A:$A,Inputs!B:B,,0)</f>
        <v>-2199.3000000000002</v>
      </c>
      <c r="C32" s="50">
        <f>_xlfn.XLOOKUP($A32,Inputs!$A:$A,Inputs!C:C,,0)</f>
        <v>-1915.6</v>
      </c>
      <c r="D32" s="50">
        <f>_xlfn.XLOOKUP($A32,Inputs!$A:$A,Inputs!D:D,,0)</f>
        <v>-1602.6</v>
      </c>
      <c r="E32" s="50">
        <f>_xlfn.XLOOKUP($A32,Inputs!$A:$A,Inputs!E:E,,0)</f>
        <v>-1502.3</v>
      </c>
      <c r="F32" s="50">
        <f>_xlfn.XLOOKUP($A32,Inputs!$A:$A,Inputs!F:F,,0)</f>
        <v>-1435.7</v>
      </c>
      <c r="G32" s="50">
        <f>_xlfn.XLOOKUP($A32,Inputs!$A:$A,Inputs!G:G,,0)</f>
        <v>-950.9</v>
      </c>
      <c r="H32" s="50">
        <f>_xlfn.XLOOKUP($A32,Inputs!$A:$A,Inputs!H:H,,0)</f>
        <v>-423.2</v>
      </c>
      <c r="I32" s="50">
        <f>_xlfn.XLOOKUP($A32,Inputs!$A:$A,Inputs!I:I,,0)</f>
        <v>-586.29999999999995</v>
      </c>
      <c r="J32" s="50">
        <f>_xlfn.XLOOKUP($A32,Inputs!$A:$A,Inputs!J:J,,0)</f>
        <v>-344.7</v>
      </c>
      <c r="K32" s="50">
        <f>_xlfn.XLOOKUP($A32,Inputs!$A:$A,Inputs!K:K,,0)</f>
        <v>-631.4</v>
      </c>
      <c r="L32" s="50">
        <f>_xlfn.XLOOKUP($A32,Inputs!$A:$A,Inputs!L:L,,0)</f>
        <v>-1162.9000000000001</v>
      </c>
      <c r="M32" s="51">
        <f>_xlfn.XLOOKUP($A32,Inputs!$A:$A,Inputs!M:M,,0)</f>
        <v>-896.6</v>
      </c>
    </row>
    <row r="33" spans="1:13">
      <c r="A33" s="110" t="s">
        <v>132</v>
      </c>
      <c r="B33" s="50">
        <f>_xlfn.XLOOKUP($A33,Inputs!$A:$A,Inputs!B:B,,0)</f>
        <v>-225.0440000000001</v>
      </c>
      <c r="C33" s="50">
        <f>_xlfn.XLOOKUP($A33,Inputs!$A:$A,Inputs!C:C,,0)</f>
        <v>-3876.9160000000002</v>
      </c>
      <c r="D33" s="50">
        <f>_xlfn.XLOOKUP($A33,Inputs!$A:$A,Inputs!D:D,,0)</f>
        <v>-1271.4260000000002</v>
      </c>
      <c r="E33" s="50">
        <f>_xlfn.XLOOKUP($A33,Inputs!$A:$A,Inputs!E:E,,0)</f>
        <v>-184.40999999999997</v>
      </c>
      <c r="F33" s="50">
        <f>_xlfn.XLOOKUP($A33,Inputs!$A:$A,Inputs!F:F,,0)</f>
        <v>-383.14599999999996</v>
      </c>
      <c r="G33" s="50">
        <f>_xlfn.XLOOKUP($A33,Inputs!$A:$A,Inputs!G:G,,0)</f>
        <v>16.936999999999998</v>
      </c>
      <c r="H33" s="50">
        <f>_xlfn.XLOOKUP($A33,Inputs!$A:$A,Inputs!H:H,,0)</f>
        <v>-503.04</v>
      </c>
      <c r="I33" s="50">
        <f>_xlfn.XLOOKUP($A33,Inputs!$A:$A,Inputs!I:I,,0)</f>
        <v>-587.97</v>
      </c>
      <c r="J33" s="50">
        <f>_xlfn.XLOOKUP($A33,Inputs!$A:$A,Inputs!J:J,,0)</f>
        <v>-99.9</v>
      </c>
      <c r="K33" s="50">
        <f>_xlfn.XLOOKUP($A33,Inputs!$A:$A,Inputs!K:K,,0)</f>
        <v>-938.9</v>
      </c>
      <c r="L33" s="50">
        <f>_xlfn.XLOOKUP($A33,Inputs!$A:$A,Inputs!L:L,,0)</f>
        <v>137.1</v>
      </c>
      <c r="M33" s="51">
        <f>_xlfn.XLOOKUP($A33,Inputs!$A:$A,Inputs!M:M,,0)</f>
        <v>675.7</v>
      </c>
    </row>
    <row r="34" spans="1:13">
      <c r="A34" s="111" t="s">
        <v>127</v>
      </c>
      <c r="B34" s="54">
        <f t="shared" ref="B34:M34" si="71">+B32+B33</f>
        <v>-2424.3440000000001</v>
      </c>
      <c r="C34" s="54">
        <f t="shared" si="71"/>
        <v>-5792.5159999999996</v>
      </c>
      <c r="D34" s="54">
        <f t="shared" si="71"/>
        <v>-2874.0259999999998</v>
      </c>
      <c r="E34" s="54">
        <f t="shared" si="71"/>
        <v>-1686.71</v>
      </c>
      <c r="F34" s="54">
        <f t="shared" si="71"/>
        <v>-1818.846</v>
      </c>
      <c r="G34" s="54">
        <f t="shared" si="71"/>
        <v>-933.96299999999997</v>
      </c>
      <c r="H34" s="54">
        <f t="shared" si="71"/>
        <v>-926.24</v>
      </c>
      <c r="I34" s="54">
        <f t="shared" si="71"/>
        <v>-1174.27</v>
      </c>
      <c r="J34" s="54">
        <f t="shared" si="71"/>
        <v>-444.6</v>
      </c>
      <c r="K34" s="54">
        <f t="shared" si="71"/>
        <v>-1570.3</v>
      </c>
      <c r="L34" s="54">
        <f t="shared" si="71"/>
        <v>-1025.8000000000002</v>
      </c>
      <c r="M34" s="55">
        <f t="shared" si="71"/>
        <v>-220.89999999999998</v>
      </c>
    </row>
    <row r="35" spans="1:13">
      <c r="A35" s="110" t="s">
        <v>125</v>
      </c>
      <c r="B35" s="54">
        <f t="shared" ref="B35:M35" si="72">+B27+B28</f>
        <v>-2106.0500000000002</v>
      </c>
      <c r="C35" s="54">
        <f t="shared" si="72"/>
        <v>-3337.3900000000003</v>
      </c>
      <c r="D35" s="54">
        <f t="shared" si="72"/>
        <v>-3687.5600000000004</v>
      </c>
      <c r="E35" s="54">
        <f t="shared" si="72"/>
        <v>-538.42000000000007</v>
      </c>
      <c r="F35" s="54">
        <f t="shared" si="72"/>
        <v>-799.5</v>
      </c>
      <c r="G35" s="54">
        <f t="shared" si="72"/>
        <v>-1337.4</v>
      </c>
      <c r="H35" s="54">
        <f t="shared" si="72"/>
        <v>-582.96</v>
      </c>
      <c r="I35" s="54">
        <f t="shared" si="72"/>
        <v>-480.19</v>
      </c>
      <c r="J35" s="54">
        <f t="shared" si="72"/>
        <v>-545.9</v>
      </c>
      <c r="K35" s="54">
        <f t="shared" si="72"/>
        <v>-475.1</v>
      </c>
      <c r="L35" s="54">
        <f t="shared" si="72"/>
        <v>-471</v>
      </c>
      <c r="M35" s="55">
        <f t="shared" si="72"/>
        <v>-466.4</v>
      </c>
    </row>
    <row r="36" spans="1:13" ht="13.15">
      <c r="A36" s="112" t="s">
        <v>678</v>
      </c>
      <c r="B36" s="52">
        <f>IFERROR(B35/B23,"-")</f>
        <v>-0.46544094620616072</v>
      </c>
      <c r="C36" s="52">
        <f t="shared" ref="C36:M36" si="73">IFERROR(C35/C23,"-")</f>
        <v>-0.43867900099608059</v>
      </c>
      <c r="D36" s="52">
        <f t="shared" si="73"/>
        <v>-0.54014552565374863</v>
      </c>
      <c r="E36" s="52">
        <f t="shared" si="73"/>
        <v>-0.74669691804806504</v>
      </c>
      <c r="F36" s="52">
        <f t="shared" si="73"/>
        <v>-0.62895159786746457</v>
      </c>
      <c r="G36" s="52">
        <f t="shared" si="73"/>
        <v>-0.56659936163308056</v>
      </c>
      <c r="H36" s="52">
        <f t="shared" si="73"/>
        <v>-0.44207341348833501</v>
      </c>
      <c r="I36" s="52">
        <f t="shared" si="73"/>
        <v>-0.60304921697414182</v>
      </c>
      <c r="J36" s="52">
        <f t="shared" si="73"/>
        <v>-6.7287899518051528</v>
      </c>
      <c r="K36" s="52">
        <f t="shared" si="73"/>
        <v>-0.6995694504161194</v>
      </c>
      <c r="L36" s="52">
        <f t="shared" si="73"/>
        <v>-0.96554382051954868</v>
      </c>
      <c r="M36" s="53">
        <f t="shared" si="73"/>
        <v>-0.92454382365476306</v>
      </c>
    </row>
    <row r="37" spans="1:13">
      <c r="A37" s="17" t="s">
        <v>679</v>
      </c>
      <c r="B37" s="754">
        <v>930.58500000000004</v>
      </c>
      <c r="C37" s="754">
        <v>826.69200000000001</v>
      </c>
      <c r="D37" s="754">
        <v>735.40599999999995</v>
      </c>
      <c r="E37" s="754">
        <v>702.11</v>
      </c>
      <c r="F37" s="754">
        <v>648.91099999999994</v>
      </c>
      <c r="G37" s="754">
        <v>630.87900000000002</v>
      </c>
      <c r="H37" s="754">
        <v>635.83299999999997</v>
      </c>
      <c r="I37" s="754">
        <v>613.19200000000001</v>
      </c>
      <c r="J37" s="754">
        <v>625.75699999999995</v>
      </c>
      <c r="K37" s="754"/>
      <c r="L37" s="754"/>
      <c r="M37" s="754"/>
    </row>
    <row r="38" spans="1:13">
      <c r="A38" s="17" t="s">
        <v>680</v>
      </c>
      <c r="B38" s="755">
        <f t="shared" ref="B38:J38" si="74">B17-B37</f>
        <v>237.7349999999999</v>
      </c>
      <c r="C38" s="755">
        <f t="shared" si="74"/>
        <v>234.9380000000001</v>
      </c>
      <c r="D38" s="755">
        <f t="shared" si="74"/>
        <v>129.154</v>
      </c>
      <c r="E38" s="755">
        <f t="shared" si="74"/>
        <v>83.360000000000014</v>
      </c>
      <c r="F38" s="755">
        <f t="shared" si="74"/>
        <v>85.739000000000033</v>
      </c>
      <c r="G38" s="755">
        <f t="shared" si="74"/>
        <v>88.760999999999967</v>
      </c>
      <c r="H38" s="755">
        <f t="shared" si="74"/>
        <v>91.226999999999975</v>
      </c>
      <c r="I38" s="755">
        <f t="shared" si="74"/>
        <v>73.857999999999947</v>
      </c>
      <c r="J38" s="755">
        <f t="shared" si="74"/>
        <v>319.14300000000003</v>
      </c>
      <c r="K38" s="754"/>
      <c r="L38" s="754"/>
      <c r="M38" s="754"/>
    </row>
    <row r="39" spans="1:13">
      <c r="A39" s="17" t="s">
        <v>681</v>
      </c>
      <c r="B39" s="755">
        <v>724.01199999999994</v>
      </c>
      <c r="C39" s="755">
        <v>789.32500000000005</v>
      </c>
      <c r="D39" s="755">
        <v>316.54000000000002</v>
      </c>
      <c r="E39" s="755">
        <v>573.048</v>
      </c>
      <c r="F39" s="755">
        <v>389.52800000000002</v>
      </c>
      <c r="G39" s="755">
        <v>178.31100000000001</v>
      </c>
      <c r="H39" s="755"/>
      <c r="I39" s="755"/>
      <c r="J39" s="755"/>
      <c r="K39" s="754"/>
      <c r="L39" s="754"/>
      <c r="M39" s="754"/>
    </row>
    <row r="40" spans="1:13" ht="20.65">
      <c r="A40" s="1655" t="s">
        <v>217</v>
      </c>
      <c r="B40" s="1655"/>
      <c r="C40" s="1655"/>
      <c r="D40" s="1655"/>
      <c r="E40" s="1655"/>
      <c r="F40" s="1655"/>
      <c r="G40" s="1655"/>
      <c r="H40" s="1655"/>
      <c r="I40" s="1655"/>
      <c r="J40" s="1655"/>
      <c r="K40" s="1655"/>
      <c r="L40" s="1655"/>
      <c r="M40" s="1655"/>
    </row>
    <row r="41" spans="1:13">
      <c r="A41" s="113" t="s">
        <v>294</v>
      </c>
      <c r="B41" s="50">
        <f>_xlfn.XLOOKUP($A41,Inputs!$A:$A,Inputs!B:B,,0)</f>
        <v>6383.3</v>
      </c>
      <c r="C41" s="50">
        <f>_xlfn.XLOOKUP($A41,Inputs!$A:$A,Inputs!C:C,,0)</f>
        <v>4280.8999999999996</v>
      </c>
      <c r="D41" s="50">
        <f>_xlfn.XLOOKUP($A41,Inputs!$A:$A,Inputs!D:D,,0)</f>
        <v>2364.9</v>
      </c>
      <c r="E41" s="50">
        <f>_xlfn.XLOOKUP($A41,Inputs!$A:$A,Inputs!E:E,,0)</f>
        <v>2639.7</v>
      </c>
      <c r="F41" s="50">
        <f>_xlfn.XLOOKUP($A41,Inputs!$A:$A,Inputs!F:F,,0)</f>
        <v>1534.6</v>
      </c>
      <c r="G41" s="50">
        <f>_xlfn.XLOOKUP($A41,Inputs!$A:$A,Inputs!G:G,,0)</f>
        <v>1398.9</v>
      </c>
      <c r="H41" s="50">
        <f>_xlfn.XLOOKUP($A41,Inputs!$A:$A,Inputs!H:H,,0)</f>
        <v>949.1</v>
      </c>
      <c r="I41" s="50">
        <f>_xlfn.XLOOKUP($A41,Inputs!$A:$A,Inputs!I:I,,0)</f>
        <v>2046</v>
      </c>
      <c r="J41" s="50">
        <f>_xlfn.XLOOKUP($A41,Inputs!$A:$A,Inputs!J:J,,0)</f>
        <v>1939.5</v>
      </c>
      <c r="K41" s="50">
        <f>_xlfn.XLOOKUP($A41,Inputs!$A:$A,Inputs!K:K,,0)</f>
        <v>1024.0999999999999</v>
      </c>
      <c r="L41" s="50">
        <f>_xlfn.XLOOKUP($A41,Inputs!$A:$A,Inputs!L:L,,0)</f>
        <v>1483.3</v>
      </c>
      <c r="M41" s="51">
        <f>_xlfn.XLOOKUP($A41,Inputs!$A:$A,Inputs!M:M,,0)</f>
        <v>1052.9000000000001</v>
      </c>
    </row>
    <row r="42" spans="1:13">
      <c r="A42" s="111" t="s">
        <v>682</v>
      </c>
      <c r="B42" s="50">
        <f>_xlfn.XLOOKUP($A42,Inputs!$A:$A,Inputs!B:B,,0)</f>
        <v>2953.31</v>
      </c>
      <c r="C42" s="50">
        <f>_xlfn.XLOOKUP($A42,Inputs!$A:$A,Inputs!C:C,,0)</f>
        <v>3591.03</v>
      </c>
      <c r="D42" s="50">
        <f>_xlfn.XLOOKUP($A42,Inputs!$A:$A,Inputs!D:D,,0)</f>
        <v>3853.97</v>
      </c>
      <c r="E42" s="50">
        <f>_xlfn.XLOOKUP($A42,Inputs!$A:$A,Inputs!E:E,,0)</f>
        <v>2298.85</v>
      </c>
      <c r="F42" s="50">
        <f>_xlfn.XLOOKUP($A42,Inputs!$A:$A,Inputs!F:F,,0)</f>
        <v>2160.1</v>
      </c>
      <c r="G42" s="50">
        <f>_xlfn.XLOOKUP($A42,Inputs!$A:$A,Inputs!G:G,,0)</f>
        <v>2505.5700000000002</v>
      </c>
      <c r="H42" s="50">
        <f>_xlfn.XLOOKUP($A42,Inputs!$A:$A,Inputs!H:H,,0)</f>
        <v>2028.55</v>
      </c>
      <c r="I42" s="50">
        <f>_xlfn.XLOOKUP($A42,Inputs!$A:$A,Inputs!I:I,,0)</f>
        <v>1631.68</v>
      </c>
      <c r="J42" s="50">
        <f>_xlfn.XLOOKUP($A42,Inputs!$A:$A,Inputs!J:J,,0)</f>
        <v>1383.8</v>
      </c>
      <c r="K42" s="50">
        <f>_xlfn.XLOOKUP($A42,Inputs!$A:$A,Inputs!K:K,,0)</f>
        <v>2068.3000000000002</v>
      </c>
      <c r="L42" s="50">
        <f>_xlfn.XLOOKUP($A42,Inputs!$A:$A,Inputs!L:L,,0)</f>
        <v>1881</v>
      </c>
      <c r="M42" s="51">
        <f>_xlfn.XLOOKUP($A42,Inputs!$A:$A,Inputs!M:M,,0)</f>
        <v>1707.3</v>
      </c>
    </row>
    <row r="43" spans="1:13">
      <c r="A43" s="113" t="s">
        <v>296</v>
      </c>
      <c r="B43" s="50">
        <f>_xlfn.XLOOKUP($A43,Inputs!$A:$A,Inputs!B:B,,0)</f>
        <v>5577.76</v>
      </c>
      <c r="C43" s="50">
        <f>_xlfn.XLOOKUP($A43,Inputs!$A:$A,Inputs!C:C,,0)</f>
        <v>5453.53</v>
      </c>
      <c r="D43" s="50">
        <f>_xlfn.XLOOKUP($A43,Inputs!$A:$A,Inputs!D:D,,0)</f>
        <v>6011.18</v>
      </c>
      <c r="E43" s="50">
        <f>_xlfn.XLOOKUP($A43,Inputs!$A:$A,Inputs!E:E,,0)</f>
        <v>3569.09</v>
      </c>
      <c r="F43" s="50">
        <f>_xlfn.XLOOKUP($A43,Inputs!$A:$A,Inputs!F:F,,0)</f>
        <v>3842.1</v>
      </c>
      <c r="G43" s="50">
        <f>_xlfn.XLOOKUP($A43,Inputs!$A:$A,Inputs!G:G,,0)</f>
        <v>4553.5</v>
      </c>
      <c r="H43" s="50">
        <f>_xlfn.XLOOKUP($A43,Inputs!$A:$A,Inputs!H:H,,0)</f>
        <v>3461.69</v>
      </c>
      <c r="I43" s="50">
        <f>_xlfn.XLOOKUP($A43,Inputs!$A:$A,Inputs!I:I,,0)</f>
        <v>2479.96</v>
      </c>
      <c r="J43" s="50">
        <f>_xlfn.XLOOKUP($A43,Inputs!$A:$A,Inputs!J:J,,0)</f>
        <v>2245.5</v>
      </c>
      <c r="K43" s="50">
        <f>_xlfn.XLOOKUP($A43,Inputs!$A:$A,Inputs!K:K,,0)</f>
        <v>2745</v>
      </c>
      <c r="L43" s="50">
        <f>_xlfn.XLOOKUP($A43,Inputs!$A:$A,Inputs!L:L,,0)</f>
        <v>2605.6</v>
      </c>
      <c r="M43" s="51">
        <f>_xlfn.XLOOKUP($A43,Inputs!$A:$A,Inputs!M:M,,0)</f>
        <v>2323.6</v>
      </c>
    </row>
    <row r="44" spans="1:13">
      <c r="A44" s="111" t="s">
        <v>683</v>
      </c>
      <c r="B44" s="50">
        <f>_xlfn.XLOOKUP($A44,Inputs!$A:$A,Inputs!B:B,,0)</f>
        <v>11049.77</v>
      </c>
      <c r="C44" s="50">
        <f>_xlfn.XLOOKUP($A44,Inputs!$A:$A,Inputs!C:C,,0)</f>
        <v>9616.92</v>
      </c>
      <c r="D44" s="50">
        <f>_xlfn.XLOOKUP($A44,Inputs!$A:$A,Inputs!D:D,,0)</f>
        <v>8114.82</v>
      </c>
      <c r="E44" s="50">
        <f>_xlfn.XLOOKUP($A44,Inputs!$A:$A,Inputs!E:E,,0)</f>
        <v>6899.11</v>
      </c>
      <c r="F44" s="50">
        <f>_xlfn.XLOOKUP($A44,Inputs!$A:$A,Inputs!F:F,,0)</f>
        <v>6178.56</v>
      </c>
      <c r="G44" s="50">
        <f>_xlfn.XLOOKUP($A44,Inputs!$A:$A,Inputs!G:G,,0)</f>
        <v>5334.75</v>
      </c>
      <c r="H44" s="50">
        <f>_xlfn.XLOOKUP($A44,Inputs!$A:$A,Inputs!H:H,,0)</f>
        <v>5093.1499999999996</v>
      </c>
      <c r="I44" s="50">
        <f>_xlfn.XLOOKUP($A44,Inputs!$A:$A,Inputs!I:I,,0)</f>
        <v>5078.6499999999996</v>
      </c>
      <c r="J44" s="50">
        <f>_xlfn.XLOOKUP($A44,Inputs!$A:$A,Inputs!J:J,,0)</f>
        <v>4891.2</v>
      </c>
      <c r="K44" s="50">
        <f>_xlfn.XLOOKUP($A44,Inputs!$A:$A,Inputs!K:K,,0)</f>
        <v>5287.6</v>
      </c>
      <c r="L44" s="50">
        <f>_xlfn.XLOOKUP($A44,Inputs!$A:$A,Inputs!L:L,,0)</f>
        <v>4917</v>
      </c>
      <c r="M44" s="51">
        <f>_xlfn.XLOOKUP($A44,Inputs!$A:$A,Inputs!M:M,,0)</f>
        <v>4283.1000000000004</v>
      </c>
    </row>
    <row r="45" spans="1:13">
      <c r="A45" s="113" t="s">
        <v>684</v>
      </c>
      <c r="B45" s="50">
        <f>_xlfn.XLOOKUP($A45,Inputs!$A:$A,Inputs!B:B,,0)</f>
        <v>9376.3599999999988</v>
      </c>
      <c r="C45" s="50">
        <f>_xlfn.XLOOKUP($A45,Inputs!$A:$A,Inputs!C:C,,0)</f>
        <v>9536.8200000000015</v>
      </c>
      <c r="D45" s="50">
        <f>_xlfn.XLOOKUP($A45,Inputs!$A:$A,Inputs!D:D,,0)</f>
        <v>5478.23</v>
      </c>
      <c r="E45" s="50">
        <f>_xlfn.XLOOKUP($A45,Inputs!$A:$A,Inputs!E:E,,0)</f>
        <v>4718.6500000000024</v>
      </c>
      <c r="F45" s="50">
        <f>_xlfn.XLOOKUP($A45,Inputs!$A:$A,Inputs!F:F,,0)</f>
        <v>4629.3400000000011</v>
      </c>
      <c r="G45" s="50">
        <f>_xlfn.XLOOKUP($A45,Inputs!$A:$A,Inputs!G:G,,0)</f>
        <v>4127.8799999999974</v>
      </c>
      <c r="H45" s="50">
        <f>_xlfn.XLOOKUP($A45,Inputs!$A:$A,Inputs!H:H,,0)</f>
        <v>4308.8099999999995</v>
      </c>
      <c r="I45" s="50">
        <f>_xlfn.XLOOKUP($A45,Inputs!$A:$A,Inputs!I:I,,0)</f>
        <v>3987.2100000000009</v>
      </c>
      <c r="J45" s="50">
        <f>_xlfn.XLOOKUP($A45,Inputs!$A:$A,Inputs!J:J,,0)</f>
        <v>3867</v>
      </c>
      <c r="K45" s="50">
        <f>_xlfn.XLOOKUP($A45,Inputs!$A:$A,Inputs!K:K,,0)</f>
        <v>4490.8999999999996</v>
      </c>
      <c r="L45" s="50">
        <f>_xlfn.XLOOKUP($A45,Inputs!$A:$A,Inputs!L:L,,0)</f>
        <v>4316.3999999999996</v>
      </c>
      <c r="M45" s="51">
        <f>_xlfn.XLOOKUP($A45,Inputs!$A:$A,Inputs!M:M,,0)</f>
        <v>4785.2000000000007</v>
      </c>
    </row>
    <row r="46" spans="1:13" ht="13.15">
      <c r="A46" s="114" t="s">
        <v>43</v>
      </c>
      <c r="B46" s="56">
        <f>_xlfn.XLOOKUP($A46,Inputs!$A:$A,Inputs!B:B,,0)</f>
        <v>35340.5</v>
      </c>
      <c r="C46" s="56">
        <f>_xlfn.XLOOKUP($A46,Inputs!$A:$A,Inputs!C:C,,0)</f>
        <v>32479.200000000001</v>
      </c>
      <c r="D46" s="56">
        <f>_xlfn.XLOOKUP($A46,Inputs!$A:$A,Inputs!D:D,,0)</f>
        <v>25823.1</v>
      </c>
      <c r="E46" s="56">
        <f>_xlfn.XLOOKUP($A46,Inputs!$A:$A,Inputs!E:E,,0)</f>
        <v>20125.400000000001</v>
      </c>
      <c r="F46" s="56">
        <f>_xlfn.XLOOKUP($A46,Inputs!$A:$A,Inputs!F:F,,0)</f>
        <v>18344.7</v>
      </c>
      <c r="G46" s="56">
        <f>_xlfn.XLOOKUP($A46,Inputs!$A:$A,Inputs!G:G,,0)</f>
        <v>17920.599999999999</v>
      </c>
      <c r="H46" s="56">
        <f>_xlfn.XLOOKUP($A46,Inputs!$A:$A,Inputs!H:H,,0)</f>
        <v>15841.3</v>
      </c>
      <c r="I46" s="56">
        <f>_xlfn.XLOOKUP($A46,Inputs!$A:$A,Inputs!I:I,,0)</f>
        <v>15223.5</v>
      </c>
      <c r="J46" s="56">
        <f>_xlfn.XLOOKUP($A46,Inputs!$A:$A,Inputs!J:J,,0)</f>
        <v>14327</v>
      </c>
      <c r="K46" s="56">
        <f>_xlfn.XLOOKUP($A46,Inputs!$A:$A,Inputs!K:K,,0)</f>
        <v>15615.9</v>
      </c>
      <c r="L46" s="56">
        <f>_xlfn.XLOOKUP($A46,Inputs!$A:$A,Inputs!L:L,,0)</f>
        <v>15203.3</v>
      </c>
      <c r="M46" s="56">
        <f>_xlfn.XLOOKUP($A46,Inputs!$A:$A,Inputs!M:M,,0)</f>
        <v>14152.1</v>
      </c>
    </row>
    <row r="47" spans="1:13">
      <c r="A47" s="10" t="s">
        <v>685</v>
      </c>
      <c r="B47" s="40">
        <v>3968.8470000000002</v>
      </c>
      <c r="C47">
        <v>3920.06</v>
      </c>
      <c r="D47">
        <v>2827.2440000000001</v>
      </c>
      <c r="E47">
        <v>2229.672</v>
      </c>
      <c r="F47">
        <v>2201.0630000000001</v>
      </c>
      <c r="G47">
        <v>2184.3359999999998</v>
      </c>
      <c r="H47"/>
      <c r="I47"/>
      <c r="J47"/>
      <c r="K47"/>
      <c r="L47"/>
      <c r="M47"/>
    </row>
    <row r="48" spans="1:13">
      <c r="A48" s="10" t="s">
        <v>686</v>
      </c>
      <c r="B48">
        <v>3108.0149999999999</v>
      </c>
      <c r="C48">
        <v>3322.2649999999999</v>
      </c>
      <c r="D48">
        <v>1103.759</v>
      </c>
      <c r="E48">
        <v>668.02099999999996</v>
      </c>
      <c r="F48">
        <v>742.18600000000004</v>
      </c>
      <c r="G48">
        <v>828.50400000000002</v>
      </c>
      <c r="H48"/>
      <c r="I48"/>
      <c r="J48"/>
      <c r="K48"/>
      <c r="L48"/>
      <c r="M48"/>
    </row>
    <row r="49" spans="1:13">
      <c r="A49" s="10" t="s">
        <v>687</v>
      </c>
      <c r="B49">
        <f t="shared" ref="B49:G49" si="75">SUM(B47:B48)</f>
        <v>7076.8620000000001</v>
      </c>
      <c r="C49">
        <f t="shared" si="75"/>
        <v>7242.3249999999998</v>
      </c>
      <c r="D49">
        <f t="shared" si="75"/>
        <v>3931.0030000000002</v>
      </c>
      <c r="E49">
        <f t="shared" si="75"/>
        <v>2897.6930000000002</v>
      </c>
      <c r="F49">
        <f t="shared" si="75"/>
        <v>2943.2490000000003</v>
      </c>
      <c r="G49">
        <f t="shared" si="75"/>
        <v>3012.8399999999997</v>
      </c>
      <c r="H49"/>
      <c r="I49"/>
      <c r="J49"/>
      <c r="K49"/>
      <c r="L49"/>
      <c r="M49"/>
    </row>
    <row r="50" spans="1:13" ht="20.65">
      <c r="A50" s="1655" t="s">
        <v>688</v>
      </c>
      <c r="B50" s="1655"/>
      <c r="C50" s="1655"/>
      <c r="D50" s="1655"/>
      <c r="E50" s="1655"/>
      <c r="F50" s="1655"/>
      <c r="G50" s="1655"/>
      <c r="H50" s="1655"/>
      <c r="I50" s="1655"/>
      <c r="J50" s="1655"/>
      <c r="K50" s="1655"/>
      <c r="L50" s="1655"/>
      <c r="M50" s="1655"/>
    </row>
    <row r="51" spans="1:13" ht="13.15">
      <c r="A51" s="115" t="s">
        <v>300</v>
      </c>
      <c r="B51" s="56">
        <f>_xlfn.XLOOKUP($A51,Inputs!$A:$A,Inputs!B:B,,0)</f>
        <v>4594.51</v>
      </c>
      <c r="C51" s="56">
        <f>_xlfn.XLOOKUP($A51,Inputs!$A:$A,Inputs!C:C,,0)</f>
        <v>4329.74</v>
      </c>
      <c r="D51" s="56">
        <f>_xlfn.XLOOKUP($A51,Inputs!$A:$A,Inputs!D:D,,0)</f>
        <v>5157.41</v>
      </c>
      <c r="E51" s="56">
        <f>_xlfn.XLOOKUP($A51,Inputs!$A:$A,Inputs!E:E,,0)</f>
        <v>2627.86</v>
      </c>
      <c r="F51" s="56">
        <f>_xlfn.XLOOKUP($A51,Inputs!$A:$A,Inputs!F:F,,0)</f>
        <v>2463.77</v>
      </c>
      <c r="G51" s="56">
        <f>_xlfn.XLOOKUP($A51,Inputs!$A:$A,Inputs!G:G,,0)</f>
        <v>2806.3</v>
      </c>
      <c r="H51" s="56">
        <f>_xlfn.XLOOKUP($A51,Inputs!$A:$A,Inputs!H:H,,0)</f>
        <v>2824.76</v>
      </c>
      <c r="I51" s="56">
        <f>_xlfn.XLOOKUP($A51,Inputs!$A:$A,Inputs!I:I,,0)</f>
        <v>2389.9699999999998</v>
      </c>
      <c r="J51" s="56">
        <f>_xlfn.XLOOKUP($A51,Inputs!$A:$A,Inputs!J:J,,0)</f>
        <v>1385.2</v>
      </c>
      <c r="K51" s="56">
        <f>_xlfn.XLOOKUP($A51,Inputs!$A:$A,Inputs!K:K,,0)</f>
        <v>2097.8000000000002</v>
      </c>
      <c r="L51" s="56">
        <f>_xlfn.XLOOKUP($A51,Inputs!$A:$A,Inputs!L:L,,0)</f>
        <v>1960.2</v>
      </c>
      <c r="M51" s="56">
        <f>_xlfn.XLOOKUP($A51,Inputs!$A:$A,Inputs!M:M,,0)</f>
        <v>2029.6</v>
      </c>
    </row>
    <row r="52" spans="1:13">
      <c r="A52" s="116" t="s">
        <v>689</v>
      </c>
      <c r="B52" s="50">
        <f>_xlfn.XLOOKUP($A52,Inputs!$A:$A,Inputs!B:B,,0)</f>
        <v>119.21</v>
      </c>
      <c r="C52" s="50">
        <f>_xlfn.XLOOKUP($A52,Inputs!$A:$A,Inputs!C:C,,0)</f>
        <v>49.08</v>
      </c>
      <c r="D52" s="50">
        <f>_xlfn.XLOOKUP($A52,Inputs!$A:$A,Inputs!D:D,,0)</f>
        <v>107.72</v>
      </c>
      <c r="E52" s="50">
        <f>_xlfn.XLOOKUP($A52,Inputs!$A:$A,Inputs!E:E,,0)</f>
        <v>57.91</v>
      </c>
      <c r="F52" s="50">
        <f>_xlfn.XLOOKUP($A52,Inputs!$A:$A,Inputs!F:F,,0)</f>
        <v>62.44</v>
      </c>
      <c r="G52" s="50">
        <f>_xlfn.XLOOKUP($A52,Inputs!$A:$A,Inputs!G:G,,0)</f>
        <v>57.87</v>
      </c>
      <c r="H52" s="50">
        <f>_xlfn.XLOOKUP($A52,Inputs!$A:$A,Inputs!H:H,,0)</f>
        <v>52.83</v>
      </c>
      <c r="I52" s="50">
        <f>_xlfn.XLOOKUP($A52,Inputs!$A:$A,Inputs!I:I,,0)</f>
        <v>17.96</v>
      </c>
      <c r="J52" s="50">
        <f>_xlfn.XLOOKUP($A52,Inputs!$A:$A,Inputs!J:J,,0)</f>
        <v>51.3</v>
      </c>
      <c r="K52" s="50">
        <f>_xlfn.XLOOKUP($A52,Inputs!$A:$A,Inputs!K:K,,0)</f>
        <v>207.5</v>
      </c>
      <c r="L52" s="50">
        <f>_xlfn.XLOOKUP($A52,Inputs!$A:$A,Inputs!L:L,,0)</f>
        <v>29.2</v>
      </c>
      <c r="M52" s="50">
        <f>_xlfn.XLOOKUP($A52,Inputs!$A:$A,Inputs!M:M,,0)</f>
        <v>29.9</v>
      </c>
    </row>
    <row r="53" spans="1:13">
      <c r="A53" s="110" t="s">
        <v>690</v>
      </c>
      <c r="B53" s="50">
        <f>_xlfn.XLOOKUP($A53,Inputs!$A:$A,Inputs!B:B,,0)</f>
        <v>74.099999999999994</v>
      </c>
      <c r="C53" s="50">
        <f>_xlfn.XLOOKUP($A53,Inputs!$A:$A,Inputs!C:C,,0)</f>
        <v>28.6</v>
      </c>
      <c r="D53" s="50">
        <f>_xlfn.XLOOKUP($A53,Inputs!$A:$A,Inputs!D:D,,0)</f>
        <v>651.70000000000005</v>
      </c>
      <c r="E53" s="50">
        <f>_xlfn.XLOOKUP($A53,Inputs!$A:$A,Inputs!E:E,,0)</f>
        <v>10.9</v>
      </c>
      <c r="F53" s="50">
        <f>_xlfn.XLOOKUP($A53,Inputs!$A:$A,Inputs!F:F,,0)</f>
        <v>29.3</v>
      </c>
      <c r="G53" s="50">
        <f>_xlfn.XLOOKUP($A53,Inputs!$A:$A,Inputs!G:G,,0)</f>
        <v>0</v>
      </c>
      <c r="H53" s="50">
        <f>_xlfn.XLOOKUP($A53,Inputs!$A:$A,Inputs!H:H,,0)</f>
        <v>500</v>
      </c>
      <c r="I53" s="50">
        <f>_xlfn.XLOOKUP($A53,Inputs!$A:$A,Inputs!I:I,,0)</f>
        <v>600</v>
      </c>
      <c r="J53" s="50">
        <f>_xlfn.XLOOKUP($A53,Inputs!$A:$A,Inputs!J:J,,0)</f>
        <v>0</v>
      </c>
      <c r="K53" s="50">
        <f>_xlfn.XLOOKUP($A53,Inputs!$A:$A,Inputs!K:K,,0)</f>
        <v>16.3</v>
      </c>
      <c r="L53" s="50">
        <f>_xlfn.XLOOKUP($A53,Inputs!$A:$A,Inputs!L:L,,0)</f>
        <v>3.3</v>
      </c>
      <c r="M53" s="50">
        <f>_xlfn.XLOOKUP($A53,Inputs!$A:$A,Inputs!M:M,,0)</f>
        <v>250</v>
      </c>
    </row>
    <row r="54" spans="1:13">
      <c r="A54" s="111" t="s">
        <v>691</v>
      </c>
      <c r="B54" s="50">
        <f>_xlfn.XLOOKUP($A54,Inputs!$A:$A,Inputs!B:B,,0)</f>
        <v>2380.9100000000003</v>
      </c>
      <c r="C54" s="50">
        <f>_xlfn.XLOOKUP($A54,Inputs!$A:$A,Inputs!C:C,,0)</f>
        <v>2602.54</v>
      </c>
      <c r="D54" s="50">
        <f>_xlfn.XLOOKUP($A54,Inputs!$A:$A,Inputs!D:D,,0)</f>
        <v>2423.9499999999998</v>
      </c>
      <c r="E54" s="50">
        <f>_xlfn.XLOOKUP($A54,Inputs!$A:$A,Inputs!E:E,,0)</f>
        <v>1126.8899999999999</v>
      </c>
      <c r="F54" s="50">
        <f>_xlfn.XLOOKUP($A54,Inputs!$A:$A,Inputs!F:F,,0)</f>
        <v>1170.33</v>
      </c>
      <c r="G54" s="50">
        <f>_xlfn.XLOOKUP($A54,Inputs!$A:$A,Inputs!G:G,,0)</f>
        <v>1320.2400000000002</v>
      </c>
      <c r="H54" s="50">
        <f>_xlfn.XLOOKUP($A54,Inputs!$A:$A,Inputs!H:H,,0)</f>
        <v>1090.5800000000004</v>
      </c>
      <c r="I54" s="50">
        <f>_xlfn.XLOOKUP($A54,Inputs!$A:$A,Inputs!I:I,,0)</f>
        <v>933.89999999999964</v>
      </c>
      <c r="J54" s="50">
        <f>_xlfn.XLOOKUP($A54,Inputs!$A:$A,Inputs!J:J,,0)</f>
        <v>767.40000000000009</v>
      </c>
      <c r="K54" s="50">
        <f>_xlfn.XLOOKUP($A54,Inputs!$A:$A,Inputs!K:K,,0)</f>
        <v>880.10000000000014</v>
      </c>
      <c r="L54" s="50">
        <f>_xlfn.XLOOKUP($A54,Inputs!$A:$A,Inputs!L:L,,0)</f>
        <v>810.60000000000014</v>
      </c>
      <c r="M54" s="50">
        <f>_xlfn.XLOOKUP($A54,Inputs!$A:$A,Inputs!M:M,,0)</f>
        <v>702.99999999999977</v>
      </c>
    </row>
    <row r="55" spans="1:13">
      <c r="A55" s="111" t="s">
        <v>692</v>
      </c>
      <c r="B55" s="50">
        <f>Inputs!B43</f>
        <v>2020.29</v>
      </c>
      <c r="C55" s="50">
        <f>Inputs!C43</f>
        <v>1649.52</v>
      </c>
      <c r="D55" s="50">
        <f>Inputs!D43</f>
        <v>1974.04</v>
      </c>
      <c r="E55" s="50">
        <f>Inputs!E43</f>
        <v>1432.16</v>
      </c>
      <c r="F55" s="50">
        <f>Inputs!F43</f>
        <v>1201.7</v>
      </c>
      <c r="G55" s="50">
        <f>Inputs!G43</f>
        <v>1428.19</v>
      </c>
      <c r="H55" s="50">
        <f>Inputs!H43</f>
        <v>1181.3499999999999</v>
      </c>
      <c r="I55" s="50">
        <f>Inputs!I43</f>
        <v>838.11</v>
      </c>
      <c r="J55" s="50">
        <f>Inputs!J43</f>
        <v>566.5</v>
      </c>
      <c r="K55" s="50"/>
      <c r="L55" s="50"/>
      <c r="M55" s="50"/>
    </row>
    <row r="56" spans="1:13">
      <c r="A56" s="111" t="s">
        <v>693</v>
      </c>
      <c r="B56" s="50">
        <v>1054.5170000000001</v>
      </c>
      <c r="C56" s="50">
        <v>948.34799999999996</v>
      </c>
      <c r="D56" s="50">
        <v>964.80499999999995</v>
      </c>
      <c r="E56" s="50">
        <v>664.18299999999999</v>
      </c>
      <c r="F56" s="50">
        <v>659.524</v>
      </c>
      <c r="G56" s="50">
        <v>709.39700000000005</v>
      </c>
      <c r="H56" s="50"/>
      <c r="I56" s="50"/>
      <c r="J56" s="50"/>
      <c r="K56" s="50"/>
      <c r="L56" s="50"/>
      <c r="M56" s="50"/>
    </row>
    <row r="57" spans="1:13" ht="13.15">
      <c r="A57" s="115" t="s">
        <v>694</v>
      </c>
      <c r="B57" s="56">
        <f>_xlfn.XLOOKUP($A57,Inputs!$A:$A,Inputs!B:B,,0)</f>
        <v>8622.24</v>
      </c>
      <c r="C57" s="56">
        <f>_xlfn.XLOOKUP($A57,Inputs!$A:$A,Inputs!C:C,,0)</f>
        <v>8579.56</v>
      </c>
      <c r="D57" s="56">
        <f>_xlfn.XLOOKUP($A57,Inputs!$A:$A,Inputs!D:D,,0)</f>
        <v>6061.8700000000008</v>
      </c>
      <c r="E57" s="56">
        <f>_xlfn.XLOOKUP($A57,Inputs!$A:$A,Inputs!E:E,,0)</f>
        <v>6265.67</v>
      </c>
      <c r="F57" s="56">
        <f>_xlfn.XLOOKUP($A57,Inputs!$A:$A,Inputs!F:F,,0)</f>
        <v>5089.7199999999993</v>
      </c>
      <c r="G57" s="56">
        <f>_xlfn.XLOOKUP($A57,Inputs!$A:$A,Inputs!G:G,,0)</f>
        <v>4912.32</v>
      </c>
      <c r="H57" s="56">
        <f>_xlfn.XLOOKUP($A57,Inputs!$A:$A,Inputs!H:H,,0)</f>
        <v>3931.71</v>
      </c>
      <c r="I57" s="56">
        <f>_xlfn.XLOOKUP($A57,Inputs!$A:$A,Inputs!I:I,,0)</f>
        <v>4578.84</v>
      </c>
      <c r="J57" s="56">
        <f>_xlfn.XLOOKUP($A57,Inputs!$A:$A,Inputs!J:J,,0)</f>
        <v>5091.9000000000005</v>
      </c>
      <c r="K57" s="56">
        <f>_xlfn.XLOOKUP($A57,Inputs!$A:$A,Inputs!K:K,,0)</f>
        <v>5443</v>
      </c>
      <c r="L57" s="56">
        <f>_xlfn.XLOOKUP($A57,Inputs!$A:$A,Inputs!L:L,,0)</f>
        <v>5332.8</v>
      </c>
      <c r="M57" s="56">
        <f>_xlfn.XLOOKUP($A57,Inputs!$A:$A,Inputs!M:M,,0)</f>
        <v>4237.1000000000004</v>
      </c>
    </row>
    <row r="58" spans="1:13">
      <c r="A58" s="116" t="s">
        <v>695</v>
      </c>
      <c r="B58" s="50">
        <v>6648.8729999999996</v>
      </c>
      <c r="C58" s="50">
        <v>6613.6869999999999</v>
      </c>
      <c r="D58" s="50">
        <v>4961.42</v>
      </c>
      <c r="E58" s="50">
        <v>5271.7889999999998</v>
      </c>
      <c r="F58" s="50">
        <v>4291.3010000000004</v>
      </c>
      <c r="G58" s="50">
        <v>4233.2759999999998</v>
      </c>
      <c r="H58" s="50" t="e">
        <f>_xlfn.XLOOKUP($A58,Inputs!$A:$A,Inputs!H:H,,0)</f>
        <v>#N/A</v>
      </c>
      <c r="I58" s="50" t="e">
        <f>_xlfn.XLOOKUP($A58,Inputs!$A:$A,Inputs!I:I,,0)</f>
        <v>#N/A</v>
      </c>
      <c r="J58" s="50" t="e">
        <f>_xlfn.XLOOKUP($A58,Inputs!$A:$A,Inputs!J:J,,0)</f>
        <v>#N/A</v>
      </c>
      <c r="K58" s="50" t="e">
        <f>_xlfn.XLOOKUP($A58,Inputs!$A:$A,Inputs!K:K,,0)</f>
        <v>#N/A</v>
      </c>
      <c r="L58" s="50" t="e">
        <f>_xlfn.XLOOKUP($A58,Inputs!$A:$A,Inputs!L:L,,0)</f>
        <v>#N/A</v>
      </c>
      <c r="M58" s="50" t="e">
        <f>_xlfn.XLOOKUP($A58,Inputs!$A:$A,Inputs!M:M,,0)</f>
        <v>#N/A</v>
      </c>
    </row>
    <row r="59" spans="1:13">
      <c r="A59" s="110" t="s">
        <v>696</v>
      </c>
      <c r="B59" s="50"/>
      <c r="C59" s="50"/>
      <c r="D59" s="50"/>
      <c r="E59" s="50"/>
      <c r="F59" s="50"/>
      <c r="G59" s="50"/>
      <c r="H59" s="50" t="e">
        <f>_xlfn.XLOOKUP($A59,Inputs!$A:$A,Inputs!H:H,,0)</f>
        <v>#N/A</v>
      </c>
      <c r="I59" s="50" t="e">
        <f>_xlfn.XLOOKUP($A59,Inputs!$A:$A,Inputs!I:I,,0)</f>
        <v>#N/A</v>
      </c>
      <c r="J59" s="50" t="e">
        <f>_xlfn.XLOOKUP($A59,Inputs!$A:$A,Inputs!J:J,,0)</f>
        <v>#N/A</v>
      </c>
      <c r="K59" s="50" t="e">
        <f>_xlfn.XLOOKUP($A59,Inputs!$A:$A,Inputs!K:K,,0)</f>
        <v>#N/A</v>
      </c>
      <c r="L59" s="50" t="e">
        <f>_xlfn.XLOOKUP($A59,Inputs!$A:$A,Inputs!L:L,,0)</f>
        <v>#N/A</v>
      </c>
      <c r="M59" s="50" t="e">
        <f>_xlfn.XLOOKUP($A59,Inputs!$A:$A,Inputs!M:M,,0)</f>
        <v>#N/A</v>
      </c>
    </row>
    <row r="60" spans="1:13">
      <c r="A60" s="111" t="s">
        <v>697</v>
      </c>
      <c r="B60" s="50">
        <f>_xlfn.XLOOKUP($A60,Inputs!$A:$A,Inputs!B:B,,0)</f>
        <v>1973.37</v>
      </c>
      <c r="C60" s="50">
        <f>_xlfn.XLOOKUP($A60,Inputs!$A:$A,Inputs!C:C,,0)</f>
        <v>1965.87</v>
      </c>
      <c r="D60" s="50">
        <f>_xlfn.XLOOKUP($A60,Inputs!$A:$A,Inputs!D:D,,0)</f>
        <v>1100.4600000000009</v>
      </c>
      <c r="E60" s="50">
        <f>_xlfn.XLOOKUP($A60,Inputs!$A:$A,Inputs!E:E,,0)</f>
        <v>993.88000000000011</v>
      </c>
      <c r="F60" s="50">
        <f>_xlfn.XLOOKUP($A60,Inputs!$A:$A,Inputs!F:F,,0)</f>
        <v>798.41999999999916</v>
      </c>
      <c r="G60" s="50">
        <f>_xlfn.XLOOKUP($A60,Inputs!$A:$A,Inputs!G:G,,0)</f>
        <v>679.04</v>
      </c>
      <c r="H60" s="50">
        <f>_xlfn.XLOOKUP($A60,Inputs!$A:$A,Inputs!H:H,,0)</f>
        <v>689.47000000000025</v>
      </c>
      <c r="I60" s="50">
        <f>_xlfn.XLOOKUP($A60,Inputs!$A:$A,Inputs!I:I,,0)</f>
        <v>839.70000000000027</v>
      </c>
      <c r="J60" s="50">
        <f>_xlfn.XLOOKUP($A60,Inputs!$A:$A,Inputs!J:J,,0)</f>
        <v>754.80000000000018</v>
      </c>
      <c r="K60" s="50">
        <f>_xlfn.XLOOKUP($A60,Inputs!$A:$A,Inputs!K:K,,0)</f>
        <v>1082.3999999999996</v>
      </c>
      <c r="L60" s="50">
        <f>_xlfn.XLOOKUP($A60,Inputs!$A:$A,Inputs!L:L,,0)</f>
        <v>955.90000000000055</v>
      </c>
      <c r="M60" s="50">
        <f>_xlfn.XLOOKUP($A60,Inputs!$A:$A,Inputs!M:M,,0)</f>
        <v>856.90000000000055</v>
      </c>
    </row>
    <row r="61" spans="1:13" ht="13.15">
      <c r="A61" s="115" t="s">
        <v>49</v>
      </c>
      <c r="B61" s="56">
        <f>_xlfn.XLOOKUP($A61,Inputs!$A:$A,Inputs!B:B,,0)</f>
        <v>13216.75</v>
      </c>
      <c r="C61" s="56">
        <f>_xlfn.XLOOKUP($A61,Inputs!$A:$A,Inputs!C:C,,0)</f>
        <v>12909.3</v>
      </c>
      <c r="D61" s="56">
        <f>_xlfn.XLOOKUP($A61,Inputs!$A:$A,Inputs!D:D,,0)</f>
        <v>11219.28</v>
      </c>
      <c r="E61" s="56">
        <f>_xlfn.XLOOKUP($A61,Inputs!$A:$A,Inputs!E:E,,0)</f>
        <v>8893.5300000000007</v>
      </c>
      <c r="F61" s="56">
        <f>_xlfn.XLOOKUP($A61,Inputs!$A:$A,Inputs!F:F,,0)</f>
        <v>7553.49</v>
      </c>
      <c r="G61" s="56">
        <f>_xlfn.XLOOKUP($A61,Inputs!$A:$A,Inputs!G:G,,0)</f>
        <v>7718.62</v>
      </c>
      <c r="H61" s="56">
        <f>_xlfn.XLOOKUP($A61,Inputs!$A:$A,Inputs!H:H,,0)</f>
        <v>6756.47</v>
      </c>
      <c r="I61" s="56">
        <f>_xlfn.XLOOKUP($A61,Inputs!$A:$A,Inputs!I:I,,0)</f>
        <v>6968.81</v>
      </c>
      <c r="J61" s="56">
        <f>_xlfn.XLOOKUP($A61,Inputs!$A:$A,Inputs!J:J,,0)</f>
        <v>6477.1</v>
      </c>
      <c r="K61" s="56">
        <f>_xlfn.XLOOKUP($A61,Inputs!$A:$A,Inputs!K:K,,0)</f>
        <v>7540.8</v>
      </c>
      <c r="L61" s="56">
        <f>_xlfn.XLOOKUP($A61,Inputs!$A:$A,Inputs!L:L,,0)</f>
        <v>7293</v>
      </c>
      <c r="M61" s="56">
        <f>_xlfn.XLOOKUP($A61,Inputs!$A:$A,Inputs!M:M,,0)</f>
        <v>6266.7</v>
      </c>
    </row>
    <row r="62" spans="1:13">
      <c r="B62"/>
      <c r="C62"/>
      <c r="D62"/>
      <c r="E62"/>
      <c r="F62"/>
      <c r="G62"/>
      <c r="H62"/>
      <c r="I62"/>
      <c r="J62"/>
      <c r="K62"/>
      <c r="L62"/>
      <c r="M62"/>
    </row>
    <row r="63" spans="1:13" ht="13.15">
      <c r="A63" s="115" t="s">
        <v>301</v>
      </c>
      <c r="B63" s="56">
        <f t="shared" ref="B63:M63" si="76">B52+B58+B53+B59</f>
        <v>6842.183</v>
      </c>
      <c r="C63" s="56">
        <f t="shared" si="76"/>
        <v>6691.3670000000002</v>
      </c>
      <c r="D63" s="56">
        <f t="shared" si="76"/>
        <v>5720.84</v>
      </c>
      <c r="E63" s="56">
        <f t="shared" si="76"/>
        <v>5340.5989999999993</v>
      </c>
      <c r="F63" s="56">
        <f t="shared" si="76"/>
        <v>4383.0410000000002</v>
      </c>
      <c r="G63" s="56">
        <f t="shared" si="76"/>
        <v>4291.1459999999997</v>
      </c>
      <c r="H63" s="56" t="e">
        <f t="shared" si="76"/>
        <v>#N/A</v>
      </c>
      <c r="I63" s="56" t="e">
        <f t="shared" si="76"/>
        <v>#N/A</v>
      </c>
      <c r="J63" s="56" t="e">
        <f t="shared" si="76"/>
        <v>#N/A</v>
      </c>
      <c r="K63" s="56" t="e">
        <f t="shared" si="76"/>
        <v>#N/A</v>
      </c>
      <c r="L63" s="56" t="e">
        <f t="shared" si="76"/>
        <v>#N/A</v>
      </c>
      <c r="M63" s="56" t="e">
        <f t="shared" si="76"/>
        <v>#N/A</v>
      </c>
    </row>
    <row r="64" spans="1:13" ht="13.15">
      <c r="A64" s="116" t="s">
        <v>71</v>
      </c>
      <c r="B64" s="52">
        <f t="shared" ref="B64:M64" si="77">IFERROR(B63/B46,"-")</f>
        <v>0.19360741924986913</v>
      </c>
      <c r="C64" s="52">
        <f t="shared" si="77"/>
        <v>0.20602006822828148</v>
      </c>
      <c r="D64" s="52">
        <f t="shared" si="77"/>
        <v>0.22153962924668225</v>
      </c>
      <c r="E64" s="52">
        <f t="shared" si="77"/>
        <v>0.2653661045246305</v>
      </c>
      <c r="F64" s="52">
        <f t="shared" si="77"/>
        <v>0.23892682900238216</v>
      </c>
      <c r="G64" s="52">
        <f t="shared" si="77"/>
        <v>0.23945325491333996</v>
      </c>
      <c r="H64" s="52" t="str">
        <f t="shared" si="77"/>
        <v>-</v>
      </c>
      <c r="I64" s="52" t="str">
        <f t="shared" si="77"/>
        <v>-</v>
      </c>
      <c r="J64" s="52" t="str">
        <f t="shared" si="77"/>
        <v>-</v>
      </c>
      <c r="K64" s="52" t="str">
        <f t="shared" si="77"/>
        <v>-</v>
      </c>
      <c r="L64" s="52" t="str">
        <f t="shared" si="77"/>
        <v>-</v>
      </c>
      <c r="M64" s="52" t="str">
        <f t="shared" si="77"/>
        <v>-</v>
      </c>
    </row>
    <row r="65" spans="1:235" ht="13.15">
      <c r="A65" s="115" t="s">
        <v>698</v>
      </c>
      <c r="B65" s="56">
        <f t="shared" ref="B65:M65" si="78">B63-B41</f>
        <v>458.88299999999981</v>
      </c>
      <c r="C65" s="56">
        <f t="shared" si="78"/>
        <v>2410.4670000000006</v>
      </c>
      <c r="D65" s="56">
        <f t="shared" si="78"/>
        <v>3355.94</v>
      </c>
      <c r="E65" s="56">
        <f t="shared" si="78"/>
        <v>2700.8989999999994</v>
      </c>
      <c r="F65" s="56">
        <f t="shared" si="78"/>
        <v>2848.4410000000003</v>
      </c>
      <c r="G65" s="56">
        <f t="shared" si="78"/>
        <v>2892.2459999999996</v>
      </c>
      <c r="H65" s="56" t="e">
        <f t="shared" si="78"/>
        <v>#N/A</v>
      </c>
      <c r="I65" s="56" t="e">
        <f t="shared" si="78"/>
        <v>#N/A</v>
      </c>
      <c r="J65" s="56" t="e">
        <f t="shared" si="78"/>
        <v>#N/A</v>
      </c>
      <c r="K65" s="56" t="e">
        <f t="shared" si="78"/>
        <v>#N/A</v>
      </c>
      <c r="L65" s="56" t="e">
        <f t="shared" si="78"/>
        <v>#N/A</v>
      </c>
      <c r="M65" s="56" t="e">
        <f t="shared" si="78"/>
        <v>#N/A</v>
      </c>
    </row>
    <row r="66" spans="1:235">
      <c r="B66"/>
      <c r="C66"/>
      <c r="D66"/>
      <c r="E66"/>
      <c r="F66"/>
      <c r="G66"/>
      <c r="H66"/>
      <c r="I66"/>
      <c r="J66"/>
      <c r="K66"/>
      <c r="L66"/>
      <c r="M66"/>
    </row>
    <row r="67" spans="1:235" s="43" customFormat="1" ht="13.15">
      <c r="A67" s="115" t="s">
        <v>699</v>
      </c>
      <c r="B67" s="56">
        <f>_xlfn.XLOOKUP($A67,Inputs!$A:$A,Inputs!B:B,,0)</f>
        <v>1183.0999999999999</v>
      </c>
      <c r="C67" s="56">
        <f>_xlfn.XLOOKUP($A67,Inputs!$A:$A,Inputs!C:C,,0)</f>
        <v>1155.2</v>
      </c>
      <c r="D67" s="56">
        <f>_xlfn.XLOOKUP($A67,Inputs!$A:$A,Inputs!D:D,,0)</f>
        <v>587.4</v>
      </c>
      <c r="E67" s="56">
        <f>_xlfn.XLOOKUP($A67,Inputs!$A:$A,Inputs!E:E,,0)</f>
        <v>443.2</v>
      </c>
      <c r="F67" s="56">
        <f>_xlfn.XLOOKUP($A67,Inputs!$A:$A,Inputs!F:F,,0)</f>
        <v>433.3</v>
      </c>
      <c r="G67" s="56">
        <f>_xlfn.XLOOKUP($A67,Inputs!$A:$A,Inputs!G:G,,0)</f>
        <v>409.9</v>
      </c>
      <c r="H67" s="56">
        <f>_xlfn.XLOOKUP($A67,Inputs!$A:$A,Inputs!H:H,,0)</f>
        <v>345.8</v>
      </c>
      <c r="I67" s="56">
        <f>_xlfn.XLOOKUP($A67,Inputs!$A:$A,Inputs!I:I,,0)</f>
        <v>374.8</v>
      </c>
      <c r="J67" s="56">
        <f>_xlfn.XLOOKUP($A67,Inputs!$A:$A,Inputs!J:J,,0)</f>
        <v>372.1</v>
      </c>
      <c r="K67" s="56">
        <f>_xlfn.XLOOKUP($A67,Inputs!$A:$A,Inputs!K:K,,0)</f>
        <v>302.7</v>
      </c>
      <c r="L67" s="56">
        <f>_xlfn.XLOOKUP($A67,Inputs!$A:$A,Inputs!L:L,,0)</f>
        <v>264.5</v>
      </c>
      <c r="M67" s="56">
        <f>_xlfn.XLOOKUP($A67,Inputs!$A:$A,Inputs!M:M,,0)</f>
        <v>243.8</v>
      </c>
    </row>
    <row r="68" spans="1:235">
      <c r="B68"/>
      <c r="C68"/>
      <c r="D68"/>
      <c r="E68"/>
      <c r="F68"/>
      <c r="G68"/>
      <c r="H68"/>
      <c r="I68"/>
      <c r="J68"/>
      <c r="K68"/>
      <c r="L68"/>
      <c r="M68"/>
    </row>
    <row r="69" spans="1:235" ht="13.15">
      <c r="A69" s="115" t="s">
        <v>700</v>
      </c>
      <c r="B69" s="56">
        <f>_xlfn.XLOOKUP($A69,Inputs!$A:$A,Inputs!B:B,,0)</f>
        <v>20940.650000000001</v>
      </c>
      <c r="C69" s="56">
        <f>_xlfn.XLOOKUP($A69,Inputs!$A:$A,Inputs!C:C,,0)</f>
        <v>18414.7</v>
      </c>
      <c r="D69" s="56">
        <f>_xlfn.XLOOKUP($A69,Inputs!$A:$A,Inputs!D:D,,0)</f>
        <v>14016.419999999998</v>
      </c>
      <c r="E69" s="56">
        <f>_xlfn.XLOOKUP($A69,Inputs!$A:$A,Inputs!E:E,,0)</f>
        <v>10788.67</v>
      </c>
      <c r="F69" s="56">
        <f>_xlfn.XLOOKUP($A69,Inputs!$A:$A,Inputs!F:F,,0)</f>
        <v>10357.910000000002</v>
      </c>
      <c r="G69" s="56">
        <f>_xlfn.XLOOKUP($A69,Inputs!$A:$A,Inputs!G:G,,0)</f>
        <v>9792.08</v>
      </c>
      <c r="H69" s="56">
        <f>_xlfn.XLOOKUP($A69,Inputs!$A:$A,Inputs!H:H,,0)</f>
        <v>8739.0299999999988</v>
      </c>
      <c r="I69" s="56">
        <f>_xlfn.XLOOKUP($A69,Inputs!$A:$A,Inputs!I:I,,0)</f>
        <v>7879.8899999999985</v>
      </c>
      <c r="J69" s="56">
        <f>_xlfn.XLOOKUP($A69,Inputs!$A:$A,Inputs!J:J,,0)</f>
        <v>7477.7999999999993</v>
      </c>
      <c r="K69" s="56">
        <f>_xlfn.XLOOKUP($A69,Inputs!$A:$A,Inputs!K:K,,0)</f>
        <v>7772.4</v>
      </c>
      <c r="L69" s="56">
        <f>_xlfn.XLOOKUP($A69,Inputs!$A:$A,Inputs!L:L,,0)</f>
        <v>7645.7999999999993</v>
      </c>
      <c r="M69" s="56">
        <f>_xlfn.XLOOKUP($A69,Inputs!$A:$A,Inputs!M:M,,0)</f>
        <v>7641.6</v>
      </c>
    </row>
    <row r="70" spans="1:235">
      <c r="K70" s="40"/>
      <c r="L70" s="40"/>
      <c r="M70" s="40"/>
    </row>
    <row r="71" spans="1:235" ht="20.65">
      <c r="A71" s="1655" t="s">
        <v>128</v>
      </c>
      <c r="B71" s="1655"/>
      <c r="C71" s="1655"/>
      <c r="D71" s="1655"/>
      <c r="E71" s="1655"/>
      <c r="F71" s="1655"/>
      <c r="G71" s="1655"/>
      <c r="H71" s="1655"/>
      <c r="I71" s="1655"/>
      <c r="J71" s="1655"/>
      <c r="K71" s="1655"/>
      <c r="L71" s="1655"/>
      <c r="M71" s="1655"/>
    </row>
    <row r="72" spans="1:235" ht="13.15">
      <c r="A72" s="115" t="s">
        <v>129</v>
      </c>
      <c r="B72" s="56">
        <f>_xlfn.XLOOKUP($A72,Inputs!$A:$A,Inputs!B:B,,0)</f>
        <v>7111.9</v>
      </c>
      <c r="C72" s="56">
        <f>_xlfn.XLOOKUP($A72,Inputs!$A:$A,Inputs!C:C,,0)</f>
        <v>10072</v>
      </c>
      <c r="D72" s="56">
        <f>_xlfn.XLOOKUP($A72,Inputs!$A:$A,Inputs!D:D,,0)</f>
        <v>6230.8</v>
      </c>
      <c r="E72" s="56">
        <f>_xlfn.XLOOKUP($A72,Inputs!$A:$A,Inputs!E:E,,0)</f>
        <v>2696.9</v>
      </c>
      <c r="F72" s="56">
        <f>_xlfn.XLOOKUP($A72,Inputs!$A:$A,Inputs!F:F,,0)</f>
        <v>2809.4</v>
      </c>
      <c r="G72" s="56">
        <f>_xlfn.XLOOKUP($A72,Inputs!$A:$A,Inputs!G:G,,0)</f>
        <v>2394</v>
      </c>
      <c r="H72" s="56">
        <f>_xlfn.XLOOKUP($A72,Inputs!$A:$A,Inputs!H:H,,0)</f>
        <v>1055.3</v>
      </c>
      <c r="I72" s="56">
        <f>_xlfn.XLOOKUP($A72,Inputs!$A:$A,Inputs!I:I,,0)</f>
        <v>1750</v>
      </c>
      <c r="J72" s="56">
        <f>_xlfn.XLOOKUP($A72,Inputs!$A:$A,Inputs!J:J,,0)</f>
        <v>2168.8000000000002</v>
      </c>
      <c r="K72" s="56">
        <f>_xlfn.XLOOKUP($A72,Inputs!$A:$A,Inputs!K:K,,0)</f>
        <v>1342.9</v>
      </c>
      <c r="L72" s="56">
        <f>_xlfn.XLOOKUP($A72,Inputs!$A:$A,Inputs!L:L,,0)</f>
        <v>1078</v>
      </c>
      <c r="M72" s="56">
        <f>_xlfn.XLOOKUP($A72,Inputs!$A:$A,Inputs!M:M,,0)</f>
        <v>1200.4000000000001</v>
      </c>
    </row>
    <row r="73" spans="1:235" ht="13.15">
      <c r="A73" s="115" t="s">
        <v>130</v>
      </c>
      <c r="B73" s="56">
        <f>_xlfn.XLOOKUP($A73,Inputs!$A:$A,Inputs!B:B,,0)</f>
        <v>-2496.4299999999998</v>
      </c>
      <c r="C73" s="56">
        <f>_xlfn.XLOOKUP($A73,Inputs!$A:$A,Inputs!C:C,,0)</f>
        <v>-5702.71</v>
      </c>
      <c r="D73" s="56">
        <f>_xlfn.XLOOKUP($A73,Inputs!$A:$A,Inputs!D:D,,0)</f>
        <v>-2873.85</v>
      </c>
      <c r="E73" s="56">
        <f>_xlfn.XLOOKUP($A73,Inputs!$A:$A,Inputs!E:E,,0)</f>
        <v>-1764.29</v>
      </c>
      <c r="F73" s="56">
        <f>_xlfn.XLOOKUP($A73,Inputs!$A:$A,Inputs!F:F,,0)</f>
        <v>-1794.19</v>
      </c>
      <c r="G73" s="56">
        <f>_xlfn.XLOOKUP($A73,Inputs!$A:$A,Inputs!G:G,,0)</f>
        <v>-1030.07</v>
      </c>
      <c r="H73" s="56">
        <f>_xlfn.XLOOKUP($A73,Inputs!$A:$A,Inputs!H:H,,0)</f>
        <v>-918.89</v>
      </c>
      <c r="I73" s="56">
        <f>_xlfn.XLOOKUP($A73,Inputs!$A:$A,Inputs!I:I,,0)</f>
        <v>-1025.1199999999999</v>
      </c>
      <c r="J73" s="56">
        <f>_xlfn.XLOOKUP($A73,Inputs!$A:$A,Inputs!J:J,,0)</f>
        <v>-441.7</v>
      </c>
      <c r="K73" s="56">
        <f>_xlfn.XLOOKUP($A73,Inputs!$A:$A,Inputs!K:K,,0)</f>
        <v>-1438.1</v>
      </c>
      <c r="L73" s="56">
        <f>_xlfn.XLOOKUP($A73,Inputs!$A:$A,Inputs!L:L,,0)</f>
        <v>-840</v>
      </c>
      <c r="M73" s="56">
        <f>_xlfn.XLOOKUP($A73,Inputs!$A:$A,Inputs!M:M,,0)</f>
        <v>-204</v>
      </c>
    </row>
    <row r="74" spans="1:235">
      <c r="A74" s="111" t="s">
        <v>131</v>
      </c>
      <c r="B74" s="50">
        <f>_xlfn.XLOOKUP($A74,Inputs!$A:$A,Inputs!B:B,,0)</f>
        <v>-2199.3000000000002</v>
      </c>
      <c r="C74" s="50">
        <f>_xlfn.XLOOKUP($A74,Inputs!$A:$A,Inputs!C:C,,0)</f>
        <v>-1915.6</v>
      </c>
      <c r="D74" s="50">
        <f>_xlfn.XLOOKUP($A74,Inputs!$A:$A,Inputs!D:D,,0)</f>
        <v>-1602.6</v>
      </c>
      <c r="E74" s="50">
        <f>_xlfn.XLOOKUP($A74,Inputs!$A:$A,Inputs!E:E,,0)</f>
        <v>-1502.3</v>
      </c>
      <c r="F74" s="50">
        <f>_xlfn.XLOOKUP($A74,Inputs!$A:$A,Inputs!F:F,,0)</f>
        <v>-1435.7</v>
      </c>
      <c r="G74" s="50">
        <f>_xlfn.XLOOKUP($A74,Inputs!$A:$A,Inputs!G:G,,0)</f>
        <v>-950.9</v>
      </c>
      <c r="H74" s="50">
        <f>_xlfn.XLOOKUP($A74,Inputs!$A:$A,Inputs!H:H,,0)</f>
        <v>-423.2</v>
      </c>
      <c r="I74" s="50">
        <f>_xlfn.XLOOKUP($A74,Inputs!$A:$A,Inputs!I:I,,0)</f>
        <v>-586.29999999999995</v>
      </c>
      <c r="J74" s="50">
        <f>_xlfn.XLOOKUP($A74,Inputs!$A:$A,Inputs!J:J,,0)</f>
        <v>-344.7</v>
      </c>
      <c r="K74" s="50">
        <f>_xlfn.XLOOKUP($A74,Inputs!$A:$A,Inputs!K:K,,0)</f>
        <v>-631.4</v>
      </c>
      <c r="L74" s="50">
        <f>_xlfn.XLOOKUP($A74,Inputs!$A:$A,Inputs!L:L,,0)</f>
        <v>-1162.9000000000001</v>
      </c>
      <c r="M74" s="50">
        <f>_xlfn.XLOOKUP($A74,Inputs!$A:$A,Inputs!M:M,,0)</f>
        <v>-896.6</v>
      </c>
    </row>
    <row r="75" spans="1:235">
      <c r="A75" s="111" t="s">
        <v>132</v>
      </c>
      <c r="B75" s="50">
        <f>_xlfn.XLOOKUP($A75,Inputs!$A:$A,Inputs!B:B,,0)</f>
        <v>-225.0440000000001</v>
      </c>
      <c r="C75" s="50">
        <f>_xlfn.XLOOKUP($A75,Inputs!$A:$A,Inputs!C:C,,0)</f>
        <v>-3876.9160000000002</v>
      </c>
      <c r="D75" s="50">
        <f>_xlfn.XLOOKUP($A75,Inputs!$A:$A,Inputs!D:D,,0)</f>
        <v>-1271.4260000000002</v>
      </c>
      <c r="E75" s="50">
        <f>_xlfn.XLOOKUP($A75,Inputs!$A:$A,Inputs!E:E,,0)</f>
        <v>-184.40999999999997</v>
      </c>
      <c r="F75" s="50">
        <f>_xlfn.XLOOKUP($A75,Inputs!$A:$A,Inputs!F:F,,0)</f>
        <v>-383.14599999999996</v>
      </c>
      <c r="G75" s="50">
        <f>_xlfn.XLOOKUP($A75,Inputs!$A:$A,Inputs!G:G,,0)</f>
        <v>16.936999999999998</v>
      </c>
      <c r="H75" s="50">
        <f>_xlfn.XLOOKUP($A75,Inputs!$A:$A,Inputs!H:H,,0)</f>
        <v>-503.04</v>
      </c>
      <c r="I75" s="50">
        <f>_xlfn.XLOOKUP($A75,Inputs!$A:$A,Inputs!I:I,,0)</f>
        <v>-587.97</v>
      </c>
      <c r="J75" s="50">
        <f>_xlfn.XLOOKUP($A75,Inputs!$A:$A,Inputs!J:J,,0)</f>
        <v>-99.9</v>
      </c>
      <c r="K75" s="50">
        <f>_xlfn.XLOOKUP($A75,Inputs!$A:$A,Inputs!K:K,,0)</f>
        <v>-938.9</v>
      </c>
      <c r="L75" s="50">
        <f>_xlfn.XLOOKUP($A75,Inputs!$A:$A,Inputs!L:L,,0)</f>
        <v>137.1</v>
      </c>
      <c r="M75" s="50">
        <f>_xlfn.XLOOKUP($A75,Inputs!$A:$A,Inputs!M:M,,0)</f>
        <v>675.7</v>
      </c>
      <c r="IA75" s="40"/>
    </row>
    <row r="76" spans="1:235" ht="13.15">
      <c r="A76" s="115" t="s">
        <v>133</v>
      </c>
      <c r="B76" s="56">
        <f>_xlfn.XLOOKUP($A76,Inputs!$A:$A,Inputs!B:B,,0)</f>
        <v>-2592.81</v>
      </c>
      <c r="C76" s="56">
        <f>_xlfn.XLOOKUP($A76,Inputs!$A:$A,Inputs!C:C,,0)</f>
        <v>-2510.86</v>
      </c>
      <c r="D76" s="56">
        <f>_xlfn.XLOOKUP($A76,Inputs!$A:$A,Inputs!D:D,,0)</f>
        <v>-3602.88</v>
      </c>
      <c r="E76" s="56">
        <f>_xlfn.XLOOKUP($A76,Inputs!$A:$A,Inputs!E:E,,0)</f>
        <v>285.85000000000002</v>
      </c>
      <c r="F76" s="56">
        <f>_xlfn.XLOOKUP($A76,Inputs!$A:$A,Inputs!F:F,,0)</f>
        <v>-880.41</v>
      </c>
      <c r="G76" s="56">
        <f>_xlfn.XLOOKUP($A76,Inputs!$A:$A,Inputs!G:G,,0)</f>
        <v>-908.18</v>
      </c>
      <c r="H76" s="56">
        <f>_xlfn.XLOOKUP($A76,Inputs!$A:$A,Inputs!H:H,,0)</f>
        <v>-1242.31</v>
      </c>
      <c r="I76" s="56">
        <f>_xlfn.XLOOKUP($A76,Inputs!$A:$A,Inputs!I:I,,0)</f>
        <v>-626.42999999999995</v>
      </c>
      <c r="J76" s="56">
        <f>_xlfn.XLOOKUP($A76,Inputs!$A:$A,Inputs!J:J,,0)</f>
        <v>-801.5</v>
      </c>
      <c r="K76" s="56">
        <f>_xlfn.XLOOKUP($A76,Inputs!$A:$A,Inputs!K:K,,0)</f>
        <v>-359</v>
      </c>
      <c r="L76" s="56">
        <f>_xlfn.XLOOKUP($A76,Inputs!$A:$A,Inputs!L:L,,0)</f>
        <v>196</v>
      </c>
      <c r="M76" s="56">
        <f>_xlfn.XLOOKUP($A76,Inputs!$A:$A,Inputs!M:M,,0)</f>
        <v>-1146.9000000000001</v>
      </c>
      <c r="IA76" s="40"/>
    </row>
    <row r="77" spans="1:235">
      <c r="A77" s="111" t="s">
        <v>134</v>
      </c>
      <c r="B77" s="50">
        <f>_xlfn.XLOOKUP($A77,Inputs!$A:$A,Inputs!B:B,,0)</f>
        <v>-514.53</v>
      </c>
      <c r="C77" s="50">
        <f>_xlfn.XLOOKUP($A77,Inputs!$A:$A,Inputs!C:C,,0)</f>
        <v>-533.59</v>
      </c>
      <c r="D77" s="50">
        <f>_xlfn.XLOOKUP($A77,Inputs!$A:$A,Inputs!D:D,,0)</f>
        <v>-483.47</v>
      </c>
      <c r="E77" s="50">
        <f>_xlfn.XLOOKUP($A77,Inputs!$A:$A,Inputs!E:E,,0)</f>
        <v>-491.66</v>
      </c>
      <c r="F77" s="50">
        <f>_xlfn.XLOOKUP($A77,Inputs!$A:$A,Inputs!F:F,,0)</f>
        <v>-492.06</v>
      </c>
      <c r="G77" s="50">
        <f>_xlfn.XLOOKUP($A77,Inputs!$A:$A,Inputs!G:G,,0)</f>
        <v>-485.38</v>
      </c>
      <c r="H77" s="50">
        <f>_xlfn.XLOOKUP($A77,Inputs!$A:$A,Inputs!H:H,,0)</f>
        <v>-485.32</v>
      </c>
      <c r="I77" s="50">
        <f>_xlfn.XLOOKUP($A77,Inputs!$A:$A,Inputs!I:I,,0)</f>
        <v>-481.08</v>
      </c>
      <c r="J77" s="50">
        <f>_xlfn.XLOOKUP($A77,Inputs!$A:$A,Inputs!J:J,,0)</f>
        <v>-479.4</v>
      </c>
      <c r="K77" s="50">
        <f>_xlfn.XLOOKUP($A77,Inputs!$A:$A,Inputs!K:K,,0)</f>
        <v>-475.1</v>
      </c>
      <c r="L77" s="50">
        <f>_xlfn.XLOOKUP($A77,Inputs!$A:$A,Inputs!L:L,,0)</f>
        <v>-471</v>
      </c>
      <c r="M77" s="50">
        <f>_xlfn.XLOOKUP($A77,Inputs!$A:$A,Inputs!M:M,,0)</f>
        <v>-466.4</v>
      </c>
      <c r="IA77" s="40"/>
    </row>
    <row r="78" spans="1:235">
      <c r="A78" s="111" t="s">
        <v>675</v>
      </c>
      <c r="B78" s="50">
        <f>_xlfn.XLOOKUP($A78,Inputs!$A:$A,Inputs!B:B,,0)</f>
        <v>-1591.52</v>
      </c>
      <c r="C78" s="50">
        <f>_xlfn.XLOOKUP($A78,Inputs!$A:$A,Inputs!C:C,,0)</f>
        <v>-2803.8</v>
      </c>
      <c r="D78" s="50">
        <f>_xlfn.XLOOKUP($A78,Inputs!$A:$A,Inputs!D:D,,0)</f>
        <v>-3204.09</v>
      </c>
      <c r="E78" s="50">
        <f>_xlfn.XLOOKUP($A78,Inputs!$A:$A,Inputs!E:E,,0)</f>
        <v>-46.76</v>
      </c>
      <c r="F78" s="50">
        <f>_xlfn.XLOOKUP($A78,Inputs!$A:$A,Inputs!F:F,,0)</f>
        <v>-307.44</v>
      </c>
      <c r="G78" s="50">
        <v>-127</v>
      </c>
      <c r="H78" s="50">
        <f>_xlfn.XLOOKUP($A78,Inputs!$A:$A,Inputs!H:H,,0)</f>
        <v>-97.64</v>
      </c>
      <c r="I78" s="50">
        <f>_xlfn.XLOOKUP($A78,Inputs!$A:$A,Inputs!I:I,,0)</f>
        <v>0.89</v>
      </c>
      <c r="J78" s="50">
        <f>_xlfn.XLOOKUP($A78,Inputs!$A:$A,Inputs!J:J,,0)</f>
        <v>-66.5</v>
      </c>
      <c r="K78" s="50">
        <f>_xlfn.XLOOKUP($A78,Inputs!$A:$A,Inputs!K:K,,0)</f>
        <v>0</v>
      </c>
      <c r="L78" s="50">
        <f>_xlfn.XLOOKUP($A78,Inputs!$A:$A,Inputs!L:L,,0)</f>
        <v>0</v>
      </c>
      <c r="M78" s="50">
        <f>_xlfn.XLOOKUP($A78,Inputs!$A:$A,Inputs!M:M,,0)</f>
        <v>0</v>
      </c>
    </row>
    <row r="79" spans="1:235" ht="13.15">
      <c r="A79" s="115" t="s">
        <v>137</v>
      </c>
      <c r="B79" s="56">
        <f>_xlfn.XLOOKUP($A79,Inputs!$A:$A,Inputs!B:B,,0)</f>
        <v>0</v>
      </c>
      <c r="C79" s="56">
        <f>_xlfn.XLOOKUP($A79,Inputs!$A:$A,Inputs!C:C,,0)</f>
        <v>0</v>
      </c>
      <c r="D79" s="56">
        <f>_xlfn.XLOOKUP($A79,Inputs!$A:$A,Inputs!D:D,,0)</f>
        <v>0</v>
      </c>
      <c r="E79" s="56">
        <f>_xlfn.XLOOKUP($A79,Inputs!$A:$A,Inputs!E:E,,0)</f>
        <v>0</v>
      </c>
      <c r="F79" s="56">
        <f>_xlfn.XLOOKUP($A79,Inputs!$A:$A,Inputs!F:F,,0)</f>
        <v>0</v>
      </c>
      <c r="G79" s="56">
        <f>_xlfn.XLOOKUP($A79,Inputs!$A:$A,Inputs!G:G,,0)</f>
        <v>0</v>
      </c>
      <c r="H79" s="56">
        <f>_xlfn.XLOOKUP($A79,Inputs!$A:$A,Inputs!H:H,,0)</f>
        <v>0</v>
      </c>
      <c r="I79" s="56">
        <f>_xlfn.XLOOKUP($A79,Inputs!$A:$A,Inputs!I:I,,0)</f>
        <v>0</v>
      </c>
      <c r="J79" s="56">
        <f>_xlfn.XLOOKUP($A79,Inputs!$A:$A,Inputs!J:J,,0)</f>
        <v>0</v>
      </c>
      <c r="K79" s="56">
        <f>_xlfn.XLOOKUP($A79,Inputs!$A:$A,Inputs!K:K,,0)</f>
        <v>0</v>
      </c>
      <c r="L79" s="56">
        <f>_xlfn.XLOOKUP($A79,Inputs!$A:$A,Inputs!L:L,,0)</f>
        <v>0</v>
      </c>
      <c r="M79" s="56">
        <f>_xlfn.XLOOKUP($A79,Inputs!$A:$A,Inputs!M:M,,0)</f>
        <v>0</v>
      </c>
    </row>
    <row r="80" spans="1:235" ht="13.15">
      <c r="A80" s="115" t="s">
        <v>701</v>
      </c>
      <c r="B80" s="56">
        <f>_xlfn.XLOOKUP($A80,Inputs!$A:$A,Inputs!B:B,,0)</f>
        <v>2022.6599999999994</v>
      </c>
      <c r="C80" s="56">
        <f>_xlfn.XLOOKUP($A80,Inputs!$A:$A,Inputs!C:C,,0)</f>
        <v>1858.4299999999998</v>
      </c>
      <c r="D80" s="56">
        <f>_xlfn.XLOOKUP($A80,Inputs!$A:$A,Inputs!D:D,,0)</f>
        <v>-245.92999999999984</v>
      </c>
      <c r="E80" s="56">
        <f>_xlfn.XLOOKUP($A80,Inputs!$A:$A,Inputs!E:E,,0)</f>
        <v>1218.46</v>
      </c>
      <c r="F80" s="56">
        <f>_xlfn.XLOOKUP($A80,Inputs!$A:$A,Inputs!F:F,,0)</f>
        <v>134.80000000000007</v>
      </c>
      <c r="G80" s="56">
        <f>_xlfn.XLOOKUP($A80,Inputs!$A:$A,Inputs!G:G,,0)</f>
        <v>455.75000000000011</v>
      </c>
      <c r="H80" s="56">
        <f>_xlfn.XLOOKUP($A80,Inputs!$A:$A,Inputs!H:H,,0)</f>
        <v>-1105.9000000000001</v>
      </c>
      <c r="I80" s="56">
        <f>_xlfn.XLOOKUP($A80,Inputs!$A:$A,Inputs!I:I,,0)</f>
        <v>98.450000000000159</v>
      </c>
      <c r="J80" s="56">
        <f>_xlfn.XLOOKUP($A80,Inputs!$A:$A,Inputs!J:J,,0)</f>
        <v>925.60000000000014</v>
      </c>
      <c r="K80" s="56">
        <f>_xlfn.XLOOKUP($A80,Inputs!$A:$A,Inputs!K:K,,0)</f>
        <v>-454.19999999999982</v>
      </c>
      <c r="L80" s="56">
        <f>_xlfn.XLOOKUP($A80,Inputs!$A:$A,Inputs!L:L,,0)</f>
        <v>434</v>
      </c>
      <c r="M80" s="56">
        <f>_xlfn.XLOOKUP($A80,Inputs!$A:$A,Inputs!M:M,,0)</f>
        <v>-150.5</v>
      </c>
    </row>
    <row r="81" spans="1:13">
      <c r="K81" s="40"/>
      <c r="L81" s="40"/>
      <c r="M81" s="40"/>
    </row>
    <row r="82" spans="1:13" ht="20.65">
      <c r="A82" s="1655" t="s">
        <v>702</v>
      </c>
      <c r="B82" s="1655"/>
      <c r="C82" s="1655"/>
      <c r="D82" s="1655"/>
      <c r="E82" s="1655"/>
      <c r="F82" s="1655"/>
      <c r="G82" s="1655"/>
      <c r="H82" s="1655"/>
      <c r="I82" s="1655"/>
      <c r="J82" s="1655"/>
      <c r="K82" s="1655"/>
      <c r="L82" s="1655"/>
      <c r="M82" s="1655"/>
    </row>
    <row r="83" spans="1:13">
      <c r="A83" s="110" t="s">
        <v>703</v>
      </c>
      <c r="B83" s="50" t="e">
        <f>_xlfn.XLOOKUP($A83,Inputs!$A:$A,Inputs!B:B,,0)</f>
        <v>#N/A</v>
      </c>
      <c r="C83" s="50" t="e">
        <f>_xlfn.XLOOKUP($A83,Inputs!$A:$A,Inputs!C:C,,0)</f>
        <v>#N/A</v>
      </c>
      <c r="D83" s="50" t="e">
        <f>_xlfn.XLOOKUP($A83,Inputs!$A:$A,Inputs!D:D,,0)</f>
        <v>#N/A</v>
      </c>
      <c r="E83" s="50" t="e">
        <f>_xlfn.XLOOKUP($A83,Inputs!$A:$A,Inputs!E:E,,0)</f>
        <v>#N/A</v>
      </c>
      <c r="F83" s="50" t="e">
        <f>_xlfn.XLOOKUP($A83,Inputs!$A:$A,Inputs!F:F,,0)</f>
        <v>#N/A</v>
      </c>
      <c r="G83" s="50" t="e">
        <f>_xlfn.XLOOKUP($A83,Inputs!$A:$A,Inputs!G:G,,0)</f>
        <v>#N/A</v>
      </c>
      <c r="H83" s="50" t="e">
        <f>_xlfn.XLOOKUP($A83,Inputs!$A:$A,Inputs!H:H,,0)</f>
        <v>#N/A</v>
      </c>
      <c r="I83" s="50" t="e">
        <f>_xlfn.XLOOKUP($A83,Inputs!$A:$A,Inputs!I:I,,0)</f>
        <v>#N/A</v>
      </c>
      <c r="J83" s="50" t="e">
        <f>_xlfn.XLOOKUP($A83,Inputs!$A:$A,Inputs!J:J,,0)</f>
        <v>#N/A</v>
      </c>
      <c r="K83" s="50" t="e">
        <f>_xlfn.XLOOKUP($A83,Inputs!$A:$A,Inputs!K:K,,0)</f>
        <v>#N/A</v>
      </c>
      <c r="L83" s="50" t="e">
        <f>_xlfn.XLOOKUP($A83,Inputs!$A:$A,Inputs!L:L,,0)</f>
        <v>#N/A</v>
      </c>
      <c r="M83" s="50" t="e">
        <f>_xlfn.XLOOKUP($A83,Inputs!$A:$A,Inputs!M:M,,0)</f>
        <v>#N/A</v>
      </c>
    </row>
    <row r="84" spans="1:13">
      <c r="A84" s="116" t="s">
        <v>704</v>
      </c>
      <c r="B84" s="50" t="e">
        <f>_xlfn.XLOOKUP($A84,Inputs!$A:$A,Inputs!B:B,,0)</f>
        <v>#N/A</v>
      </c>
      <c r="C84" s="50" t="e">
        <f>_xlfn.XLOOKUP($A84,Inputs!$A:$A,Inputs!C:C,,0)</f>
        <v>#N/A</v>
      </c>
      <c r="D84" s="50" t="e">
        <f>_xlfn.XLOOKUP($A84,Inputs!$A:$A,Inputs!D:D,,0)</f>
        <v>#N/A</v>
      </c>
      <c r="E84" s="50" t="e">
        <f>_xlfn.XLOOKUP($A84,Inputs!$A:$A,Inputs!E:E,,0)</f>
        <v>#N/A</v>
      </c>
      <c r="F84" s="50" t="e">
        <f>_xlfn.XLOOKUP($A84,Inputs!$A:$A,Inputs!F:F,,0)</f>
        <v>#N/A</v>
      </c>
      <c r="G84" s="50" t="e">
        <f>_xlfn.XLOOKUP($A84,Inputs!$A:$A,Inputs!G:G,,0)</f>
        <v>#N/A</v>
      </c>
      <c r="H84" s="50" t="e">
        <f>_xlfn.XLOOKUP($A84,Inputs!$A:$A,Inputs!H:H,,0)</f>
        <v>#N/A</v>
      </c>
      <c r="I84" s="50" t="e">
        <f>_xlfn.XLOOKUP($A84,Inputs!$A:$A,Inputs!I:I,,0)</f>
        <v>#N/A</v>
      </c>
      <c r="J84" s="50" t="e">
        <f>_xlfn.XLOOKUP($A84,Inputs!$A:$A,Inputs!J:J,,0)</f>
        <v>#N/A</v>
      </c>
      <c r="K84" s="50" t="e">
        <f>_xlfn.XLOOKUP($A84,Inputs!$A:$A,Inputs!K:K,,0)</f>
        <v>#N/A</v>
      </c>
      <c r="L84" s="50" t="e">
        <f>_xlfn.XLOOKUP($A84,Inputs!$A:$A,Inputs!L:L,,0)</f>
        <v>#N/A</v>
      </c>
      <c r="M84" s="50" t="e">
        <f>_xlfn.XLOOKUP($A84,Inputs!$A:$A,Inputs!M:M,,0)</f>
        <v>#N/A</v>
      </c>
    </row>
    <row r="85" spans="1:13">
      <c r="A85" s="110" t="s">
        <v>47</v>
      </c>
      <c r="B85" s="50">
        <f>_xlfn.XLOOKUP($A85,Inputs!$A:$A,Inputs!B:B,,0)</f>
        <v>0.99169967135754611</v>
      </c>
      <c r="C85" s="50" t="str">
        <f>_xlfn.XLOOKUP($A85,Inputs!$A:$A,Inputs!C:C,,0)</f>
        <v>Yahoo finance</v>
      </c>
      <c r="D85" s="50">
        <f>_xlfn.XLOOKUP($A85,Inputs!$A:$A,Inputs!D:D,,0)</f>
        <v>0</v>
      </c>
      <c r="E85" s="50">
        <f>_xlfn.XLOOKUP($A85,Inputs!$A:$A,Inputs!E:E,,0)</f>
        <v>0</v>
      </c>
      <c r="F85" s="50">
        <f>_xlfn.XLOOKUP($A85,Inputs!$A:$A,Inputs!F:F,,0)</f>
        <v>0</v>
      </c>
      <c r="G85" s="50">
        <f>_xlfn.XLOOKUP($A85,Inputs!$A:$A,Inputs!G:G,,0)</f>
        <v>0</v>
      </c>
      <c r="H85" s="50">
        <f>_xlfn.XLOOKUP($A85,Inputs!$A:$A,Inputs!H:H,,0)</f>
        <v>0</v>
      </c>
      <c r="I85" s="50">
        <f>_xlfn.XLOOKUP($A85,Inputs!$A:$A,Inputs!I:I,,0)</f>
        <v>0</v>
      </c>
      <c r="J85" s="50">
        <f>_xlfn.XLOOKUP($A85,Inputs!$A:$A,Inputs!J:J,,0)</f>
        <v>0</v>
      </c>
      <c r="K85" s="50">
        <f>_xlfn.XLOOKUP($A85,Inputs!$A:$A,Inputs!K:K,,0)</f>
        <v>0</v>
      </c>
      <c r="L85" s="50">
        <f>_xlfn.XLOOKUP($A85,Inputs!$A:$A,Inputs!L:L,,0)</f>
        <v>0</v>
      </c>
      <c r="M85" s="50">
        <f>_xlfn.XLOOKUP($A85,Inputs!$A:$A,Inputs!M:M,,0)</f>
        <v>0</v>
      </c>
    </row>
    <row r="86" spans="1:13">
      <c r="A86" s="116" t="s">
        <v>52</v>
      </c>
      <c r="B86" s="50">
        <f>_xlfn.XLOOKUP($A86,Inputs!$A:$A,Inputs!B:B,,0)</f>
        <v>5.1000000000000004E-3</v>
      </c>
      <c r="C86" s="50" t="str">
        <f>_xlfn.XLOOKUP($A86,Inputs!$A:$A,Inputs!C:C,,0)</f>
        <v>Yahoo finance</v>
      </c>
      <c r="D86" s="50">
        <f>_xlfn.XLOOKUP($A86,Inputs!$A:$A,Inputs!D:D,,0)</f>
        <v>0</v>
      </c>
      <c r="E86" s="50">
        <f>_xlfn.XLOOKUP($A86,Inputs!$A:$A,Inputs!E:E,,0)</f>
        <v>0</v>
      </c>
      <c r="F86" s="50">
        <f>_xlfn.XLOOKUP($A86,Inputs!$A:$A,Inputs!F:F,,0)</f>
        <v>0</v>
      </c>
      <c r="G86" s="50">
        <f>_xlfn.XLOOKUP($A86,Inputs!$A:$A,Inputs!G:G,,0)</f>
        <v>0</v>
      </c>
      <c r="H86" s="50">
        <f>_xlfn.XLOOKUP($A86,Inputs!$A:$A,Inputs!H:H,,0)</f>
        <v>0</v>
      </c>
      <c r="I86" s="50">
        <f>_xlfn.XLOOKUP($A86,Inputs!$A:$A,Inputs!I:I,,0)</f>
        <v>0</v>
      </c>
      <c r="J86" s="50">
        <f>_xlfn.XLOOKUP($A86,Inputs!$A:$A,Inputs!J:J,,0)</f>
        <v>0</v>
      </c>
      <c r="K86" s="50">
        <f>_xlfn.XLOOKUP($A86,Inputs!$A:$A,Inputs!K:K,,0)</f>
        <v>0</v>
      </c>
      <c r="L86" s="50">
        <f>_xlfn.XLOOKUP($A86,Inputs!$A:$A,Inputs!L:L,,0)</f>
        <v>0</v>
      </c>
      <c r="M86" s="50">
        <f>_xlfn.XLOOKUP($A86,Inputs!$A:$A,Inputs!M:M,,0)</f>
        <v>0</v>
      </c>
    </row>
    <row r="87" spans="1:13">
      <c r="A87" s="110" t="s">
        <v>705</v>
      </c>
      <c r="B87" s="50" t="str">
        <f>_xlfn.XLOOKUP($A87,Inputs!$A:$A,Inputs!B:B,,0)</f>
        <v>A-</v>
      </c>
      <c r="C87" s="50" t="str">
        <f>_xlfn.XLOOKUP($A87,Inputs!$A:$A,Inputs!C:C,,0)</f>
        <v>10-K</v>
      </c>
      <c r="D87" s="50">
        <f>_xlfn.XLOOKUP($A87,Inputs!$A:$A,Inputs!D:D,,0)</f>
        <v>0</v>
      </c>
      <c r="E87" s="50">
        <f>_xlfn.XLOOKUP($A87,Inputs!$A:$A,Inputs!E:E,,0)</f>
        <v>0</v>
      </c>
      <c r="F87" s="50">
        <f>_xlfn.XLOOKUP($A87,Inputs!$A:$A,Inputs!F:F,,0)</f>
        <v>0</v>
      </c>
      <c r="G87" s="50">
        <f>_xlfn.XLOOKUP($A87,Inputs!$A:$A,Inputs!G:G,,0)</f>
        <v>0</v>
      </c>
      <c r="H87" s="50">
        <f>_xlfn.XLOOKUP($A87,Inputs!$A:$A,Inputs!H:H,,0)</f>
        <v>0</v>
      </c>
      <c r="I87" s="50">
        <f>_xlfn.XLOOKUP($A87,Inputs!$A:$A,Inputs!I:I,,0)</f>
        <v>0</v>
      </c>
      <c r="J87" s="50">
        <f>_xlfn.XLOOKUP($A87,Inputs!$A:$A,Inputs!J:J,,0)</f>
        <v>0</v>
      </c>
      <c r="K87" s="50">
        <f>_xlfn.XLOOKUP($A87,Inputs!$A:$A,Inputs!K:K,,0)</f>
        <v>0</v>
      </c>
      <c r="L87" s="50">
        <f>_xlfn.XLOOKUP($A87,Inputs!$A:$A,Inputs!L:L,,0)</f>
        <v>0</v>
      </c>
      <c r="M87" s="50">
        <f>_xlfn.XLOOKUP($A87,Inputs!$A:$A,Inputs!M:M,,0)</f>
        <v>0</v>
      </c>
    </row>
    <row r="88" spans="1:13">
      <c r="A88" s="110" t="s">
        <v>706</v>
      </c>
      <c r="B88" s="50" t="e">
        <f>_xlfn.XLOOKUP($A88,Inputs!$A:$A,Inputs!B:B,,0)</f>
        <v>#N/A</v>
      </c>
      <c r="C88" s="50" t="e">
        <f>_xlfn.XLOOKUP($A88,Inputs!$A:$A,Inputs!C:C,,0)</f>
        <v>#N/A</v>
      </c>
      <c r="D88" s="50" t="e">
        <f>_xlfn.XLOOKUP($A88,Inputs!$A:$A,Inputs!D:D,,0)</f>
        <v>#N/A</v>
      </c>
      <c r="E88" s="50" t="e">
        <f>_xlfn.XLOOKUP($A88,Inputs!$A:$A,Inputs!E:E,,0)</f>
        <v>#N/A</v>
      </c>
      <c r="F88" s="50" t="e">
        <f>_xlfn.XLOOKUP($A88,Inputs!$A:$A,Inputs!F:F,,0)</f>
        <v>#N/A</v>
      </c>
      <c r="G88" s="50" t="e">
        <f>_xlfn.XLOOKUP($A88,Inputs!$A:$A,Inputs!G:G,,0)</f>
        <v>#N/A</v>
      </c>
      <c r="H88" s="50" t="e">
        <f>_xlfn.XLOOKUP($A88,Inputs!$A:$A,Inputs!H:H,,0)</f>
        <v>#N/A</v>
      </c>
      <c r="I88" s="50" t="e">
        <f>_xlfn.XLOOKUP($A88,Inputs!$A:$A,Inputs!I:I,,0)</f>
        <v>#N/A</v>
      </c>
      <c r="J88" s="50" t="e">
        <f>_xlfn.XLOOKUP($A88,Inputs!$A:$A,Inputs!J:J,,0)</f>
        <v>#N/A</v>
      </c>
      <c r="K88" s="50" t="e">
        <f>_xlfn.XLOOKUP($A88,Inputs!$A:$A,Inputs!K:K,,0)</f>
        <v>#N/A</v>
      </c>
      <c r="L88" s="50" t="e">
        <f>_xlfn.XLOOKUP($A88,Inputs!$A:$A,Inputs!L:L,,0)</f>
        <v>#N/A</v>
      </c>
      <c r="M88" s="50" t="e">
        <f>_xlfn.XLOOKUP($A88,Inputs!$A:$A,Inputs!M:M,,0)</f>
        <v>#N/A</v>
      </c>
    </row>
    <row r="89" spans="1:13">
      <c r="A89" s="116" t="s">
        <v>707</v>
      </c>
      <c r="B89" s="50">
        <f>_xlfn.XLOOKUP($A89,Inputs!$A:$A,Inputs!B:B,,0)</f>
        <v>1.94</v>
      </c>
      <c r="C89" s="50" t="str">
        <f>_xlfn.XLOOKUP($A89,Inputs!$A:$A,Inputs!C:C,,0)</f>
        <v>Yahoo Finance</v>
      </c>
      <c r="D89" s="50">
        <f>_xlfn.XLOOKUP($A89,Inputs!$A:$A,Inputs!D:D,,0)</f>
        <v>0</v>
      </c>
      <c r="E89" s="50">
        <f>_xlfn.XLOOKUP($A89,Inputs!$A:$A,Inputs!E:E,,0)</f>
        <v>0</v>
      </c>
      <c r="F89" s="50">
        <f>_xlfn.XLOOKUP($A89,Inputs!$A:$A,Inputs!F:F,,0)</f>
        <v>0</v>
      </c>
      <c r="G89" s="50">
        <f>_xlfn.XLOOKUP($A89,Inputs!$A:$A,Inputs!G:G,,0)</f>
        <v>0</v>
      </c>
      <c r="H89" s="50">
        <f>_xlfn.XLOOKUP($A89,Inputs!$A:$A,Inputs!H:H,,0)</f>
        <v>0</v>
      </c>
      <c r="I89" s="50">
        <f>_xlfn.XLOOKUP($A89,Inputs!$A:$A,Inputs!I:I,,0)</f>
        <v>0</v>
      </c>
      <c r="J89" s="50">
        <f>_xlfn.XLOOKUP($A89,Inputs!$A:$A,Inputs!J:J,,0)</f>
        <v>0</v>
      </c>
      <c r="K89" s="50">
        <f>_xlfn.XLOOKUP($A89,Inputs!$A:$A,Inputs!K:K,,0)</f>
        <v>0</v>
      </c>
      <c r="L89" s="50">
        <f>_xlfn.XLOOKUP($A89,Inputs!$A:$A,Inputs!L:L,,0)</f>
        <v>0</v>
      </c>
      <c r="M89" s="50">
        <f>_xlfn.XLOOKUP($A89,Inputs!$A:$A,Inputs!M:M,,0)</f>
        <v>0</v>
      </c>
    </row>
    <row r="90" spans="1:13">
      <c r="B90" s="42"/>
      <c r="C90" s="42"/>
      <c r="D90" s="42"/>
      <c r="E90" s="42"/>
      <c r="F90" s="42"/>
      <c r="G90" s="42"/>
      <c r="H90" s="42"/>
      <c r="I90" s="42"/>
      <c r="J90" s="42"/>
      <c r="K90" s="42"/>
      <c r="L90" s="42"/>
      <c r="M90" s="42"/>
    </row>
    <row r="91" spans="1:13">
      <c r="B91" s="41">
        <v>2020</v>
      </c>
      <c r="C91" s="41">
        <v>2021</v>
      </c>
      <c r="D91" s="41">
        <v>2022</v>
      </c>
      <c r="G91" s="41"/>
      <c r="H91" s="42"/>
      <c r="I91" s="42"/>
      <c r="J91" s="42"/>
      <c r="K91" s="42"/>
      <c r="L91" s="42"/>
      <c r="M91" s="42"/>
    </row>
    <row r="92" spans="1:13">
      <c r="A92" s="110" t="s">
        <v>708</v>
      </c>
      <c r="B92" s="54">
        <v>0</v>
      </c>
      <c r="C92" s="54">
        <v>0</v>
      </c>
      <c r="D92" s="55">
        <v>0</v>
      </c>
      <c r="G92" s="42"/>
      <c r="H92" s="42"/>
      <c r="I92" s="42"/>
      <c r="J92" s="42"/>
      <c r="K92" s="42"/>
      <c r="L92" s="42"/>
      <c r="M92" s="42"/>
    </row>
    <row r="93" spans="1:13">
      <c r="A93" s="116" t="s">
        <v>73</v>
      </c>
      <c r="B93" s="54">
        <v>0</v>
      </c>
      <c r="C93" s="54">
        <v>0</v>
      </c>
      <c r="D93" s="55">
        <v>0</v>
      </c>
    </row>
    <row r="95" spans="1:13" ht="13.15">
      <c r="A95" s="13" t="s">
        <v>709</v>
      </c>
      <c r="B95" s="41" t="s">
        <v>710</v>
      </c>
      <c r="C95" s="41" t="s">
        <v>711</v>
      </c>
      <c r="D95" s="41" t="s">
        <v>712</v>
      </c>
      <c r="E95" s="41" t="s">
        <v>713</v>
      </c>
      <c r="G95" s="41"/>
    </row>
    <row r="96" spans="1:13">
      <c r="B96" s="57" t="e">
        <f>VLOOKUP($A96,Inputs!$A$5:$M$100,MATCH(B$4,Inputs!$B$5:$M$5,0)+1,FALSE)</f>
        <v>#N/A</v>
      </c>
      <c r="C96" s="57" t="e">
        <f>VLOOKUP($A96,Inputs!$A$5:$M$100,MATCH(C$4,Inputs!$B$5:$M$5,0)+1,FALSE)</f>
        <v>#N/A</v>
      </c>
      <c r="D96" s="57" t="e">
        <f>VLOOKUP($A96,Inputs!$A$5:$M$100,MATCH(D$4,Inputs!$B$5:$M$5,0)+1,FALSE)</f>
        <v>#N/A</v>
      </c>
      <c r="E96" s="57" t="e">
        <f>VLOOKUP($A96,Inputs!$A$5:$M$100,MATCH(E$4,Inputs!$B$5:$M$5,0)+1,FALSE)</f>
        <v>#N/A</v>
      </c>
    </row>
    <row r="97" spans="2:6">
      <c r="B97" s="58"/>
      <c r="C97" s="58"/>
      <c r="D97" s="2"/>
      <c r="E97" s="58"/>
      <c r="F97" s="2"/>
    </row>
    <row r="98" spans="2:6">
      <c r="B98" s="58"/>
      <c r="C98" s="58"/>
      <c r="D98" s="2"/>
      <c r="E98" s="58"/>
      <c r="F98" s="2"/>
    </row>
    <row r="99" spans="2:6">
      <c r="B99" s="58"/>
      <c r="C99" s="58"/>
      <c r="D99" s="2"/>
      <c r="E99" s="58"/>
      <c r="F99" s="2"/>
    </row>
    <row r="100" spans="2:6">
      <c r="B100" s="58"/>
      <c r="C100" s="58"/>
      <c r="D100" s="2"/>
      <c r="E100" s="58"/>
      <c r="F100" s="2"/>
    </row>
    <row r="101" spans="2:6">
      <c r="B101" s="58"/>
      <c r="C101" s="58"/>
      <c r="D101" s="2"/>
      <c r="E101" s="58"/>
      <c r="F101" s="2"/>
    </row>
    <row r="102" spans="2:6">
      <c r="B102" s="58"/>
      <c r="C102" s="58"/>
      <c r="D102" s="2"/>
      <c r="E102" s="58"/>
      <c r="F102" s="2"/>
    </row>
    <row r="103" spans="2:6">
      <c r="B103" s="58"/>
      <c r="C103" s="58"/>
      <c r="D103" s="2"/>
      <c r="E103" s="58"/>
      <c r="F103" s="2"/>
    </row>
    <row r="104" spans="2:6">
      <c r="B104" s="58"/>
      <c r="C104" s="58"/>
      <c r="D104" s="2"/>
      <c r="E104" s="58"/>
      <c r="F104" s="2"/>
    </row>
  </sheetData>
  <mergeCells count="7">
    <mergeCell ref="A82:M82"/>
    <mergeCell ref="A1:M1"/>
    <mergeCell ref="A2:M2"/>
    <mergeCell ref="A3:M3"/>
    <mergeCell ref="A40:M40"/>
    <mergeCell ref="A50:M50"/>
    <mergeCell ref="A71:M71"/>
  </mergeCells>
  <pageMargins left="0.7" right="0.7" top="0.75" bottom="0.75" header="0.3" footer="0.3"/>
  <pageSetup paperSize="9" orientation="portrait" horizontalDpi="4294967293" verticalDpi="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85546875" defaultRowHeight="12.75"/>
  <cols>
    <col min="1" max="9" width="0" hidden="1" customWidth="1"/>
    <col min="11" max="11" width="21.85546875" bestFit="1" customWidth="1"/>
  </cols>
  <sheetData>
    <row r="2" spans="2:27" ht="13.15">
      <c r="E2" s="10" t="s">
        <v>714</v>
      </c>
      <c r="F2" s="10" t="s">
        <v>715</v>
      </c>
      <c r="H2" s="10" t="s">
        <v>382</v>
      </c>
      <c r="K2" s="1658" t="s">
        <v>714</v>
      </c>
      <c r="L2" s="1660" t="s">
        <v>716</v>
      </c>
      <c r="M2" s="1661"/>
      <c r="N2" s="1661"/>
      <c r="O2" s="1661"/>
      <c r="P2" s="1662"/>
      <c r="Q2" s="1661" t="s">
        <v>338</v>
      </c>
      <c r="R2" s="1661"/>
      <c r="S2" s="1661"/>
      <c r="T2" s="1661"/>
      <c r="U2" s="1661"/>
      <c r="V2" s="1661"/>
      <c r="W2" s="1661"/>
      <c r="X2" s="1661"/>
      <c r="Y2" s="1661"/>
      <c r="Z2" s="1661"/>
      <c r="AA2" s="1662"/>
    </row>
    <row r="3" spans="2:27" ht="13.15">
      <c r="E3" t="s">
        <v>717</v>
      </c>
      <c r="F3" t="s">
        <v>718</v>
      </c>
      <c r="H3" s="10" t="s">
        <v>322</v>
      </c>
      <c r="K3" s="1659"/>
      <c r="L3" s="67" t="s">
        <v>719</v>
      </c>
      <c r="M3" s="84" t="s">
        <v>720</v>
      </c>
      <c r="N3" s="84" t="s">
        <v>721</v>
      </c>
      <c r="O3" s="84" t="s">
        <v>722</v>
      </c>
      <c r="P3" s="85" t="s">
        <v>723</v>
      </c>
      <c r="Q3" s="84" t="s">
        <v>724</v>
      </c>
      <c r="R3" s="84" t="s">
        <v>725</v>
      </c>
      <c r="S3" s="84" t="s">
        <v>342</v>
      </c>
      <c r="T3" s="84" t="s">
        <v>726</v>
      </c>
      <c r="U3" s="84" t="s">
        <v>727</v>
      </c>
      <c r="V3" s="84" t="s">
        <v>728</v>
      </c>
      <c r="W3" s="84" t="s">
        <v>729</v>
      </c>
      <c r="X3" s="84" t="s">
        <v>730</v>
      </c>
      <c r="Y3" s="84" t="s">
        <v>731</v>
      </c>
      <c r="Z3" s="84" t="s">
        <v>732</v>
      </c>
      <c r="AA3" s="85" t="s">
        <v>374</v>
      </c>
    </row>
    <row r="4" spans="2:27" ht="13.15">
      <c r="B4" s="68"/>
      <c r="E4" t="s">
        <v>717</v>
      </c>
      <c r="F4" t="s">
        <v>733</v>
      </c>
      <c r="H4" s="10" t="s">
        <v>387</v>
      </c>
      <c r="K4" s="86" t="s">
        <v>717</v>
      </c>
      <c r="L4" s="87" t="s">
        <v>382</v>
      </c>
      <c r="M4" t="s">
        <v>382</v>
      </c>
      <c r="N4" t="s">
        <v>322</v>
      </c>
      <c r="O4" t="s">
        <v>382</v>
      </c>
      <c r="P4" s="88" t="s">
        <v>382</v>
      </c>
      <c r="Q4" t="s">
        <v>322</v>
      </c>
      <c r="R4" t="s">
        <v>322</v>
      </c>
      <c r="S4" t="s">
        <v>382</v>
      </c>
      <c r="T4" t="s">
        <v>382</v>
      </c>
      <c r="U4" t="s">
        <v>387</v>
      </c>
      <c r="V4" t="s">
        <v>382</v>
      </c>
      <c r="W4" t="s">
        <v>382</v>
      </c>
      <c r="X4" t="s">
        <v>382</v>
      </c>
      <c r="Y4" t="s">
        <v>382</v>
      </c>
      <c r="Z4" t="s">
        <v>382</v>
      </c>
      <c r="AA4" s="88" t="s">
        <v>322</v>
      </c>
    </row>
    <row r="5" spans="2:27" ht="13.9">
      <c r="B5" s="80" t="s">
        <v>319</v>
      </c>
      <c r="E5" t="s">
        <v>717</v>
      </c>
      <c r="F5" t="s">
        <v>734</v>
      </c>
      <c r="H5" s="10" t="s">
        <v>735</v>
      </c>
      <c r="K5" s="86" t="s">
        <v>736</v>
      </c>
      <c r="L5" s="87" t="s">
        <v>382</v>
      </c>
      <c r="M5" t="s">
        <v>382</v>
      </c>
      <c r="N5" t="s">
        <v>322</v>
      </c>
      <c r="O5" t="s">
        <v>322</v>
      </c>
      <c r="P5" s="88" t="s">
        <v>382</v>
      </c>
      <c r="Q5" t="s">
        <v>322</v>
      </c>
      <c r="R5" t="s">
        <v>322</v>
      </c>
      <c r="S5" t="s">
        <v>382</v>
      </c>
      <c r="T5" t="s">
        <v>382</v>
      </c>
      <c r="U5" t="s">
        <v>322</v>
      </c>
      <c r="V5" t="s">
        <v>322</v>
      </c>
      <c r="W5" t="s">
        <v>322</v>
      </c>
      <c r="X5" t="s">
        <v>387</v>
      </c>
      <c r="Y5" t="s">
        <v>382</v>
      </c>
      <c r="Z5" t="s">
        <v>387</v>
      </c>
      <c r="AA5" s="88" t="s">
        <v>382</v>
      </c>
    </row>
    <row r="6" spans="2:27">
      <c r="B6" s="82" t="s">
        <v>737</v>
      </c>
      <c r="E6" t="s">
        <v>717</v>
      </c>
      <c r="F6" t="s">
        <v>738</v>
      </c>
      <c r="K6" s="86" t="s">
        <v>739</v>
      </c>
      <c r="L6" s="87" t="s">
        <v>387</v>
      </c>
      <c r="M6" t="s">
        <v>735</v>
      </c>
      <c r="N6" t="s">
        <v>387</v>
      </c>
      <c r="O6" t="s">
        <v>387</v>
      </c>
      <c r="P6" s="88" t="s">
        <v>387</v>
      </c>
      <c r="Q6" t="s">
        <v>322</v>
      </c>
      <c r="R6" t="s">
        <v>387</v>
      </c>
      <c r="S6" t="s">
        <v>387</v>
      </c>
      <c r="T6" t="s">
        <v>382</v>
      </c>
      <c r="U6" t="s">
        <v>322</v>
      </c>
      <c r="V6" t="s">
        <v>322</v>
      </c>
      <c r="W6" t="s">
        <v>382</v>
      </c>
      <c r="X6" t="s">
        <v>387</v>
      </c>
      <c r="Y6" t="s">
        <v>382</v>
      </c>
      <c r="Z6" t="s">
        <v>735</v>
      </c>
      <c r="AA6" s="88" t="s">
        <v>382</v>
      </c>
    </row>
    <row r="7" spans="2:27">
      <c r="B7" s="82" t="s">
        <v>740</v>
      </c>
      <c r="E7" t="s">
        <v>717</v>
      </c>
      <c r="F7" t="s">
        <v>741</v>
      </c>
      <c r="K7" s="86" t="s">
        <v>721</v>
      </c>
      <c r="L7" s="87" t="s">
        <v>735</v>
      </c>
      <c r="M7" t="s">
        <v>735</v>
      </c>
      <c r="N7" t="s">
        <v>322</v>
      </c>
      <c r="O7" t="s">
        <v>735</v>
      </c>
      <c r="P7" s="88" t="s">
        <v>387</v>
      </c>
      <c r="Q7" t="s">
        <v>387</v>
      </c>
      <c r="R7" t="s">
        <v>322</v>
      </c>
      <c r="S7" t="s">
        <v>322</v>
      </c>
      <c r="T7" t="s">
        <v>322</v>
      </c>
      <c r="U7" t="s">
        <v>322</v>
      </c>
      <c r="V7" t="s">
        <v>387</v>
      </c>
      <c r="W7" t="s">
        <v>322</v>
      </c>
      <c r="X7" t="s">
        <v>322</v>
      </c>
      <c r="Y7" t="s">
        <v>387</v>
      </c>
      <c r="Z7" t="s">
        <v>387</v>
      </c>
      <c r="AA7" s="88" t="s">
        <v>382</v>
      </c>
    </row>
    <row r="8" spans="2:27">
      <c r="B8" s="82"/>
      <c r="K8" s="86" t="s">
        <v>742</v>
      </c>
      <c r="L8" s="87" t="s">
        <v>382</v>
      </c>
      <c r="M8" t="s">
        <v>382</v>
      </c>
      <c r="N8" t="s">
        <v>382</v>
      </c>
      <c r="O8" t="s">
        <v>322</v>
      </c>
      <c r="P8" s="88" t="s">
        <v>322</v>
      </c>
      <c r="Q8" t="s">
        <v>382</v>
      </c>
      <c r="R8" t="s">
        <v>322</v>
      </c>
      <c r="S8" t="s">
        <v>322</v>
      </c>
      <c r="T8" t="s">
        <v>387</v>
      </c>
      <c r="U8" t="s">
        <v>322</v>
      </c>
      <c r="V8" t="s">
        <v>382</v>
      </c>
      <c r="W8" t="s">
        <v>382</v>
      </c>
      <c r="X8" t="s">
        <v>322</v>
      </c>
      <c r="Y8" t="s">
        <v>322</v>
      </c>
      <c r="Z8" t="s">
        <v>387</v>
      </c>
      <c r="AA8" s="88" t="s">
        <v>382</v>
      </c>
    </row>
    <row r="9" spans="2:27">
      <c r="B9" s="82" t="s">
        <v>328</v>
      </c>
      <c r="E9" t="s">
        <v>717</v>
      </c>
      <c r="F9" t="s">
        <v>743</v>
      </c>
      <c r="K9" s="86" t="s">
        <v>744</v>
      </c>
      <c r="L9" s="87" t="s">
        <v>382</v>
      </c>
      <c r="M9" t="s">
        <v>382</v>
      </c>
      <c r="N9" t="s">
        <v>382</v>
      </c>
      <c r="O9" t="s">
        <v>382</v>
      </c>
      <c r="P9" s="88" t="s">
        <v>382</v>
      </c>
      <c r="Q9" t="s">
        <v>382</v>
      </c>
      <c r="R9" t="s">
        <v>382</v>
      </c>
      <c r="S9" t="s">
        <v>322</v>
      </c>
      <c r="T9" t="s">
        <v>387</v>
      </c>
      <c r="U9" t="s">
        <v>322</v>
      </c>
      <c r="V9" t="s">
        <v>382</v>
      </c>
      <c r="W9" t="s">
        <v>382</v>
      </c>
      <c r="X9" t="s">
        <v>382</v>
      </c>
      <c r="Y9" t="s">
        <v>382</v>
      </c>
      <c r="Z9" t="s">
        <v>322</v>
      </c>
      <c r="AA9" s="88" t="s">
        <v>382</v>
      </c>
    </row>
    <row r="10" spans="2:27">
      <c r="B10" s="82"/>
      <c r="K10" s="86" t="s">
        <v>745</v>
      </c>
      <c r="L10" s="87" t="s">
        <v>382</v>
      </c>
      <c r="M10" t="s">
        <v>322</v>
      </c>
      <c r="N10" t="s">
        <v>382</v>
      </c>
      <c r="O10" t="s">
        <v>322</v>
      </c>
      <c r="P10" s="88" t="s">
        <v>387</v>
      </c>
      <c r="Q10" t="s">
        <v>382</v>
      </c>
      <c r="R10" t="s">
        <v>382</v>
      </c>
      <c r="S10" t="s">
        <v>382</v>
      </c>
      <c r="T10" t="s">
        <v>382</v>
      </c>
      <c r="U10" t="s">
        <v>382</v>
      </c>
      <c r="V10" t="s">
        <v>382</v>
      </c>
      <c r="W10" t="s">
        <v>382</v>
      </c>
      <c r="X10" t="s">
        <v>382</v>
      </c>
      <c r="Y10" t="s">
        <v>322</v>
      </c>
      <c r="Z10" t="s">
        <v>382</v>
      </c>
      <c r="AA10" s="88" t="s">
        <v>382</v>
      </c>
    </row>
    <row r="11" spans="2:27">
      <c r="B11" s="82" t="s">
        <v>331</v>
      </c>
      <c r="E11" t="s">
        <v>717</v>
      </c>
      <c r="F11" t="s">
        <v>746</v>
      </c>
      <c r="K11" s="86" t="s">
        <v>747</v>
      </c>
      <c r="L11" s="87" t="s">
        <v>382</v>
      </c>
      <c r="M11" t="s">
        <v>322</v>
      </c>
      <c r="N11" t="s">
        <v>382</v>
      </c>
      <c r="O11" t="s">
        <v>382</v>
      </c>
      <c r="P11" s="88" t="s">
        <v>382</v>
      </c>
      <c r="Q11" t="s">
        <v>382</v>
      </c>
      <c r="R11" t="s">
        <v>382</v>
      </c>
      <c r="S11" t="s">
        <v>322</v>
      </c>
      <c r="T11" t="s">
        <v>382</v>
      </c>
      <c r="U11" t="s">
        <v>387</v>
      </c>
      <c r="V11" t="s">
        <v>382</v>
      </c>
      <c r="W11" t="s">
        <v>382</v>
      </c>
      <c r="X11" t="s">
        <v>382</v>
      </c>
      <c r="Y11" t="s">
        <v>382</v>
      </c>
      <c r="Z11" t="s">
        <v>382</v>
      </c>
      <c r="AA11" s="88" t="s">
        <v>382</v>
      </c>
    </row>
    <row r="12" spans="2:27">
      <c r="B12" s="81" t="s">
        <v>748</v>
      </c>
      <c r="E12" t="s">
        <v>717</v>
      </c>
      <c r="F12" t="s">
        <v>749</v>
      </c>
      <c r="K12" s="86" t="s">
        <v>750</v>
      </c>
      <c r="L12" s="87" t="s">
        <v>735</v>
      </c>
      <c r="M12" t="s">
        <v>735</v>
      </c>
      <c r="N12" t="s">
        <v>735</v>
      </c>
      <c r="O12" t="s">
        <v>387</v>
      </c>
      <c r="P12" s="88" t="s">
        <v>387</v>
      </c>
      <c r="Q12" t="s">
        <v>382</v>
      </c>
      <c r="R12" t="s">
        <v>322</v>
      </c>
      <c r="S12" t="s">
        <v>387</v>
      </c>
      <c r="T12" t="s">
        <v>735</v>
      </c>
      <c r="U12" t="s">
        <v>322</v>
      </c>
      <c r="V12" t="s">
        <v>735</v>
      </c>
      <c r="W12" t="s">
        <v>322</v>
      </c>
      <c r="X12" t="s">
        <v>735</v>
      </c>
      <c r="Y12" t="s">
        <v>735</v>
      </c>
      <c r="Z12" t="s">
        <v>735</v>
      </c>
      <c r="AA12" s="88" t="s">
        <v>387</v>
      </c>
    </row>
    <row r="13" spans="2:27" ht="13.9">
      <c r="B13" s="80" t="s">
        <v>338</v>
      </c>
      <c r="E13" t="s">
        <v>717</v>
      </c>
      <c r="F13" t="s">
        <v>751</v>
      </c>
      <c r="K13" s="86" t="s">
        <v>752</v>
      </c>
      <c r="L13" s="87" t="s">
        <v>322</v>
      </c>
      <c r="M13" t="s">
        <v>382</v>
      </c>
      <c r="N13" t="s">
        <v>387</v>
      </c>
      <c r="O13" t="s">
        <v>382</v>
      </c>
      <c r="P13" s="88" t="s">
        <v>382</v>
      </c>
      <c r="Q13" t="s">
        <v>382</v>
      </c>
      <c r="R13" t="s">
        <v>382</v>
      </c>
      <c r="S13" t="s">
        <v>382</v>
      </c>
      <c r="T13" t="s">
        <v>382</v>
      </c>
      <c r="U13" t="s">
        <v>387</v>
      </c>
      <c r="V13" t="s">
        <v>382</v>
      </c>
      <c r="W13" t="s">
        <v>382</v>
      </c>
      <c r="X13" t="s">
        <v>382</v>
      </c>
      <c r="Y13" t="s">
        <v>382</v>
      </c>
      <c r="Z13" t="s">
        <v>322</v>
      </c>
      <c r="AA13" s="88" t="s">
        <v>735</v>
      </c>
    </row>
    <row r="14" spans="2:27">
      <c r="B14" s="72" t="s">
        <v>753</v>
      </c>
      <c r="E14" t="s">
        <v>717</v>
      </c>
      <c r="F14" t="s">
        <v>754</v>
      </c>
      <c r="K14" s="86" t="s">
        <v>305</v>
      </c>
      <c r="L14" s="87" t="s">
        <v>735</v>
      </c>
      <c r="M14" t="s">
        <v>735</v>
      </c>
      <c r="N14" t="s">
        <v>735</v>
      </c>
      <c r="O14" t="s">
        <v>735</v>
      </c>
      <c r="P14" s="88" t="s">
        <v>387</v>
      </c>
      <c r="Q14" t="s">
        <v>387</v>
      </c>
      <c r="R14" t="s">
        <v>387</v>
      </c>
      <c r="S14" t="s">
        <v>322</v>
      </c>
      <c r="T14" t="s">
        <v>387</v>
      </c>
      <c r="U14" t="s">
        <v>382</v>
      </c>
      <c r="V14" t="s">
        <v>735</v>
      </c>
      <c r="W14" t="s">
        <v>322</v>
      </c>
      <c r="X14" t="s">
        <v>322</v>
      </c>
      <c r="Y14" t="s">
        <v>735</v>
      </c>
      <c r="Z14" t="s">
        <v>387</v>
      </c>
      <c r="AA14" s="88" t="s">
        <v>322</v>
      </c>
    </row>
    <row r="15" spans="2:27">
      <c r="B15" s="72" t="s">
        <v>755</v>
      </c>
      <c r="E15" t="s">
        <v>736</v>
      </c>
      <c r="F15" t="s">
        <v>756</v>
      </c>
      <c r="K15" s="86" t="s">
        <v>757</v>
      </c>
      <c r="L15" s="87" t="s">
        <v>382</v>
      </c>
      <c r="M15" t="s">
        <v>382</v>
      </c>
      <c r="N15" t="s">
        <v>322</v>
      </c>
      <c r="O15" t="s">
        <v>382</v>
      </c>
      <c r="P15" s="88" t="s">
        <v>382</v>
      </c>
      <c r="Q15" t="s">
        <v>322</v>
      </c>
      <c r="R15" t="s">
        <v>382</v>
      </c>
      <c r="S15" t="s">
        <v>382</v>
      </c>
      <c r="T15" t="s">
        <v>382</v>
      </c>
      <c r="U15" t="s">
        <v>387</v>
      </c>
      <c r="V15" t="s">
        <v>382</v>
      </c>
      <c r="W15" t="s">
        <v>322</v>
      </c>
      <c r="X15" t="s">
        <v>382</v>
      </c>
      <c r="Y15" t="s">
        <v>322</v>
      </c>
      <c r="Z15" t="s">
        <v>382</v>
      </c>
      <c r="AA15" s="88" t="s">
        <v>382</v>
      </c>
    </row>
    <row r="16" spans="2:27">
      <c r="B16" s="75" t="s">
        <v>758</v>
      </c>
      <c r="E16" t="s">
        <v>736</v>
      </c>
      <c r="F16" t="s">
        <v>759</v>
      </c>
      <c r="K16" s="89" t="s">
        <v>760</v>
      </c>
      <c r="L16" s="90" t="s">
        <v>735</v>
      </c>
      <c r="M16" s="91" t="s">
        <v>387</v>
      </c>
      <c r="N16" s="91" t="s">
        <v>387</v>
      </c>
      <c r="O16" s="91" t="s">
        <v>322</v>
      </c>
      <c r="P16" s="92" t="s">
        <v>387</v>
      </c>
      <c r="Q16" s="91" t="s">
        <v>382</v>
      </c>
      <c r="R16" s="91" t="s">
        <v>322</v>
      </c>
      <c r="S16" s="91" t="s">
        <v>322</v>
      </c>
      <c r="T16" s="91" t="s">
        <v>382</v>
      </c>
      <c r="U16" s="91" t="s">
        <v>322</v>
      </c>
      <c r="V16" s="91" t="s">
        <v>322</v>
      </c>
      <c r="W16" s="91" t="s">
        <v>322</v>
      </c>
      <c r="X16" s="91" t="s">
        <v>322</v>
      </c>
      <c r="Y16" s="91" t="s">
        <v>382</v>
      </c>
      <c r="Z16" s="91" t="s">
        <v>322</v>
      </c>
      <c r="AA16" s="92" t="s">
        <v>382</v>
      </c>
    </row>
    <row r="17" spans="2:22">
      <c r="B17" s="75" t="s">
        <v>761</v>
      </c>
      <c r="E17" t="s">
        <v>736</v>
      </c>
      <c r="F17" t="s">
        <v>762</v>
      </c>
    </row>
    <row r="18" spans="2:22" hidden="1">
      <c r="B18" s="72" t="s">
        <v>763</v>
      </c>
      <c r="E18" t="s">
        <v>736</v>
      </c>
      <c r="F18" t="s">
        <v>764</v>
      </c>
    </row>
    <row r="19" spans="2:22" ht="13.15" hidden="1">
      <c r="B19" s="72" t="s">
        <v>765</v>
      </c>
      <c r="E19" t="s">
        <v>736</v>
      </c>
      <c r="F19" t="s">
        <v>766</v>
      </c>
      <c r="L19" s="93" t="s">
        <v>717</v>
      </c>
      <c r="M19" s="94" t="s">
        <v>736</v>
      </c>
      <c r="N19" s="94" t="s">
        <v>739</v>
      </c>
      <c r="O19" s="94" t="s">
        <v>721</v>
      </c>
      <c r="P19" s="94" t="s">
        <v>744</v>
      </c>
      <c r="Q19" s="94" t="s">
        <v>747</v>
      </c>
      <c r="R19" s="94" t="s">
        <v>750</v>
      </c>
      <c r="S19" s="94" t="s">
        <v>752</v>
      </c>
      <c r="T19" s="94" t="s">
        <v>305</v>
      </c>
      <c r="U19" s="94" t="s">
        <v>757</v>
      </c>
      <c r="V19" s="95" t="s">
        <v>760</v>
      </c>
    </row>
    <row r="20" spans="2:22" hidden="1">
      <c r="B20" s="72" t="s">
        <v>353</v>
      </c>
      <c r="E20" t="s">
        <v>736</v>
      </c>
      <c r="F20" t="s">
        <v>767</v>
      </c>
      <c r="L20" s="87" t="s">
        <v>718</v>
      </c>
      <c r="M20" t="s">
        <v>756</v>
      </c>
      <c r="N20" t="s">
        <v>768</v>
      </c>
      <c r="O20" t="s">
        <v>769</v>
      </c>
      <c r="P20" t="s">
        <v>770</v>
      </c>
      <c r="Q20" t="s">
        <v>771</v>
      </c>
      <c r="R20" t="s">
        <v>772</v>
      </c>
      <c r="S20" t="s">
        <v>773</v>
      </c>
      <c r="T20" t="s">
        <v>774</v>
      </c>
      <c r="U20" t="s">
        <v>775</v>
      </c>
      <c r="V20" s="88" t="s">
        <v>776</v>
      </c>
    </row>
    <row r="21" spans="2:22" hidden="1">
      <c r="B21" s="72" t="s">
        <v>360</v>
      </c>
      <c r="E21" t="s">
        <v>736</v>
      </c>
      <c r="F21" t="s">
        <v>777</v>
      </c>
      <c r="L21" s="87" t="s">
        <v>733</v>
      </c>
      <c r="M21" t="s">
        <v>759</v>
      </c>
      <c r="N21" t="s">
        <v>778</v>
      </c>
      <c r="O21" t="s">
        <v>779</v>
      </c>
      <c r="P21" t="s">
        <v>780</v>
      </c>
      <c r="Q21" t="s">
        <v>781</v>
      </c>
      <c r="R21" t="s">
        <v>782</v>
      </c>
      <c r="S21" t="s">
        <v>783</v>
      </c>
      <c r="T21" t="s">
        <v>784</v>
      </c>
      <c r="U21" t="s">
        <v>785</v>
      </c>
      <c r="V21" s="88" t="s">
        <v>786</v>
      </c>
    </row>
    <row r="22" spans="2:22" hidden="1">
      <c r="B22" s="72" t="s">
        <v>366</v>
      </c>
      <c r="E22" t="s">
        <v>736</v>
      </c>
      <c r="F22" t="s">
        <v>787</v>
      </c>
      <c r="L22" s="87" t="s">
        <v>734</v>
      </c>
      <c r="M22" t="s">
        <v>762</v>
      </c>
      <c r="N22" t="s">
        <v>788</v>
      </c>
      <c r="O22" t="s">
        <v>789</v>
      </c>
      <c r="P22" t="s">
        <v>790</v>
      </c>
      <c r="Q22" t="s">
        <v>791</v>
      </c>
      <c r="R22" t="s">
        <v>792</v>
      </c>
      <c r="S22" t="s">
        <v>793</v>
      </c>
      <c r="T22" t="s">
        <v>794</v>
      </c>
      <c r="U22" t="s">
        <v>795</v>
      </c>
      <c r="V22" s="88" t="s">
        <v>796</v>
      </c>
    </row>
    <row r="23" spans="2:22" hidden="1">
      <c r="B23" s="72" t="s">
        <v>373</v>
      </c>
      <c r="E23" t="s">
        <v>736</v>
      </c>
      <c r="F23" t="s">
        <v>797</v>
      </c>
      <c r="L23" s="87" t="s">
        <v>738</v>
      </c>
      <c r="M23" t="s">
        <v>764</v>
      </c>
      <c r="N23" t="s">
        <v>798</v>
      </c>
      <c r="O23" t="s">
        <v>799</v>
      </c>
      <c r="P23" t="s">
        <v>800</v>
      </c>
      <c r="Q23" t="s">
        <v>801</v>
      </c>
      <c r="R23" t="s">
        <v>802</v>
      </c>
      <c r="S23" t="s">
        <v>803</v>
      </c>
      <c r="T23" t="s">
        <v>804</v>
      </c>
      <c r="U23" t="s">
        <v>805</v>
      </c>
      <c r="V23" s="88" t="s">
        <v>806</v>
      </c>
    </row>
    <row r="24" spans="2:22" hidden="1">
      <c r="B24" s="74" t="s">
        <v>374</v>
      </c>
      <c r="E24" t="s">
        <v>736</v>
      </c>
      <c r="F24" t="s">
        <v>807</v>
      </c>
      <c r="L24" s="87" t="s">
        <v>741</v>
      </c>
      <c r="M24" t="s">
        <v>766</v>
      </c>
      <c r="N24" t="s">
        <v>808</v>
      </c>
      <c r="O24" t="s">
        <v>809</v>
      </c>
      <c r="P24" t="s">
        <v>810</v>
      </c>
      <c r="Q24" t="s">
        <v>811</v>
      </c>
      <c r="R24" t="s">
        <v>812</v>
      </c>
      <c r="S24" t="s">
        <v>813</v>
      </c>
      <c r="T24" t="s">
        <v>814</v>
      </c>
      <c r="U24" t="s">
        <v>815</v>
      </c>
      <c r="V24" s="88" t="s">
        <v>816</v>
      </c>
    </row>
    <row r="25" spans="2:22" hidden="1">
      <c r="E25" t="s">
        <v>736</v>
      </c>
      <c r="F25" t="s">
        <v>817</v>
      </c>
      <c r="L25" s="87" t="s">
        <v>743</v>
      </c>
      <c r="M25" t="s">
        <v>767</v>
      </c>
      <c r="N25" t="s">
        <v>818</v>
      </c>
      <c r="P25" t="s">
        <v>819</v>
      </c>
      <c r="Q25" t="s">
        <v>820</v>
      </c>
      <c r="R25" t="s">
        <v>821</v>
      </c>
      <c r="S25" t="s">
        <v>822</v>
      </c>
      <c r="T25" t="s">
        <v>823</v>
      </c>
      <c r="U25" t="s">
        <v>824</v>
      </c>
      <c r="V25" s="88"/>
    </row>
    <row r="26" spans="2:22" hidden="1">
      <c r="E26" t="s">
        <v>736</v>
      </c>
      <c r="F26" t="s">
        <v>825</v>
      </c>
      <c r="L26" s="87" t="s">
        <v>746</v>
      </c>
      <c r="M26" t="s">
        <v>777</v>
      </c>
      <c r="N26" t="s">
        <v>826</v>
      </c>
      <c r="P26" t="s">
        <v>827</v>
      </c>
      <c r="Q26" t="s">
        <v>828</v>
      </c>
      <c r="R26" t="s">
        <v>829</v>
      </c>
      <c r="S26" t="s">
        <v>830</v>
      </c>
      <c r="T26" t="s">
        <v>831</v>
      </c>
      <c r="U26" t="s">
        <v>832</v>
      </c>
      <c r="V26" s="88"/>
    </row>
    <row r="27" spans="2:22" hidden="1">
      <c r="E27" t="s">
        <v>736</v>
      </c>
      <c r="F27" t="s">
        <v>833</v>
      </c>
      <c r="L27" s="87" t="s">
        <v>749</v>
      </c>
      <c r="M27" t="s">
        <v>787</v>
      </c>
      <c r="N27" t="s">
        <v>834</v>
      </c>
      <c r="P27" t="s">
        <v>835</v>
      </c>
      <c r="Q27" t="s">
        <v>836</v>
      </c>
      <c r="R27" t="s">
        <v>837</v>
      </c>
      <c r="S27" t="s">
        <v>838</v>
      </c>
      <c r="T27" t="s">
        <v>839</v>
      </c>
      <c r="U27" t="s">
        <v>840</v>
      </c>
      <c r="V27" s="88"/>
    </row>
    <row r="28" spans="2:22" hidden="1">
      <c r="E28" t="s">
        <v>736</v>
      </c>
      <c r="F28" t="s">
        <v>841</v>
      </c>
      <c r="L28" s="87" t="s">
        <v>751</v>
      </c>
      <c r="M28" t="s">
        <v>797</v>
      </c>
      <c r="N28" t="s">
        <v>842</v>
      </c>
      <c r="P28" t="s">
        <v>843</v>
      </c>
      <c r="Q28" t="s">
        <v>844</v>
      </c>
      <c r="R28" t="s">
        <v>845</v>
      </c>
      <c r="S28" t="s">
        <v>846</v>
      </c>
      <c r="T28" t="s">
        <v>847</v>
      </c>
      <c r="V28" s="88"/>
    </row>
    <row r="29" spans="2:22" hidden="1">
      <c r="E29" t="s">
        <v>736</v>
      </c>
      <c r="F29" t="s">
        <v>848</v>
      </c>
      <c r="L29" s="90" t="s">
        <v>754</v>
      </c>
      <c r="M29" s="91" t="s">
        <v>807</v>
      </c>
      <c r="N29" s="91" t="s">
        <v>849</v>
      </c>
      <c r="O29" s="91"/>
      <c r="P29" s="91" t="s">
        <v>850</v>
      </c>
      <c r="Q29" s="91" t="s">
        <v>851</v>
      </c>
      <c r="R29" s="91" t="s">
        <v>852</v>
      </c>
      <c r="S29" s="91" t="s">
        <v>853</v>
      </c>
      <c r="T29" s="91" t="s">
        <v>854</v>
      </c>
      <c r="U29" s="91"/>
      <c r="V29" s="92"/>
    </row>
    <row r="30" spans="2:22" hidden="1">
      <c r="E30" t="s">
        <v>736</v>
      </c>
      <c r="F30" t="s">
        <v>855</v>
      </c>
      <c r="M30" t="s">
        <v>817</v>
      </c>
      <c r="N30" t="s">
        <v>856</v>
      </c>
      <c r="P30" t="s">
        <v>857</v>
      </c>
      <c r="R30" t="s">
        <v>858</v>
      </c>
      <c r="S30" t="s">
        <v>859</v>
      </c>
      <c r="T30" t="s">
        <v>860</v>
      </c>
    </row>
    <row r="31" spans="2:22" hidden="1">
      <c r="E31" t="s">
        <v>736</v>
      </c>
      <c r="F31" t="s">
        <v>861</v>
      </c>
      <c r="M31" t="s">
        <v>825</v>
      </c>
      <c r="N31" t="s">
        <v>862</v>
      </c>
      <c r="P31" t="s">
        <v>863</v>
      </c>
      <c r="R31" t="s">
        <v>864</v>
      </c>
      <c r="S31" t="s">
        <v>865</v>
      </c>
    </row>
    <row r="32" spans="2:22" hidden="1">
      <c r="E32" t="s">
        <v>736</v>
      </c>
      <c r="F32" t="s">
        <v>866</v>
      </c>
      <c r="M32" t="s">
        <v>833</v>
      </c>
      <c r="P32" t="s">
        <v>867</v>
      </c>
      <c r="R32" t="s">
        <v>868</v>
      </c>
      <c r="S32" t="s">
        <v>869</v>
      </c>
    </row>
    <row r="33" spans="5:18" hidden="1">
      <c r="E33" t="s">
        <v>736</v>
      </c>
      <c r="F33" t="s">
        <v>870</v>
      </c>
      <c r="M33" t="s">
        <v>841</v>
      </c>
      <c r="R33" t="s">
        <v>871</v>
      </c>
    </row>
    <row r="34" spans="5:18" hidden="1">
      <c r="E34" t="s">
        <v>736</v>
      </c>
      <c r="F34" t="s">
        <v>872</v>
      </c>
      <c r="M34" t="s">
        <v>848</v>
      </c>
      <c r="R34" t="s">
        <v>873</v>
      </c>
    </row>
    <row r="35" spans="5:18" hidden="1">
      <c r="E35" t="s">
        <v>739</v>
      </c>
      <c r="F35" t="s">
        <v>768</v>
      </c>
      <c r="M35" t="s">
        <v>855</v>
      </c>
      <c r="R35" t="s">
        <v>874</v>
      </c>
    </row>
    <row r="36" spans="5:18" hidden="1">
      <c r="E36" t="s">
        <v>739</v>
      </c>
      <c r="F36" t="s">
        <v>778</v>
      </c>
      <c r="M36" t="s">
        <v>861</v>
      </c>
      <c r="R36" t="s">
        <v>875</v>
      </c>
    </row>
    <row r="37" spans="5:18" hidden="1">
      <c r="E37" t="s">
        <v>739</v>
      </c>
      <c r="F37" t="s">
        <v>788</v>
      </c>
      <c r="M37" t="s">
        <v>866</v>
      </c>
    </row>
    <row r="38" spans="5:18" hidden="1">
      <c r="E38" t="s">
        <v>739</v>
      </c>
      <c r="F38" t="s">
        <v>798</v>
      </c>
      <c r="M38" t="s">
        <v>870</v>
      </c>
    </row>
    <row r="39" spans="5:18" hidden="1">
      <c r="E39" t="s">
        <v>739</v>
      </c>
      <c r="F39" t="s">
        <v>808</v>
      </c>
      <c r="M39" t="s">
        <v>872</v>
      </c>
    </row>
    <row r="40" spans="5:18" hidden="1">
      <c r="E40" t="s">
        <v>739</v>
      </c>
      <c r="F40" t="s">
        <v>818</v>
      </c>
    </row>
    <row r="41" spans="5:18" hidden="1">
      <c r="E41" t="s">
        <v>739</v>
      </c>
      <c r="F41" t="s">
        <v>826</v>
      </c>
    </row>
    <row r="42" spans="5:18">
      <c r="E42" t="s">
        <v>739</v>
      </c>
      <c r="F42" t="s">
        <v>834</v>
      </c>
    </row>
    <row r="43" spans="5:18">
      <c r="E43" t="s">
        <v>739</v>
      </c>
      <c r="F43" t="s">
        <v>842</v>
      </c>
    </row>
    <row r="44" spans="5:18">
      <c r="E44" t="s">
        <v>739</v>
      </c>
      <c r="F44" t="s">
        <v>849</v>
      </c>
    </row>
    <row r="45" spans="5:18">
      <c r="E45" t="s">
        <v>739</v>
      </c>
      <c r="F45" t="s">
        <v>856</v>
      </c>
    </row>
    <row r="46" spans="5:18">
      <c r="E46" t="s">
        <v>739</v>
      </c>
      <c r="F46" t="s">
        <v>862</v>
      </c>
    </row>
    <row r="47" spans="5:18">
      <c r="E47" t="s">
        <v>721</v>
      </c>
      <c r="F47" t="s">
        <v>769</v>
      </c>
    </row>
    <row r="48" spans="5:18">
      <c r="E48" t="s">
        <v>721</v>
      </c>
      <c r="F48" t="s">
        <v>779</v>
      </c>
    </row>
    <row r="49" spans="5:6">
      <c r="E49" t="s">
        <v>721</v>
      </c>
      <c r="F49" t="s">
        <v>789</v>
      </c>
    </row>
    <row r="50" spans="5:6">
      <c r="E50" t="s">
        <v>721</v>
      </c>
      <c r="F50" t="s">
        <v>799</v>
      </c>
    </row>
    <row r="51" spans="5:6">
      <c r="E51" t="s">
        <v>721</v>
      </c>
      <c r="F51" t="s">
        <v>809</v>
      </c>
    </row>
    <row r="52" spans="5:6">
      <c r="E52" t="s">
        <v>744</v>
      </c>
      <c r="F52" t="s">
        <v>770</v>
      </c>
    </row>
    <row r="53" spans="5:6">
      <c r="E53" t="s">
        <v>744</v>
      </c>
      <c r="F53" t="s">
        <v>780</v>
      </c>
    </row>
    <row r="54" spans="5:6">
      <c r="E54" t="s">
        <v>744</v>
      </c>
      <c r="F54" t="s">
        <v>790</v>
      </c>
    </row>
    <row r="55" spans="5:6">
      <c r="E55" t="s">
        <v>744</v>
      </c>
      <c r="F55" t="s">
        <v>800</v>
      </c>
    </row>
    <row r="56" spans="5:6">
      <c r="E56" t="s">
        <v>744</v>
      </c>
      <c r="F56" t="s">
        <v>810</v>
      </c>
    </row>
    <row r="57" spans="5:6">
      <c r="E57" t="s">
        <v>744</v>
      </c>
      <c r="F57" t="s">
        <v>819</v>
      </c>
    </row>
    <row r="58" spans="5:6">
      <c r="E58" t="s">
        <v>744</v>
      </c>
      <c r="F58" t="s">
        <v>827</v>
      </c>
    </row>
    <row r="59" spans="5:6">
      <c r="E59" t="s">
        <v>744</v>
      </c>
      <c r="F59" t="s">
        <v>835</v>
      </c>
    </row>
    <row r="60" spans="5:6">
      <c r="E60" t="s">
        <v>744</v>
      </c>
      <c r="F60" t="s">
        <v>843</v>
      </c>
    </row>
    <row r="61" spans="5:6">
      <c r="E61" t="s">
        <v>744</v>
      </c>
      <c r="F61" t="s">
        <v>850</v>
      </c>
    </row>
    <row r="62" spans="5:6">
      <c r="E62" t="s">
        <v>744</v>
      </c>
      <c r="F62" t="s">
        <v>857</v>
      </c>
    </row>
    <row r="63" spans="5:6">
      <c r="E63" t="s">
        <v>744</v>
      </c>
      <c r="F63" t="s">
        <v>863</v>
      </c>
    </row>
    <row r="64" spans="5:6">
      <c r="E64" t="s">
        <v>744</v>
      </c>
      <c r="F64" t="s">
        <v>867</v>
      </c>
    </row>
    <row r="65" spans="5:6">
      <c r="E65" t="s">
        <v>747</v>
      </c>
      <c r="F65" t="s">
        <v>771</v>
      </c>
    </row>
    <row r="66" spans="5:6">
      <c r="E66" t="s">
        <v>747</v>
      </c>
      <c r="F66" t="s">
        <v>781</v>
      </c>
    </row>
    <row r="67" spans="5:6">
      <c r="E67" t="s">
        <v>747</v>
      </c>
      <c r="F67" t="s">
        <v>791</v>
      </c>
    </row>
    <row r="68" spans="5:6">
      <c r="E68" t="s">
        <v>747</v>
      </c>
      <c r="F68" t="s">
        <v>801</v>
      </c>
    </row>
    <row r="69" spans="5:6">
      <c r="E69" t="s">
        <v>747</v>
      </c>
      <c r="F69" t="s">
        <v>811</v>
      </c>
    </row>
    <row r="70" spans="5:6">
      <c r="E70" t="s">
        <v>747</v>
      </c>
      <c r="F70" t="s">
        <v>820</v>
      </c>
    </row>
    <row r="71" spans="5:6">
      <c r="E71" t="s">
        <v>747</v>
      </c>
      <c r="F71" t="s">
        <v>828</v>
      </c>
    </row>
    <row r="72" spans="5:6">
      <c r="E72" t="s">
        <v>747</v>
      </c>
      <c r="F72" t="s">
        <v>836</v>
      </c>
    </row>
    <row r="73" spans="5:6">
      <c r="E73" t="s">
        <v>747</v>
      </c>
      <c r="F73" t="s">
        <v>844</v>
      </c>
    </row>
    <row r="74" spans="5:6">
      <c r="E74" t="s">
        <v>747</v>
      </c>
      <c r="F74" t="s">
        <v>851</v>
      </c>
    </row>
    <row r="75" spans="5:6">
      <c r="E75" t="s">
        <v>750</v>
      </c>
      <c r="F75" t="s">
        <v>772</v>
      </c>
    </row>
    <row r="76" spans="5:6">
      <c r="E76" t="s">
        <v>750</v>
      </c>
      <c r="F76" t="s">
        <v>782</v>
      </c>
    </row>
    <row r="77" spans="5:6">
      <c r="E77" t="s">
        <v>750</v>
      </c>
      <c r="F77" t="s">
        <v>792</v>
      </c>
    </row>
    <row r="78" spans="5:6">
      <c r="E78" t="s">
        <v>750</v>
      </c>
      <c r="F78" t="s">
        <v>802</v>
      </c>
    </row>
    <row r="79" spans="5:6">
      <c r="E79" t="s">
        <v>750</v>
      </c>
      <c r="F79" t="s">
        <v>812</v>
      </c>
    </row>
    <row r="80" spans="5:6">
      <c r="E80" t="s">
        <v>750</v>
      </c>
      <c r="F80" t="s">
        <v>821</v>
      </c>
    </row>
    <row r="81" spans="5:6">
      <c r="E81" t="s">
        <v>750</v>
      </c>
      <c r="F81" t="s">
        <v>829</v>
      </c>
    </row>
    <row r="82" spans="5:6">
      <c r="E82" t="s">
        <v>750</v>
      </c>
      <c r="F82" t="s">
        <v>837</v>
      </c>
    </row>
    <row r="83" spans="5:6">
      <c r="E83" t="s">
        <v>750</v>
      </c>
      <c r="F83" t="s">
        <v>845</v>
      </c>
    </row>
    <row r="84" spans="5:6">
      <c r="E84" t="s">
        <v>750</v>
      </c>
      <c r="F84" t="s">
        <v>852</v>
      </c>
    </row>
    <row r="85" spans="5:6">
      <c r="E85" t="s">
        <v>750</v>
      </c>
      <c r="F85" t="s">
        <v>858</v>
      </c>
    </row>
    <row r="86" spans="5:6">
      <c r="E86" t="s">
        <v>750</v>
      </c>
      <c r="F86" t="s">
        <v>864</v>
      </c>
    </row>
    <row r="87" spans="5:6">
      <c r="E87" t="s">
        <v>750</v>
      </c>
      <c r="F87" t="s">
        <v>868</v>
      </c>
    </row>
    <row r="88" spans="5:6">
      <c r="E88" t="s">
        <v>750</v>
      </c>
      <c r="F88" t="s">
        <v>871</v>
      </c>
    </row>
    <row r="89" spans="5:6">
      <c r="E89" t="s">
        <v>750</v>
      </c>
      <c r="F89" t="s">
        <v>873</v>
      </c>
    </row>
    <row r="90" spans="5:6">
      <c r="E90" t="s">
        <v>750</v>
      </c>
      <c r="F90" t="s">
        <v>874</v>
      </c>
    </row>
    <row r="91" spans="5:6">
      <c r="E91" t="s">
        <v>750</v>
      </c>
      <c r="F91" t="s">
        <v>875</v>
      </c>
    </row>
    <row r="92" spans="5:6">
      <c r="E92" t="s">
        <v>752</v>
      </c>
      <c r="F92" t="s">
        <v>773</v>
      </c>
    </row>
    <row r="93" spans="5:6">
      <c r="E93" t="s">
        <v>752</v>
      </c>
      <c r="F93" t="s">
        <v>783</v>
      </c>
    </row>
    <row r="94" spans="5:6">
      <c r="E94" t="s">
        <v>752</v>
      </c>
      <c r="F94" t="s">
        <v>793</v>
      </c>
    </row>
    <row r="95" spans="5:6">
      <c r="E95" t="s">
        <v>752</v>
      </c>
      <c r="F95" t="s">
        <v>803</v>
      </c>
    </row>
    <row r="96" spans="5:6">
      <c r="E96" t="s">
        <v>752</v>
      </c>
      <c r="F96" t="s">
        <v>813</v>
      </c>
    </row>
    <row r="97" spans="5:6">
      <c r="E97" t="s">
        <v>752</v>
      </c>
      <c r="F97" t="s">
        <v>822</v>
      </c>
    </row>
    <row r="98" spans="5:6">
      <c r="E98" t="s">
        <v>752</v>
      </c>
      <c r="F98" t="s">
        <v>830</v>
      </c>
    </row>
    <row r="99" spans="5:6">
      <c r="E99" t="s">
        <v>752</v>
      </c>
      <c r="F99" t="s">
        <v>838</v>
      </c>
    </row>
    <row r="100" spans="5:6">
      <c r="E100" t="s">
        <v>752</v>
      </c>
      <c r="F100" t="s">
        <v>846</v>
      </c>
    </row>
    <row r="101" spans="5:6">
      <c r="E101" t="s">
        <v>752</v>
      </c>
      <c r="F101" t="s">
        <v>853</v>
      </c>
    </row>
    <row r="102" spans="5:6">
      <c r="E102" t="s">
        <v>752</v>
      </c>
      <c r="F102" t="s">
        <v>859</v>
      </c>
    </row>
    <row r="103" spans="5:6">
      <c r="E103" t="s">
        <v>752</v>
      </c>
      <c r="F103" t="s">
        <v>865</v>
      </c>
    </row>
    <row r="104" spans="5:6">
      <c r="E104" t="s">
        <v>752</v>
      </c>
      <c r="F104" t="s">
        <v>869</v>
      </c>
    </row>
    <row r="105" spans="5:6">
      <c r="E105" t="s">
        <v>305</v>
      </c>
      <c r="F105" t="s">
        <v>774</v>
      </c>
    </row>
    <row r="106" spans="5:6">
      <c r="E106" t="s">
        <v>305</v>
      </c>
      <c r="F106" t="s">
        <v>784</v>
      </c>
    </row>
    <row r="107" spans="5:6">
      <c r="E107" t="s">
        <v>305</v>
      </c>
      <c r="F107" t="s">
        <v>794</v>
      </c>
    </row>
    <row r="108" spans="5:6">
      <c r="E108" t="s">
        <v>305</v>
      </c>
      <c r="F108" t="s">
        <v>804</v>
      </c>
    </row>
    <row r="109" spans="5:6">
      <c r="E109" t="s">
        <v>305</v>
      </c>
      <c r="F109" t="s">
        <v>814</v>
      </c>
    </row>
    <row r="110" spans="5:6">
      <c r="E110" t="s">
        <v>305</v>
      </c>
      <c r="F110" t="s">
        <v>823</v>
      </c>
    </row>
    <row r="111" spans="5:6">
      <c r="E111" t="s">
        <v>305</v>
      </c>
      <c r="F111" t="s">
        <v>831</v>
      </c>
    </row>
    <row r="112" spans="5:6">
      <c r="E112" t="s">
        <v>305</v>
      </c>
      <c r="F112" t="s">
        <v>839</v>
      </c>
    </row>
    <row r="113" spans="5:6">
      <c r="E113" t="s">
        <v>305</v>
      </c>
      <c r="F113" t="s">
        <v>847</v>
      </c>
    </row>
    <row r="114" spans="5:6">
      <c r="E114" t="s">
        <v>305</v>
      </c>
      <c r="F114" t="s">
        <v>854</v>
      </c>
    </row>
    <row r="115" spans="5:6">
      <c r="E115" t="s">
        <v>305</v>
      </c>
      <c r="F115" t="s">
        <v>860</v>
      </c>
    </row>
    <row r="116" spans="5:6">
      <c r="E116" t="s">
        <v>757</v>
      </c>
      <c r="F116" t="s">
        <v>775</v>
      </c>
    </row>
    <row r="117" spans="5:6">
      <c r="E117" t="s">
        <v>757</v>
      </c>
      <c r="F117" t="s">
        <v>785</v>
      </c>
    </row>
    <row r="118" spans="5:6">
      <c r="E118" t="s">
        <v>757</v>
      </c>
      <c r="F118" t="s">
        <v>795</v>
      </c>
    </row>
    <row r="119" spans="5:6">
      <c r="E119" t="s">
        <v>757</v>
      </c>
      <c r="F119" t="s">
        <v>805</v>
      </c>
    </row>
    <row r="120" spans="5:6">
      <c r="E120" t="s">
        <v>757</v>
      </c>
      <c r="F120" t="s">
        <v>815</v>
      </c>
    </row>
    <row r="121" spans="5:6">
      <c r="E121" t="s">
        <v>757</v>
      </c>
      <c r="F121" t="s">
        <v>824</v>
      </c>
    </row>
    <row r="122" spans="5:6">
      <c r="E122" t="s">
        <v>757</v>
      </c>
      <c r="F122" t="s">
        <v>832</v>
      </c>
    </row>
    <row r="123" spans="5:6">
      <c r="E123" t="s">
        <v>757</v>
      </c>
      <c r="F123" t="s">
        <v>840</v>
      </c>
    </row>
    <row r="124" spans="5:6">
      <c r="E124" t="s">
        <v>760</v>
      </c>
      <c r="F124" t="s">
        <v>776</v>
      </c>
    </row>
    <row r="125" spans="5:6">
      <c r="E125" t="s">
        <v>760</v>
      </c>
      <c r="F125" t="s">
        <v>786</v>
      </c>
    </row>
    <row r="126" spans="5:6">
      <c r="E126" t="s">
        <v>760</v>
      </c>
      <c r="F126" t="s">
        <v>796</v>
      </c>
    </row>
    <row r="127" spans="5:6">
      <c r="E127" t="s">
        <v>760</v>
      </c>
      <c r="F127" t="s">
        <v>806</v>
      </c>
    </row>
    <row r="128" spans="5:6">
      <c r="E128" t="s">
        <v>760</v>
      </c>
      <c r="F128" t="s">
        <v>816</v>
      </c>
    </row>
  </sheetData>
  <mergeCells count="3">
    <mergeCell ref="K2:K3"/>
    <mergeCell ref="L2:P2"/>
    <mergeCell ref="Q2:AA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BT112"/>
  <sheetViews>
    <sheetView topLeftCell="A5" zoomScale="99" zoomScaleNormal="115" workbookViewId="0">
      <selection activeCell="B5" sqref="B5"/>
    </sheetView>
  </sheetViews>
  <sheetFormatPr defaultColWidth="10.42578125" defaultRowHeight="13.5"/>
  <cols>
    <col min="1" max="1" width="56" style="19" customWidth="1"/>
    <col min="2" max="5" width="13.42578125" style="19" customWidth="1"/>
    <col min="6" max="6" width="13.140625" style="19" customWidth="1"/>
    <col min="7" max="9" width="13.85546875" style="19" customWidth="1"/>
    <col min="10" max="10" width="14.140625" style="19" customWidth="1"/>
    <col min="11" max="11" width="15.140625" style="21" customWidth="1"/>
    <col min="12" max="12" width="17" style="21" customWidth="1"/>
    <col min="13" max="13" width="14.140625" style="19" customWidth="1"/>
    <col min="14" max="14" width="21.42578125" style="19" bestFit="1" customWidth="1"/>
    <col min="15" max="15" width="32.140625" style="19" customWidth="1"/>
    <col min="16" max="16" width="11.42578125" style="19" customWidth="1"/>
    <col min="17" max="23" width="0" style="19" hidden="1" customWidth="1"/>
    <col min="24" max="24" width="15.42578125" style="19" bestFit="1" customWidth="1"/>
    <col min="25" max="25" width="17.42578125" style="19" bestFit="1" customWidth="1"/>
    <col min="26" max="33" width="0" style="19" hidden="1" customWidth="1"/>
    <col min="34" max="16384" width="10.42578125" style="19"/>
  </cols>
  <sheetData>
    <row r="1" spans="1:33">
      <c r="A1"/>
      <c r="B1">
        <v>26899.107</v>
      </c>
      <c r="C1">
        <v>29009.187000000002</v>
      </c>
      <c r="D1"/>
      <c r="E1"/>
      <c r="F1"/>
      <c r="G1"/>
      <c r="H1"/>
      <c r="I1"/>
      <c r="J1"/>
      <c r="K1"/>
      <c r="L1"/>
      <c r="M1"/>
      <c r="N1"/>
      <c r="O1"/>
    </row>
    <row r="2" spans="1:33">
      <c r="A2"/>
      <c r="B2"/>
      <c r="C2"/>
      <c r="D2"/>
      <c r="G2" s="1665" t="s">
        <v>876</v>
      </c>
      <c r="H2" s="1665"/>
      <c r="I2" s="1665"/>
      <c r="J2" s="1665"/>
      <c r="K2" s="22"/>
      <c r="L2" s="22"/>
      <c r="M2" s="22"/>
      <c r="N2" s="22"/>
      <c r="O2" s="22"/>
    </row>
    <row r="3" spans="1:33">
      <c r="A3"/>
      <c r="B3" s="892">
        <f>B6-B1</f>
        <v>7814.893</v>
      </c>
      <c r="C3" s="892">
        <f t="shared" ref="C3" si="0">C6-C1</f>
        <v>12502.812999999998</v>
      </c>
      <c r="D3">
        <v>12502.812999999998</v>
      </c>
      <c r="G3" s="19" t="s">
        <v>877</v>
      </c>
      <c r="H3" s="19" t="e" vm="1">
        <v>#VALUE!</v>
      </c>
      <c r="M3"/>
      <c r="N3"/>
      <c r="O3"/>
    </row>
    <row r="4" spans="1:33">
      <c r="D4" s="1665" t="s">
        <v>878</v>
      </c>
      <c r="E4" s="1665"/>
      <c r="F4" s="1665"/>
      <c r="G4" s="1665"/>
      <c r="H4" s="1665"/>
      <c r="I4" s="1665"/>
      <c r="J4" s="1665"/>
      <c r="K4" s="1665"/>
      <c r="L4" s="1665"/>
      <c r="M4" s="1665"/>
      <c r="N4"/>
      <c r="O4"/>
    </row>
    <row r="5" spans="1:33" ht="13.9">
      <c r="A5" s="45" t="s">
        <v>879</v>
      </c>
      <c r="B5" s="716">
        <v>2023</v>
      </c>
      <c r="C5" s="716">
        <f>B5-1</f>
        <v>2022</v>
      </c>
      <c r="D5" s="716">
        <f t="shared" ref="D5:M5" si="1">C5-1</f>
        <v>2021</v>
      </c>
      <c r="E5" s="716">
        <f t="shared" si="1"/>
        <v>2020</v>
      </c>
      <c r="F5" s="716">
        <f t="shared" si="1"/>
        <v>2019</v>
      </c>
      <c r="G5" s="716">
        <f t="shared" si="1"/>
        <v>2018</v>
      </c>
      <c r="H5" s="716">
        <f t="shared" si="1"/>
        <v>2017</v>
      </c>
      <c r="I5" s="716">
        <f t="shared" si="1"/>
        <v>2016</v>
      </c>
      <c r="J5" s="716">
        <f t="shared" si="1"/>
        <v>2015</v>
      </c>
      <c r="K5" s="716">
        <f t="shared" si="1"/>
        <v>2014</v>
      </c>
      <c r="L5" s="716">
        <f t="shared" si="1"/>
        <v>2013</v>
      </c>
      <c r="M5" s="716">
        <f t="shared" si="1"/>
        <v>2012</v>
      </c>
      <c r="N5"/>
      <c r="O5" t="s">
        <v>880</v>
      </c>
      <c r="Q5" s="9" t="s">
        <v>881</v>
      </c>
      <c r="R5" s="1666" t="s">
        <v>882</v>
      </c>
      <c r="S5" s="1666"/>
      <c r="T5" s="19" t="s">
        <v>883</v>
      </c>
      <c r="Z5" s="45">
        <v>2016</v>
      </c>
      <c r="AA5" s="45">
        <v>2015</v>
      </c>
      <c r="AB5" s="45">
        <v>2014</v>
      </c>
      <c r="AC5" s="45">
        <v>2013</v>
      </c>
      <c r="AD5" s="45">
        <v>2012</v>
      </c>
      <c r="AE5" s="45">
        <v>2011</v>
      </c>
      <c r="AF5" s="45">
        <v>2010</v>
      </c>
      <c r="AG5" s="45">
        <v>2009</v>
      </c>
    </row>
    <row r="6" spans="1:33" ht="15">
      <c r="A6" s="23" t="s">
        <v>123</v>
      </c>
      <c r="B6" s="1266">
        <v>34714</v>
      </c>
      <c r="C6" s="1266">
        <v>41512</v>
      </c>
      <c r="D6" s="1266">
        <v>36484</v>
      </c>
      <c r="E6" s="1266">
        <v>20140</v>
      </c>
      <c r="F6" s="1266">
        <v>22588.858</v>
      </c>
      <c r="G6" s="1266">
        <v>25067.278999999999</v>
      </c>
      <c r="H6" s="1266">
        <v>20252.393</v>
      </c>
      <c r="I6" s="1266">
        <v>16208.121999999999</v>
      </c>
      <c r="J6" s="1266">
        <v>16439.276000000002</v>
      </c>
      <c r="K6" s="1266">
        <v>21105.141</v>
      </c>
      <c r="L6" s="1266">
        <v>19052.045999999998</v>
      </c>
      <c r="M6" s="1266">
        <v>19429</v>
      </c>
      <c r="N6" s="708"/>
      <c r="O6" s="704"/>
      <c r="P6" s="704"/>
      <c r="Q6" s="19" t="s">
        <v>884</v>
      </c>
      <c r="R6" s="19" t="s">
        <v>884</v>
      </c>
      <c r="X6" s="26"/>
      <c r="Y6" s="26"/>
      <c r="Z6" s="24">
        <v>38537</v>
      </c>
      <c r="AA6" s="24">
        <v>47011</v>
      </c>
      <c r="AB6" s="24">
        <v>55184</v>
      </c>
      <c r="AC6" s="24">
        <v>55656</v>
      </c>
      <c r="AD6" s="24">
        <v>65875</v>
      </c>
      <c r="AE6" s="24">
        <v>60138</v>
      </c>
      <c r="AF6" s="24">
        <v>42588</v>
      </c>
      <c r="AG6" s="24">
        <v>32396</v>
      </c>
    </row>
    <row r="7" spans="1:33" ht="15">
      <c r="A7" s="23" t="s">
        <v>519</v>
      </c>
      <c r="B7" s="1266">
        <v>7814.4</v>
      </c>
      <c r="C7" s="1266">
        <v>12503.28</v>
      </c>
      <c r="D7" s="1266">
        <v>11025.41</v>
      </c>
      <c r="E7" s="1266">
        <v>2227.9499999999998</v>
      </c>
      <c r="F7" s="1266">
        <v>2679.09</v>
      </c>
      <c r="G7" s="1266">
        <v>4295</v>
      </c>
      <c r="H7" s="1266">
        <v>2570</v>
      </c>
      <c r="I7" s="1266">
        <v>2026</v>
      </c>
      <c r="J7" s="1266">
        <v>1114</v>
      </c>
      <c r="K7" s="1266">
        <v>1849</v>
      </c>
      <c r="L7" s="1266">
        <v>1411</v>
      </c>
      <c r="M7" s="1266">
        <v>1513.54</v>
      </c>
      <c r="N7" s="709"/>
      <c r="O7" s="706"/>
      <c r="P7" s="706"/>
      <c r="Q7" s="19" t="s">
        <v>884</v>
      </c>
      <c r="R7" s="19" t="s">
        <v>885</v>
      </c>
      <c r="Z7" s="28">
        <f>Z6-28044</f>
        <v>10493</v>
      </c>
      <c r="AA7" s="28">
        <f>AA6-33546</f>
        <v>13465</v>
      </c>
      <c r="AB7" s="28">
        <f>AB6-40718</f>
        <v>14466</v>
      </c>
      <c r="AC7" s="28">
        <f>AC6-40727</f>
        <v>14929</v>
      </c>
      <c r="AD7" s="29">
        <f>+AD6-47055</f>
        <v>18820</v>
      </c>
      <c r="AE7" s="29">
        <f>+AE6-43578</f>
        <v>16560</v>
      </c>
      <c r="AF7" s="29">
        <f>+AF6-30367</f>
        <v>12221</v>
      </c>
      <c r="AG7" s="29">
        <f>+AG6-23886</f>
        <v>8510</v>
      </c>
    </row>
    <row r="8" spans="1:33" ht="15">
      <c r="A8" s="23" t="s">
        <v>289</v>
      </c>
      <c r="B8" s="1266">
        <v>6230.4</v>
      </c>
      <c r="C8" s="1266">
        <v>10506.28</v>
      </c>
      <c r="D8" s="1266">
        <v>9318.41</v>
      </c>
      <c r="E8" s="1266">
        <v>1612.9499999999998</v>
      </c>
      <c r="F8" s="1266">
        <v>1968.0900000000001</v>
      </c>
      <c r="G8" s="1266">
        <v>3434</v>
      </c>
      <c r="H8" s="1266">
        <v>1882</v>
      </c>
      <c r="I8" s="1266">
        <v>1429</v>
      </c>
      <c r="J8" s="1266">
        <v>655</v>
      </c>
      <c r="K8" s="1266">
        <v>1328</v>
      </c>
      <c r="L8" s="1266">
        <v>943</v>
      </c>
      <c r="M8" s="1266">
        <v>1076.54</v>
      </c>
      <c r="N8" s="709"/>
      <c r="O8" s="706"/>
      <c r="P8" s="707"/>
      <c r="Q8" s="19" t="s">
        <v>884</v>
      </c>
      <c r="R8" s="30" t="s">
        <v>886</v>
      </c>
      <c r="Z8" s="28">
        <f>Z7-4383</f>
        <v>6110</v>
      </c>
      <c r="AA8" s="28">
        <f>AA7-4951</f>
        <v>8514</v>
      </c>
      <c r="AB8" s="28">
        <f>AB7-6529</f>
        <v>7937</v>
      </c>
      <c r="AC8" s="28">
        <f>AC7-5547</f>
        <v>9382</v>
      </c>
      <c r="AD8" s="29">
        <f>AD7-5919-2466-797-580-485</f>
        <v>8573</v>
      </c>
      <c r="AE8" s="29">
        <f>+AE7-5203-2297-826-1081</f>
        <v>7153</v>
      </c>
      <c r="AF8" s="29">
        <f>+AF7-4248-1905-914-1191</f>
        <v>3963</v>
      </c>
      <c r="AG8" s="29">
        <f>+AG7-3645-1421-1045-1822</f>
        <v>577</v>
      </c>
    </row>
    <row r="9" spans="1:33" ht="15">
      <c r="A9" s="23" t="s">
        <v>887</v>
      </c>
      <c r="B9" s="1267">
        <f>-12.783</f>
        <v>-12.782999999999999</v>
      </c>
      <c r="C9" s="1267">
        <f>-10.714+101.756</f>
        <v>91.042000000000002</v>
      </c>
      <c r="D9" s="1267">
        <f>-103.068+62.161</f>
        <v>-40.906999999999996</v>
      </c>
      <c r="E9" s="1267">
        <f>10.533+613.64</f>
        <v>624.173</v>
      </c>
      <c r="F9" s="1267">
        <f>-3.311+66.916</f>
        <v>63.604999999999997</v>
      </c>
      <c r="G9" s="1267">
        <f>-40.24+110</f>
        <v>69.759999999999991</v>
      </c>
      <c r="H9" s="1267">
        <f>-41.661</f>
        <v>-41.661000000000001</v>
      </c>
      <c r="I9" s="1267">
        <v>-38.756999999999998</v>
      </c>
      <c r="J9" s="1267">
        <f>-5.329+244.833</f>
        <v>239.50399999999999</v>
      </c>
      <c r="K9" s="1267">
        <f>-13.505+25.393</f>
        <v>11.888</v>
      </c>
      <c r="L9" s="1267">
        <f>-9.297+14</f>
        <v>4.7029999999999994</v>
      </c>
      <c r="M9" s="1267">
        <f>13.323+47.563</f>
        <v>60.886000000000003</v>
      </c>
      <c r="N9" s="25" t="s">
        <v>888</v>
      </c>
      <c r="O9" t="s">
        <v>889</v>
      </c>
      <c r="P9"/>
      <c r="Q9" s="19" t="s">
        <v>884</v>
      </c>
      <c r="R9" s="19" t="s">
        <v>890</v>
      </c>
      <c r="S9" s="19" t="s">
        <v>891</v>
      </c>
      <c r="T9" s="19" t="s">
        <v>892</v>
      </c>
      <c r="U9" s="19" t="s">
        <v>893</v>
      </c>
      <c r="V9" s="19" t="s">
        <v>894</v>
      </c>
      <c r="Z9" s="28">
        <f>1853+596+595+1904+6+8</f>
        <v>4962</v>
      </c>
      <c r="AA9" s="28">
        <f>2119+587+2023+11</f>
        <v>4740</v>
      </c>
      <c r="AB9" s="28">
        <f>2380+624+1619-8+16</f>
        <v>4631</v>
      </c>
      <c r="AC9" s="28">
        <f>2046+727+981+6+14</f>
        <v>3774</v>
      </c>
      <c r="AD9" s="29">
        <f>-14+41</f>
        <v>27</v>
      </c>
      <c r="AE9" s="28">
        <v>53</v>
      </c>
      <c r="AF9" s="28">
        <f>58+24</f>
        <v>82</v>
      </c>
      <c r="AG9" s="28">
        <f>12-68</f>
        <v>-56</v>
      </c>
    </row>
    <row r="10" spans="1:33" ht="15">
      <c r="A10" s="23" t="s">
        <v>290</v>
      </c>
      <c r="B10" s="1267">
        <v>29.632000000000001</v>
      </c>
      <c r="C10" s="1267">
        <v>-170.21600000000001</v>
      </c>
      <c r="D10" s="1267">
        <v>-158.85400000000001</v>
      </c>
      <c r="E10" s="1267">
        <v>-153.19800000000001</v>
      </c>
      <c r="F10" s="1267">
        <v>-121.425</v>
      </c>
      <c r="G10" s="1267">
        <v>-135.535</v>
      </c>
      <c r="H10" s="1268">
        <v>-173.58</v>
      </c>
      <c r="I10" s="1269">
        <v>-169.244</v>
      </c>
      <c r="J10" s="1267">
        <v>-173.53100000000001</v>
      </c>
      <c r="K10" s="1267">
        <v>-169.256</v>
      </c>
      <c r="L10" s="1267">
        <v>-146.89500000000001</v>
      </c>
      <c r="M10" s="1267">
        <v>-162.375</v>
      </c>
      <c r="N10" s="25" t="s">
        <v>888</v>
      </c>
      <c r="O10" t="s">
        <v>895</v>
      </c>
      <c r="P10"/>
      <c r="Q10" s="19" t="s">
        <v>884</v>
      </c>
      <c r="R10" s="19" t="s">
        <v>896</v>
      </c>
      <c r="Z10" s="28">
        <f>505+518</f>
        <v>1023</v>
      </c>
      <c r="AA10" s="28">
        <f>507-161</f>
        <v>346</v>
      </c>
      <c r="AB10" s="28">
        <f>484-322</f>
        <v>162</v>
      </c>
      <c r="AC10" s="28">
        <f>465+35</f>
        <v>500</v>
      </c>
      <c r="AD10" s="29">
        <f>467-130</f>
        <v>337</v>
      </c>
      <c r="AE10" s="28">
        <f>396+32</f>
        <v>428</v>
      </c>
      <c r="AF10" s="28">
        <f>343-130</f>
        <v>213</v>
      </c>
      <c r="AG10" s="28">
        <f>389-381</f>
        <v>8</v>
      </c>
    </row>
    <row r="11" spans="1:33" ht="15">
      <c r="A11" s="23" t="s">
        <v>291</v>
      </c>
      <c r="B11" s="1267">
        <v>-1359.9659999999999</v>
      </c>
      <c r="C11" s="1267">
        <v>-2165.2040000000002</v>
      </c>
      <c r="D11" s="1267">
        <v>-2078.4879999999998</v>
      </c>
      <c r="E11" s="1267">
        <v>0.49</v>
      </c>
      <c r="F11" s="1267">
        <v>-411.89699999999999</v>
      </c>
      <c r="G11" s="1267">
        <v>-748.30700000000002</v>
      </c>
      <c r="H11" s="1268">
        <v>-369.38600000000002</v>
      </c>
      <c r="I11" s="1269">
        <v>-398.24299999999999</v>
      </c>
      <c r="J11" s="1267">
        <v>-48.835999999999999</v>
      </c>
      <c r="K11" s="1267">
        <v>-368.72399999999999</v>
      </c>
      <c r="L11" s="1267">
        <v>-205.59399999999999</v>
      </c>
      <c r="M11" s="1267">
        <v>-259.81400000000002</v>
      </c>
      <c r="N11" s="25" t="s">
        <v>888</v>
      </c>
      <c r="O11" t="s">
        <v>291</v>
      </c>
      <c r="P11"/>
      <c r="Q11" s="19" t="s">
        <v>884</v>
      </c>
      <c r="R11" s="19" t="s">
        <v>897</v>
      </c>
      <c r="Z11" s="24">
        <v>192</v>
      </c>
      <c r="AA11" s="24">
        <v>916</v>
      </c>
      <c r="AB11" s="24">
        <v>692</v>
      </c>
      <c r="AC11" s="24">
        <v>1319</v>
      </c>
      <c r="AD11" s="27">
        <f>2528</f>
        <v>2528</v>
      </c>
      <c r="AE11" s="24">
        <f>1720</f>
        <v>1720</v>
      </c>
      <c r="AF11" s="24">
        <f>968</f>
        <v>968</v>
      </c>
      <c r="AG11" s="24">
        <f>-270</f>
        <v>-270</v>
      </c>
    </row>
    <row r="12" spans="1:33" ht="15">
      <c r="A12" s="23" t="s">
        <v>67</v>
      </c>
      <c r="B12" s="1266">
        <f>(B8-B9)+B10+B11-388</f>
        <v>4524.8490000000002</v>
      </c>
      <c r="C12" s="1266">
        <f>(C8-C9)+C10+C11-472</f>
        <v>7607.8180000000011</v>
      </c>
      <c r="D12" s="1266">
        <f>(D8-D9)+D10+D11-295</f>
        <v>6826.9750000000004</v>
      </c>
      <c r="E12" s="1266">
        <f>(E8-E9)+E10+E11-115</f>
        <v>721.06899999999985</v>
      </c>
      <c r="F12" s="1266">
        <f>(F8-F9)+F10+F11-100</f>
        <v>1271.1630000000002</v>
      </c>
      <c r="G12" s="1266">
        <f>(G8-G9)+G10+G11-120</f>
        <v>2360.3980000000001</v>
      </c>
      <c r="H12" s="1266">
        <f>(H8-H9)+H10+H11-62</f>
        <v>1318.6950000000002</v>
      </c>
      <c r="I12" s="1266">
        <f>(I8-I9)+I10+I11-104</f>
        <v>796.27000000000021</v>
      </c>
      <c r="J12" s="1266">
        <f>(J8-J9)+J10+J11-112</f>
        <v>81.128999999999962</v>
      </c>
      <c r="K12" s="1266">
        <f>(K8-K9)+K10+K11-99</f>
        <v>679.13200000000006</v>
      </c>
      <c r="L12" s="1266">
        <f>(L8-L9)+L10+L11-98</f>
        <v>487.80799999999999</v>
      </c>
      <c r="M12" s="1266">
        <f>(M8-M9)+M10+M11-89</f>
        <v>504.46499999999992</v>
      </c>
      <c r="N12" s="25" t="s">
        <v>888</v>
      </c>
      <c r="O12" t="s">
        <v>67</v>
      </c>
      <c r="P12"/>
      <c r="Q12" s="19" t="s">
        <v>898</v>
      </c>
      <c r="R12" s="19" t="s">
        <v>899</v>
      </c>
      <c r="Z12" s="24">
        <v>-67</v>
      </c>
      <c r="AA12" s="24">
        <v>2512</v>
      </c>
      <c r="AB12" s="24">
        <v>2452</v>
      </c>
      <c r="AC12" s="24">
        <v>3789</v>
      </c>
      <c r="AD12" s="24">
        <v>5681</v>
      </c>
      <c r="AE12" s="24">
        <f>4928+24</f>
        <v>4952</v>
      </c>
      <c r="AF12" s="24">
        <v>2700</v>
      </c>
      <c r="AG12" s="24">
        <v>895</v>
      </c>
    </row>
    <row r="13" spans="1:33">
      <c r="B13" s="352">
        <v>4524.8070000000007</v>
      </c>
      <c r="C13" s="352">
        <v>7607.3370000000014</v>
      </c>
      <c r="D13" s="352">
        <v>6827.4570000000003</v>
      </c>
      <c r="E13" s="352">
        <v>721.46999999999969</v>
      </c>
      <c r="F13" s="352">
        <v>1271.1480000000001</v>
      </c>
      <c r="G13" s="352">
        <v>2360.7669999999998</v>
      </c>
      <c r="H13" s="352">
        <v>1318.6879999999994</v>
      </c>
      <c r="I13" s="352">
        <v>796.2709999999995</v>
      </c>
      <c r="J13" s="352">
        <v>80.724000000001169</v>
      </c>
      <c r="K13" s="352">
        <v>679.33700000000124</v>
      </c>
      <c r="L13" s="352">
        <v>488.02499999999998</v>
      </c>
      <c r="M13" s="352">
        <v>504.62099999999992</v>
      </c>
      <c r="N13"/>
      <c r="O13"/>
      <c r="P13"/>
      <c r="Z13" s="21">
        <f t="shared" ref="Z13:AG13" si="2">Z8-Z10-Z9-Z11</f>
        <v>-67</v>
      </c>
      <c r="AA13" s="21">
        <f t="shared" si="2"/>
        <v>2512</v>
      </c>
      <c r="AB13" s="21">
        <f t="shared" si="2"/>
        <v>2452</v>
      </c>
      <c r="AC13" s="21">
        <f t="shared" si="2"/>
        <v>3789</v>
      </c>
      <c r="AD13" s="21">
        <f t="shared" si="2"/>
        <v>5681</v>
      </c>
      <c r="AE13" s="21">
        <f t="shared" si="2"/>
        <v>4952</v>
      </c>
      <c r="AF13" s="21">
        <f t="shared" si="2"/>
        <v>2700</v>
      </c>
      <c r="AG13" s="21">
        <f t="shared" si="2"/>
        <v>895</v>
      </c>
    </row>
    <row r="14" spans="1:33" ht="13.9">
      <c r="A14" s="45" t="s">
        <v>900</v>
      </c>
      <c r="B14" s="268">
        <f>B12-B13</f>
        <v>4.1999999999461579E-2</v>
      </c>
      <c r="C14" s="268">
        <f t="shared" ref="C14:M14" si="3">C12-C13</f>
        <v>0.48099999999976717</v>
      </c>
      <c r="D14" s="268">
        <f t="shared" si="3"/>
        <v>-0.4819999999999709</v>
      </c>
      <c r="E14" s="268">
        <f t="shared" si="3"/>
        <v>-0.40099999999983993</v>
      </c>
      <c r="F14" s="268">
        <f t="shared" si="3"/>
        <v>1.5000000000100044E-2</v>
      </c>
      <c r="G14" s="268">
        <f t="shared" si="3"/>
        <v>-0.36899999999968713</v>
      </c>
      <c r="H14" s="268">
        <f t="shared" si="3"/>
        <v>7.0000000007439667E-3</v>
      </c>
      <c r="I14" s="268">
        <f t="shared" si="3"/>
        <v>-9.9999999929423211E-4</v>
      </c>
      <c r="J14" s="268">
        <f t="shared" si="3"/>
        <v>0.40499999999879321</v>
      </c>
      <c r="K14" s="268">
        <f t="shared" si="3"/>
        <v>-0.2050000000011778</v>
      </c>
      <c r="L14" s="268">
        <f t="shared" si="3"/>
        <v>-0.21699999999998454</v>
      </c>
      <c r="M14" s="268">
        <f t="shared" si="3"/>
        <v>-0.15600000000000591</v>
      </c>
      <c r="N14"/>
      <c r="O14"/>
      <c r="P14"/>
      <c r="Z14" s="32">
        <f t="shared" ref="Z14:AG14" si="4">Z12-Z13</f>
        <v>0</v>
      </c>
      <c r="AA14" s="32">
        <f t="shared" si="4"/>
        <v>0</v>
      </c>
      <c r="AB14" s="32">
        <f t="shared" si="4"/>
        <v>0</v>
      </c>
      <c r="AC14" s="32">
        <f t="shared" si="4"/>
        <v>0</v>
      </c>
      <c r="AD14" s="32">
        <f t="shared" si="4"/>
        <v>0</v>
      </c>
      <c r="AE14" s="32">
        <f t="shared" si="4"/>
        <v>0</v>
      </c>
      <c r="AF14" s="32">
        <f t="shared" si="4"/>
        <v>0</v>
      </c>
      <c r="AG14" s="32">
        <f t="shared" si="4"/>
        <v>0</v>
      </c>
    </row>
    <row r="15" spans="1:33">
      <c r="A15"/>
      <c r="B15" s="1270"/>
      <c r="C15" s="1270"/>
      <c r="D15" s="1270"/>
      <c r="E15" s="1270"/>
      <c r="F15" s="1270"/>
      <c r="G15" s="1270"/>
      <c r="H15" s="1270"/>
      <c r="I15" s="1270"/>
      <c r="J15" s="1270"/>
      <c r="K15" s="1270"/>
      <c r="L15" s="1270"/>
      <c r="M15" s="1270"/>
      <c r="N15"/>
      <c r="O15"/>
      <c r="P15"/>
      <c r="Z15" s="24"/>
      <c r="AA15" s="24"/>
      <c r="AB15" s="24"/>
      <c r="AC15" s="24"/>
      <c r="AD15" s="24"/>
      <c r="AE15" s="24"/>
      <c r="AF15" s="24"/>
      <c r="AG15" s="24"/>
    </row>
    <row r="16" spans="1:33">
      <c r="A16" s="23" t="s">
        <v>901</v>
      </c>
      <c r="B16" s="269">
        <v>249.8</v>
      </c>
      <c r="C16" s="269">
        <v>0</v>
      </c>
      <c r="D16" s="269">
        <v>0</v>
      </c>
      <c r="E16" s="269">
        <v>0</v>
      </c>
      <c r="F16" s="269">
        <v>0</v>
      </c>
      <c r="G16" s="269">
        <v>305</v>
      </c>
      <c r="H16" s="351">
        <v>315.89999999999998</v>
      </c>
      <c r="I16" s="269">
        <v>320</v>
      </c>
      <c r="J16" s="269">
        <v>319.60000000000002</v>
      </c>
      <c r="K16" s="269">
        <v>320.60000000000002</v>
      </c>
      <c r="L16" s="269">
        <v>319.8</v>
      </c>
      <c r="M16" s="269">
        <v>318.2</v>
      </c>
      <c r="N16" s="25"/>
      <c r="O16"/>
      <c r="P16"/>
      <c r="Z16" s="24"/>
      <c r="AA16" s="24"/>
      <c r="AB16" s="24"/>
      <c r="AC16" s="24"/>
      <c r="AD16" s="24"/>
      <c r="AE16" s="24"/>
      <c r="AF16" s="24"/>
      <c r="AG16" s="24"/>
    </row>
    <row r="17" spans="1:72">
      <c r="A17" s="23" t="s">
        <v>902</v>
      </c>
      <c r="B17" s="269">
        <v>250.4</v>
      </c>
      <c r="C17" s="269">
        <v>0</v>
      </c>
      <c r="D17" s="269">
        <v>0</v>
      </c>
      <c r="E17" s="269">
        <v>0</v>
      </c>
      <c r="F17" s="269">
        <v>305.5</v>
      </c>
      <c r="G17" s="269">
        <v>316.7</v>
      </c>
      <c r="H17" s="351">
        <v>320.8</v>
      </c>
      <c r="I17" s="269">
        <v>319.8</v>
      </c>
      <c r="J17" s="269">
        <v>320.7</v>
      </c>
      <c r="K17" s="269">
        <v>320.10000000000002</v>
      </c>
      <c r="L17" s="269">
        <v>319.3</v>
      </c>
      <c r="M17" s="269">
        <v>318.2</v>
      </c>
      <c r="N17" s="25"/>
      <c r="O17"/>
      <c r="P17"/>
      <c r="Z17" s="24"/>
      <c r="AA17" s="24"/>
      <c r="AB17" s="24"/>
      <c r="AC17" s="24"/>
      <c r="AD17" s="24"/>
      <c r="AE17" s="24"/>
      <c r="AF17" s="24"/>
      <c r="AG17" s="24"/>
    </row>
    <row r="18" spans="1:72" customFormat="1" ht="12.75">
      <c r="B18" s="1271"/>
      <c r="C18" s="1271"/>
      <c r="D18" s="1271"/>
      <c r="E18" s="1271"/>
      <c r="F18" s="1271"/>
      <c r="G18" s="1271"/>
      <c r="H18" s="1271"/>
      <c r="I18" s="1271"/>
      <c r="J18" s="1271"/>
      <c r="K18" s="1271"/>
      <c r="L18" s="1271"/>
      <c r="M18" s="1271"/>
    </row>
    <row r="19" spans="1:72">
      <c r="A19" s="23" t="s">
        <v>903</v>
      </c>
      <c r="B19" s="269">
        <v>21.041</v>
      </c>
      <c r="C19" s="269">
        <v>-55.347999999999999</v>
      </c>
      <c r="D19" s="269">
        <v>-4.0410000000000004</v>
      </c>
      <c r="E19" s="269">
        <v>17.306000000000001</v>
      </c>
      <c r="F19" s="269">
        <v>7.8730000000000002</v>
      </c>
      <c r="G19" s="269">
        <v>-47.133000000000003</v>
      </c>
      <c r="H19" s="351">
        <v>68.656999999999996</v>
      </c>
      <c r="I19" s="269">
        <v>25.495000000000001</v>
      </c>
      <c r="J19" s="269">
        <v>-205.4</v>
      </c>
      <c r="K19" s="269">
        <v>-141.5</v>
      </c>
      <c r="L19" s="269">
        <v>-53.6</v>
      </c>
      <c r="M19" s="269">
        <v>58.6</v>
      </c>
      <c r="N19" s="25"/>
      <c r="O19"/>
      <c r="P19"/>
      <c r="Z19" s="24"/>
      <c r="AA19" s="24"/>
      <c r="AB19" s="24"/>
      <c r="AC19" s="24"/>
      <c r="AD19" s="24"/>
      <c r="AE19" s="24"/>
      <c r="AF19" s="24"/>
      <c r="AG19" s="24"/>
    </row>
    <row r="20" spans="1:72" ht="13.9">
      <c r="A20" s="9" t="s">
        <v>904</v>
      </c>
      <c r="B20" s="269">
        <v>4500.2460000000001</v>
      </c>
      <c r="C20" s="269">
        <v>7585.1019999999999</v>
      </c>
      <c r="D20" s="269">
        <v>6831.04</v>
      </c>
      <c r="E20" s="269">
        <v>905.57500000000005</v>
      </c>
      <c r="F20" s="269">
        <v>1270.425</v>
      </c>
      <c r="G20" s="269">
        <v>2311.3150000000001</v>
      </c>
      <c r="H20" s="351">
        <v>1381.85</v>
      </c>
      <c r="I20" s="269">
        <v>829.79</v>
      </c>
      <c r="J20" s="269">
        <v>-124.9</v>
      </c>
      <c r="K20" s="269">
        <v>524.5</v>
      </c>
      <c r="L20" s="269">
        <v>440.3</v>
      </c>
      <c r="M20" s="269">
        <v>599.79999999999995</v>
      </c>
      <c r="N20" s="25"/>
      <c r="O20"/>
      <c r="P20"/>
      <c r="Z20" s="24"/>
      <c r="AA20" s="24"/>
      <c r="AB20" s="24"/>
      <c r="AC20" s="24"/>
      <c r="AD20" s="24"/>
      <c r="AE20" s="24"/>
      <c r="AF20" s="24"/>
      <c r="AG20" s="24"/>
    </row>
    <row r="21" spans="1:72" customFormat="1" ht="12.75">
      <c r="B21" s="1271"/>
      <c r="C21" s="1271"/>
      <c r="D21" s="1271"/>
      <c r="E21" s="1271"/>
      <c r="F21" s="1271"/>
      <c r="G21" s="1271"/>
      <c r="H21" s="1271"/>
      <c r="I21" s="1271"/>
      <c r="J21" s="1271"/>
      <c r="K21" s="1271"/>
      <c r="L21" s="1271"/>
      <c r="M21" s="1271"/>
    </row>
    <row r="22" spans="1:72">
      <c r="A22" s="23" t="s">
        <v>671</v>
      </c>
      <c r="B22" s="269">
        <f t="shared" ref="B22:J22" si="5">B23-C23</f>
        <v>-672.99000000000069</v>
      </c>
      <c r="C22" s="269">
        <f t="shared" si="5"/>
        <v>803.79000000000087</v>
      </c>
      <c r="D22" s="269">
        <f>D23-E23</f>
        <v>1056.1500000000005</v>
      </c>
      <c r="E22" s="269">
        <f t="shared" si="5"/>
        <v>-6.9000000000005457</v>
      </c>
      <c r="F22" s="269">
        <f t="shared" si="5"/>
        <v>-203.06999999999971</v>
      </c>
      <c r="G22" s="269">
        <f t="shared" si="5"/>
        <v>1380.5099999999998</v>
      </c>
      <c r="H22" s="269">
        <f t="shared" si="5"/>
        <v>980.13999999999987</v>
      </c>
      <c r="I22" s="269">
        <f>I23-J23</f>
        <v>-459.27999999999975</v>
      </c>
      <c r="J22" s="269">
        <f t="shared" si="5"/>
        <v>-790.29999999999973</v>
      </c>
      <c r="K22" s="269">
        <f>K23-L23</f>
        <v>353.49999999999955</v>
      </c>
      <c r="L22" s="269">
        <f>L23-M23</f>
        <v>387.60000000000036</v>
      </c>
      <c r="M22" s="269">
        <f>M23-N23</f>
        <v>2578.8999999999996</v>
      </c>
      <c r="N22" s="31" t="s">
        <v>905</v>
      </c>
      <c r="O22" t="s">
        <v>906</v>
      </c>
      <c r="P22"/>
      <c r="Q22" s="19" t="s">
        <v>898</v>
      </c>
      <c r="Z22" s="24"/>
      <c r="AA22" s="24"/>
      <c r="AB22" s="24"/>
      <c r="AC22" s="24"/>
      <c r="AD22" s="27"/>
      <c r="AE22" s="24"/>
      <c r="AF22" s="24"/>
      <c r="AG22" s="24"/>
    </row>
    <row r="23" spans="1:72">
      <c r="A23" s="23" t="s">
        <v>907</v>
      </c>
      <c r="B23" s="269">
        <f>B27-B42-B28</f>
        <v>5408.05</v>
      </c>
      <c r="C23" s="269">
        <f t="shared" ref="C23:M23" si="6">C27-C42-C28</f>
        <v>6081.0400000000009</v>
      </c>
      <c r="D23" s="269">
        <f t="shared" si="6"/>
        <v>5277.25</v>
      </c>
      <c r="E23" s="269">
        <f t="shared" si="6"/>
        <v>4221.0999999999995</v>
      </c>
      <c r="F23" s="269">
        <f t="shared" si="6"/>
        <v>4228</v>
      </c>
      <c r="G23" s="269">
        <f t="shared" si="6"/>
        <v>4431.07</v>
      </c>
      <c r="H23" s="269">
        <f t="shared" si="6"/>
        <v>3050.56</v>
      </c>
      <c r="I23" s="269">
        <f t="shared" si="6"/>
        <v>2070.42</v>
      </c>
      <c r="J23" s="269">
        <f t="shared" si="6"/>
        <v>2529.6999999999998</v>
      </c>
      <c r="K23" s="269">
        <f t="shared" si="6"/>
        <v>3319.9999999999995</v>
      </c>
      <c r="L23" s="269">
        <f t="shared" si="6"/>
        <v>2966.5</v>
      </c>
      <c r="M23" s="269">
        <f t="shared" si="6"/>
        <v>2578.8999999999996</v>
      </c>
      <c r="N23" s="31"/>
      <c r="O23"/>
      <c r="P23"/>
      <c r="Z23" s="24"/>
      <c r="AA23" s="24"/>
      <c r="AB23" s="24"/>
      <c r="AC23" s="24"/>
      <c r="AD23" s="27"/>
      <c r="AE23" s="24"/>
      <c r="AF23" s="24"/>
      <c r="AG23" s="24"/>
    </row>
    <row r="24" spans="1:72">
      <c r="A24" s="7">
        <v>2625</v>
      </c>
      <c r="B24" s="1272">
        <v>2625</v>
      </c>
      <c r="C24" s="1272">
        <v>2625</v>
      </c>
      <c r="D24" s="1272">
        <v>2625</v>
      </c>
      <c r="E24" s="1272">
        <v>2625</v>
      </c>
      <c r="F24" s="1272">
        <v>2625</v>
      </c>
      <c r="G24" s="1272">
        <v>2625</v>
      </c>
      <c r="H24" s="1272">
        <v>2625</v>
      </c>
      <c r="I24" s="1272">
        <v>2625</v>
      </c>
      <c r="J24" s="1272">
        <v>2625</v>
      </c>
      <c r="K24" s="1272">
        <v>2625</v>
      </c>
      <c r="L24" s="1272">
        <v>2625</v>
      </c>
      <c r="M24" s="1272">
        <v>2625</v>
      </c>
      <c r="N24" s="7">
        <v>2625</v>
      </c>
      <c r="O24"/>
      <c r="P24"/>
      <c r="Q24" s="19" t="s">
        <v>898</v>
      </c>
      <c r="R24" s="19" t="s">
        <v>908</v>
      </c>
      <c r="T24" s="19" t="s">
        <v>909</v>
      </c>
      <c r="Z24" s="24">
        <v>1799</v>
      </c>
      <c r="AA24" s="24">
        <v>1757</v>
      </c>
      <c r="AB24" s="24">
        <v>1620</v>
      </c>
      <c r="AC24" s="24">
        <v>1111</v>
      </c>
      <c r="AD24" s="24">
        <v>1617</v>
      </c>
      <c r="AE24" s="24">
        <v>1159</v>
      </c>
      <c r="AF24" s="24">
        <v>1084</v>
      </c>
      <c r="AG24" s="24">
        <v>1029</v>
      </c>
    </row>
    <row r="25" spans="1:72" ht="13.9">
      <c r="A25" s="45" t="s">
        <v>441</v>
      </c>
      <c r="B25" s="1272">
        <v>2625</v>
      </c>
      <c r="C25" s="1272">
        <v>2625</v>
      </c>
      <c r="D25" s="1272">
        <v>2625</v>
      </c>
      <c r="E25" s="1272">
        <v>2625</v>
      </c>
      <c r="F25" s="1272">
        <v>2625</v>
      </c>
      <c r="G25" s="1272">
        <v>2625</v>
      </c>
      <c r="H25" s="1272">
        <v>2625</v>
      </c>
      <c r="I25" s="1272">
        <v>2625</v>
      </c>
      <c r="J25" s="1272">
        <v>2625</v>
      </c>
      <c r="K25" s="1272">
        <v>2625</v>
      </c>
      <c r="L25" s="1272">
        <v>2625</v>
      </c>
      <c r="M25" s="1272">
        <v>2625</v>
      </c>
      <c r="N25" s="7">
        <v>2625</v>
      </c>
      <c r="O25"/>
      <c r="P25"/>
      <c r="Q25" s="19" t="s">
        <v>898</v>
      </c>
      <c r="R25" s="19" t="s">
        <v>910</v>
      </c>
      <c r="S25" s="19" t="s">
        <v>911</v>
      </c>
      <c r="T25" s="19" t="s">
        <v>912</v>
      </c>
      <c r="Z25" s="24">
        <v>23</v>
      </c>
      <c r="AA25" s="24">
        <f>-33+2025</f>
        <v>1992</v>
      </c>
      <c r="AB25" s="24">
        <v>3817</v>
      </c>
      <c r="AC25" s="24">
        <v>1776</v>
      </c>
      <c r="AD25" s="24">
        <v>-244</v>
      </c>
      <c r="AE25" s="24">
        <v>-312</v>
      </c>
      <c r="AF25" s="24">
        <v>-449</v>
      </c>
      <c r="AG25" s="24">
        <v>-110</v>
      </c>
    </row>
    <row r="26" spans="1:72" ht="13.9">
      <c r="A26" s="100" t="s">
        <v>913</v>
      </c>
      <c r="B26" s="1273"/>
      <c r="C26" s="1273"/>
      <c r="D26" s="1273"/>
      <c r="E26" s="1273"/>
      <c r="F26" s="1273"/>
      <c r="G26" s="1273"/>
      <c r="H26" s="1273"/>
      <c r="I26" s="1273"/>
      <c r="J26" s="1273"/>
      <c r="K26" s="1273"/>
      <c r="L26" s="1273"/>
      <c r="M26" s="1273"/>
      <c r="N26" s="7">
        <v>1922</v>
      </c>
      <c r="O26" s="7">
        <v>2625</v>
      </c>
      <c r="P26"/>
      <c r="Z26" s="24"/>
      <c r="AA26" s="24"/>
      <c r="AB26" s="24"/>
      <c r="AC26" s="24"/>
      <c r="AD26" s="24"/>
      <c r="AE26" s="24"/>
      <c r="AF26" s="24"/>
      <c r="AG26" s="24"/>
    </row>
    <row r="27" spans="1:72" ht="13.9">
      <c r="A27" s="9" t="s">
        <v>914</v>
      </c>
      <c r="B27" s="268">
        <v>16385.86</v>
      </c>
      <c r="C27" s="268">
        <v>14691.68</v>
      </c>
      <c r="D27" s="268">
        <v>12799.56</v>
      </c>
      <c r="E27" s="268">
        <v>9488.66</v>
      </c>
      <c r="F27" s="268">
        <v>8226.3700000000008</v>
      </c>
      <c r="G27" s="268">
        <v>8636.27</v>
      </c>
      <c r="H27" s="268">
        <v>6824.42</v>
      </c>
      <c r="I27" s="268">
        <v>6506.39</v>
      </c>
      <c r="J27" s="268">
        <v>5854.4</v>
      </c>
      <c r="K27" s="268">
        <v>6441.9</v>
      </c>
      <c r="L27" s="268">
        <v>6410</v>
      </c>
      <c r="M27" s="268">
        <v>5661.4</v>
      </c>
      <c r="N27" s="7"/>
      <c r="O27" s="7"/>
      <c r="P27"/>
      <c r="Z27" s="24"/>
      <c r="AA27" s="24"/>
      <c r="AB27" s="24"/>
      <c r="AC27" s="24"/>
      <c r="AD27" s="24"/>
      <c r="AE27" s="24"/>
      <c r="AF27" s="24"/>
      <c r="AG27" s="24"/>
    </row>
    <row r="28" spans="1:72" ht="13.9">
      <c r="A28" s="97" t="s">
        <v>294</v>
      </c>
      <c r="B28" s="269">
        <v>6383.3</v>
      </c>
      <c r="C28" s="269">
        <v>4280.8999999999996</v>
      </c>
      <c r="D28" s="269">
        <v>2364.9</v>
      </c>
      <c r="E28" s="269">
        <v>2639.7</v>
      </c>
      <c r="F28" s="269">
        <v>1534.6</v>
      </c>
      <c r="G28" s="269">
        <v>1398.9</v>
      </c>
      <c r="H28" s="269">
        <v>949.1</v>
      </c>
      <c r="I28" s="269">
        <v>2046</v>
      </c>
      <c r="J28" s="269">
        <v>1939.5</v>
      </c>
      <c r="K28" s="269">
        <v>1024.0999999999999</v>
      </c>
      <c r="L28" s="269">
        <v>1483.3</v>
      </c>
      <c r="M28" s="269">
        <v>1052.9000000000001</v>
      </c>
      <c r="N28" s="709"/>
      <c r="O28" s="705"/>
      <c r="P28" s="705"/>
      <c r="Z28" s="33"/>
      <c r="AA28" s="33"/>
      <c r="AB28" s="33"/>
      <c r="AC28" s="33"/>
      <c r="AD28" s="33"/>
      <c r="AE28" s="32"/>
      <c r="AF28" s="32"/>
      <c r="AG28" s="32"/>
    </row>
    <row r="29" spans="1:72" ht="13.9">
      <c r="A29" s="98" t="s">
        <v>682</v>
      </c>
      <c r="B29" s="269">
        <v>2953.31</v>
      </c>
      <c r="C29" s="269">
        <v>3591.03</v>
      </c>
      <c r="D29" s="269">
        <v>3853.97</v>
      </c>
      <c r="E29" s="269">
        <v>2298.85</v>
      </c>
      <c r="F29" s="269">
        <v>2160.1</v>
      </c>
      <c r="G29" s="269">
        <v>2505.5700000000002</v>
      </c>
      <c r="H29" s="269">
        <v>2028.55</v>
      </c>
      <c r="I29" s="269">
        <v>1631.68</v>
      </c>
      <c r="J29" s="269">
        <v>1383.8</v>
      </c>
      <c r="K29" s="269">
        <v>2068.3000000000002</v>
      </c>
      <c r="L29" s="269">
        <v>1881</v>
      </c>
      <c r="M29" s="269">
        <v>1707.3</v>
      </c>
      <c r="N29" s="34" t="s">
        <v>915</v>
      </c>
      <c r="O29" t="s">
        <v>682</v>
      </c>
      <c r="P29"/>
      <c r="Z29" s="33"/>
      <c r="AA29" s="33"/>
      <c r="AB29" s="33"/>
      <c r="AC29" s="33"/>
      <c r="AD29" s="33"/>
      <c r="AE29" s="32"/>
      <c r="AF29" s="32"/>
      <c r="AG29" s="32"/>
    </row>
    <row r="30" spans="1:72">
      <c r="A30" s="97" t="s">
        <v>296</v>
      </c>
      <c r="B30" s="269">
        <v>5577.76</v>
      </c>
      <c r="C30" s="269">
        <v>5453.53</v>
      </c>
      <c r="D30" s="269">
        <v>6011.18</v>
      </c>
      <c r="E30" s="269">
        <v>3569.09</v>
      </c>
      <c r="F30" s="269">
        <v>3842.1</v>
      </c>
      <c r="G30" s="269">
        <v>4553.5</v>
      </c>
      <c r="H30" s="269">
        <v>3461.69</v>
      </c>
      <c r="I30" s="269">
        <v>2479.96</v>
      </c>
      <c r="J30" s="269">
        <v>2245.5</v>
      </c>
      <c r="K30" s="269">
        <v>2745</v>
      </c>
      <c r="L30" s="269">
        <v>2605.6</v>
      </c>
      <c r="M30" s="269">
        <v>2323.6</v>
      </c>
      <c r="N30" s="34" t="s">
        <v>915</v>
      </c>
      <c r="O30" t="s">
        <v>296</v>
      </c>
      <c r="P30"/>
      <c r="Q30" s="19" t="s">
        <v>916</v>
      </c>
      <c r="R30" s="19" t="s">
        <v>917</v>
      </c>
      <c r="Z30" s="24">
        <v>7168</v>
      </c>
      <c r="AA30" s="24">
        <v>6460</v>
      </c>
      <c r="AB30" s="24">
        <v>7341</v>
      </c>
      <c r="AC30" s="24">
        <v>6081</v>
      </c>
      <c r="AD30" s="24">
        <v>5490</v>
      </c>
      <c r="AE30" s="24">
        <v>3057</v>
      </c>
      <c r="AF30" s="24">
        <v>3592</v>
      </c>
      <c r="AG30" s="24">
        <v>4867</v>
      </c>
    </row>
    <row r="31" spans="1:72" s="20" customFormat="1">
      <c r="A31" s="97" t="s">
        <v>918</v>
      </c>
      <c r="B31" s="269">
        <f t="shared" ref="B31" si="7">B27-SUM(B28:B30)</f>
        <v>1471.4899999999998</v>
      </c>
      <c r="C31" s="269">
        <f t="shared" ref="C31:M31" si="8">C27-SUM(C28:C30)</f>
        <v>1366.2200000000012</v>
      </c>
      <c r="D31" s="269">
        <f t="shared" si="8"/>
        <v>569.51000000000022</v>
      </c>
      <c r="E31" s="269">
        <f t="shared" si="8"/>
        <v>981.02000000000044</v>
      </c>
      <c r="F31" s="269">
        <f t="shared" si="8"/>
        <v>689.57000000000153</v>
      </c>
      <c r="G31" s="269">
        <f t="shared" si="8"/>
        <v>178.29999999999927</v>
      </c>
      <c r="H31" s="269">
        <f t="shared" si="8"/>
        <v>385.07999999999993</v>
      </c>
      <c r="I31" s="269">
        <f t="shared" si="8"/>
        <v>348.75</v>
      </c>
      <c r="J31" s="269">
        <f t="shared" si="8"/>
        <v>285.59999999999945</v>
      </c>
      <c r="K31" s="269">
        <f t="shared" si="8"/>
        <v>604.5</v>
      </c>
      <c r="L31" s="269">
        <f t="shared" si="8"/>
        <v>440.10000000000036</v>
      </c>
      <c r="M31" s="269">
        <f t="shared" si="8"/>
        <v>577.60000000000036</v>
      </c>
      <c r="N31" s="34" t="s">
        <v>915</v>
      </c>
      <c r="O31" t="s">
        <v>296</v>
      </c>
      <c r="P31"/>
      <c r="Q31" s="19" t="s">
        <v>916</v>
      </c>
      <c r="R31" s="19" t="s">
        <v>919</v>
      </c>
      <c r="S31" s="19" t="s">
        <v>920</v>
      </c>
      <c r="T31" s="19" t="s">
        <v>921</v>
      </c>
      <c r="U31" s="19"/>
      <c r="V31" s="19"/>
      <c r="W31" s="19"/>
      <c r="X31" s="19"/>
      <c r="Y31" s="19"/>
      <c r="Z31" s="28">
        <f>5981+8522+1029+13556</f>
        <v>29088</v>
      </c>
      <c r="AA31" s="28">
        <f>6695+8991+1170+13651</f>
        <v>30507</v>
      </c>
      <c r="AB31" s="28">
        <f>7737+9027+1364+14644</f>
        <v>32772</v>
      </c>
      <c r="AC31" s="28">
        <v>33499</v>
      </c>
      <c r="AD31" s="28">
        <v>33911</v>
      </c>
      <c r="AE31" s="28">
        <v>31031</v>
      </c>
      <c r="AF31" s="28">
        <v>28849</v>
      </c>
      <c r="AG31" s="28">
        <v>27162</v>
      </c>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row>
    <row r="32" spans="1:72" s="20" customFormat="1" ht="13.9">
      <c r="A32" s="9" t="s">
        <v>922</v>
      </c>
      <c r="B32" s="268">
        <f t="shared" ref="B32:M32" si="9">B38-B27</f>
        <v>18954.64</v>
      </c>
      <c r="C32" s="268">
        <f t="shared" si="9"/>
        <v>17787.52</v>
      </c>
      <c r="D32" s="268">
        <f t="shared" si="9"/>
        <v>13023.539999999999</v>
      </c>
      <c r="E32" s="268">
        <f t="shared" si="9"/>
        <v>10636.740000000002</v>
      </c>
      <c r="F32" s="268">
        <f t="shared" si="9"/>
        <v>10118.33</v>
      </c>
      <c r="G32" s="268">
        <f t="shared" si="9"/>
        <v>9284.3299999999981</v>
      </c>
      <c r="H32" s="268">
        <f t="shared" si="9"/>
        <v>9016.8799999999992</v>
      </c>
      <c r="I32" s="268">
        <f t="shared" si="9"/>
        <v>8717.11</v>
      </c>
      <c r="J32" s="268">
        <f t="shared" si="9"/>
        <v>8472.6</v>
      </c>
      <c r="K32" s="268">
        <f t="shared" si="9"/>
        <v>9174</v>
      </c>
      <c r="L32" s="268">
        <f t="shared" si="9"/>
        <v>8793.2999999999993</v>
      </c>
      <c r="M32" s="268">
        <f t="shared" si="9"/>
        <v>8490.7000000000007</v>
      </c>
      <c r="N32" s="34"/>
      <c r="O32"/>
      <c r="P32"/>
      <c r="Q32" s="19"/>
      <c r="R32" s="19"/>
      <c r="S32" s="19"/>
      <c r="T32" s="19"/>
      <c r="U32" s="19"/>
      <c r="V32" s="19"/>
      <c r="W32" s="19"/>
      <c r="X32" s="19"/>
      <c r="Y32" s="19"/>
      <c r="Z32" s="28"/>
      <c r="AA32" s="28"/>
      <c r="AB32" s="28"/>
      <c r="AC32" s="28"/>
      <c r="AD32" s="28"/>
      <c r="AE32" s="28"/>
      <c r="AF32" s="28"/>
      <c r="AG32" s="28"/>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row>
    <row r="33" spans="1:33">
      <c r="A33" s="99" t="s">
        <v>683</v>
      </c>
      <c r="B33" s="269">
        <v>11049.77</v>
      </c>
      <c r="C33" s="269">
        <v>9616.92</v>
      </c>
      <c r="D33" s="269">
        <v>8114.82</v>
      </c>
      <c r="E33" s="269">
        <v>6899.11</v>
      </c>
      <c r="F33" s="269">
        <v>6178.56</v>
      </c>
      <c r="G33" s="269">
        <v>5334.75</v>
      </c>
      <c r="H33" s="269">
        <v>5093.1499999999996</v>
      </c>
      <c r="I33" s="269">
        <v>5078.6499999999996</v>
      </c>
      <c r="J33" s="269">
        <v>4891.2</v>
      </c>
      <c r="K33" s="269">
        <v>5287.6</v>
      </c>
      <c r="L33" s="269">
        <v>4917</v>
      </c>
      <c r="M33" s="269">
        <v>4283.1000000000004</v>
      </c>
      <c r="N33" s="34"/>
      <c r="O33"/>
      <c r="P33"/>
      <c r="Q33" s="19" t="s">
        <v>916</v>
      </c>
      <c r="R33" s="19" t="s">
        <v>923</v>
      </c>
      <c r="Z33" s="24">
        <v>8614</v>
      </c>
      <c r="AA33" s="24">
        <v>9700</v>
      </c>
      <c r="AB33" s="24">
        <v>12205</v>
      </c>
      <c r="AC33" s="24">
        <v>12625</v>
      </c>
      <c r="AD33" s="24">
        <v>15547</v>
      </c>
      <c r="AE33" s="24">
        <v>14544</v>
      </c>
      <c r="AF33" s="24">
        <v>9587</v>
      </c>
      <c r="AG33" s="24">
        <v>6360</v>
      </c>
    </row>
    <row r="34" spans="1:33">
      <c r="A34" s="99" t="s">
        <v>924</v>
      </c>
      <c r="B34" s="269">
        <v>0</v>
      </c>
      <c r="C34" s="269">
        <v>0</v>
      </c>
      <c r="D34" s="269">
        <v>0</v>
      </c>
      <c r="E34" s="269">
        <v>0</v>
      </c>
      <c r="F34" s="269">
        <v>0</v>
      </c>
      <c r="G34" s="269">
        <v>0</v>
      </c>
      <c r="H34" s="269">
        <v>0</v>
      </c>
      <c r="I34" s="269">
        <v>0</v>
      </c>
      <c r="J34" s="269">
        <v>0</v>
      </c>
      <c r="K34" s="269">
        <v>0</v>
      </c>
      <c r="L34" s="269">
        <v>0</v>
      </c>
      <c r="M34" s="269">
        <v>0</v>
      </c>
      <c r="N34" s="34"/>
      <c r="O34"/>
      <c r="P34"/>
      <c r="Z34" s="24"/>
      <c r="AA34" s="24"/>
      <c r="AB34" s="24"/>
      <c r="AC34" s="24"/>
      <c r="AD34" s="24"/>
      <c r="AE34" s="24"/>
      <c r="AF34" s="24"/>
      <c r="AG34" s="24"/>
    </row>
    <row r="35" spans="1:33">
      <c r="A35" s="99" t="s">
        <v>925</v>
      </c>
      <c r="B35" s="269">
        <v>0</v>
      </c>
      <c r="C35" s="269">
        <v>0</v>
      </c>
      <c r="D35" s="269">
        <v>0</v>
      </c>
      <c r="E35" s="269">
        <v>0</v>
      </c>
      <c r="F35" s="269">
        <v>0</v>
      </c>
      <c r="G35" s="269">
        <v>0</v>
      </c>
      <c r="H35" s="269">
        <v>0</v>
      </c>
      <c r="I35" s="269">
        <v>0</v>
      </c>
      <c r="J35" s="269">
        <v>0</v>
      </c>
      <c r="K35" s="269">
        <v>0</v>
      </c>
      <c r="L35" s="269">
        <v>0</v>
      </c>
      <c r="M35" s="269">
        <v>0</v>
      </c>
      <c r="N35" s="34"/>
      <c r="O35"/>
      <c r="P35"/>
      <c r="Z35" s="24"/>
      <c r="AA35" s="24"/>
      <c r="AB35" s="24"/>
      <c r="AC35" s="24"/>
      <c r="AD35" s="24"/>
      <c r="AE35" s="24"/>
      <c r="AF35" s="24"/>
      <c r="AG35" s="24"/>
    </row>
    <row r="36" spans="1:33">
      <c r="A36" s="99" t="s">
        <v>926</v>
      </c>
      <c r="B36" s="269">
        <f t="shared" ref="B36" si="10">B32-SUM(B33:B35)</f>
        <v>7904.869999999999</v>
      </c>
      <c r="C36" s="269">
        <f t="shared" ref="C36" si="11">C32-SUM(C33:C35)</f>
        <v>8170.6</v>
      </c>
      <c r="D36" s="269">
        <f t="shared" ref="D36" si="12">D32-SUM(D33:D35)</f>
        <v>4908.7199999999993</v>
      </c>
      <c r="E36" s="269">
        <f>E32-SUM(E33:E35)</f>
        <v>3737.6300000000019</v>
      </c>
      <c r="F36" s="269">
        <f t="shared" ref="F36" si="13">F32-SUM(F33:F35)</f>
        <v>3939.7699999999995</v>
      </c>
      <c r="G36" s="269">
        <f t="shared" ref="G36" si="14">G32-SUM(G33:G35)</f>
        <v>3949.5799999999981</v>
      </c>
      <c r="H36" s="269">
        <f t="shared" ref="H36" si="15">H32-SUM(H33:H35)</f>
        <v>3923.7299999999996</v>
      </c>
      <c r="I36" s="269">
        <f t="shared" ref="I36" si="16">I32-SUM(I33:I35)</f>
        <v>3638.4600000000009</v>
      </c>
      <c r="J36" s="269">
        <f t="shared" ref="J36" si="17">J32-SUM(J33:J35)</f>
        <v>3581.4000000000005</v>
      </c>
      <c r="K36" s="269">
        <f t="shared" ref="K36" si="18">K32-SUM(K33:K35)</f>
        <v>3886.3999999999996</v>
      </c>
      <c r="L36" s="269">
        <f t="shared" ref="L36" si="19">L32-SUM(L33:L35)</f>
        <v>3876.2999999999993</v>
      </c>
      <c r="M36" s="269">
        <f t="shared" ref="M36" si="20">M32-SUM(M33:M35)</f>
        <v>4207.6000000000004</v>
      </c>
      <c r="N36" s="34" t="s">
        <v>915</v>
      </c>
      <c r="O36" t="s">
        <v>683</v>
      </c>
      <c r="P36"/>
      <c r="Z36" s="24"/>
      <c r="AA36" s="24"/>
      <c r="AB36" s="24"/>
      <c r="AC36" s="24"/>
      <c r="AD36" s="24"/>
      <c r="AE36" s="24"/>
      <c r="AF36" s="24"/>
      <c r="AG36" s="24"/>
    </row>
    <row r="37" spans="1:33">
      <c r="A37" s="19" t="s">
        <v>684</v>
      </c>
      <c r="B37" s="352">
        <f>B31+B36</f>
        <v>9376.3599999999988</v>
      </c>
      <c r="C37" s="352">
        <f>C31+C36</f>
        <v>9536.8200000000015</v>
      </c>
      <c r="D37" s="352">
        <f t="shared" ref="D37:M37" si="21">D31+D36</f>
        <v>5478.23</v>
      </c>
      <c r="E37" s="352">
        <f t="shared" si="21"/>
        <v>4718.6500000000024</v>
      </c>
      <c r="F37" s="352">
        <f t="shared" si="21"/>
        <v>4629.3400000000011</v>
      </c>
      <c r="G37" s="352">
        <f t="shared" si="21"/>
        <v>4127.8799999999974</v>
      </c>
      <c r="H37" s="352">
        <f t="shared" si="21"/>
        <v>4308.8099999999995</v>
      </c>
      <c r="I37" s="352">
        <f t="shared" si="21"/>
        <v>3987.2100000000009</v>
      </c>
      <c r="J37" s="352">
        <f t="shared" si="21"/>
        <v>3867</v>
      </c>
      <c r="K37" s="352">
        <f t="shared" si="21"/>
        <v>4490.8999999999996</v>
      </c>
      <c r="L37" s="352">
        <f t="shared" si="21"/>
        <v>4316.3999999999996</v>
      </c>
      <c r="M37" s="352">
        <f t="shared" si="21"/>
        <v>4785.2000000000007</v>
      </c>
      <c r="N37" s="34" t="s">
        <v>915</v>
      </c>
      <c r="O37"/>
      <c r="P37"/>
      <c r="Z37" s="24"/>
      <c r="AA37" s="24"/>
      <c r="AB37" s="24"/>
      <c r="AC37" s="24"/>
      <c r="AD37" s="24"/>
      <c r="AE37" s="24"/>
      <c r="AF37" s="24"/>
      <c r="AG37" s="24"/>
    </row>
    <row r="38" spans="1:33" ht="13.9">
      <c r="A38" s="9" t="s">
        <v>43</v>
      </c>
      <c r="B38" s="268">
        <v>35340.5</v>
      </c>
      <c r="C38" s="268">
        <v>32479.200000000001</v>
      </c>
      <c r="D38" s="268">
        <v>25823.1</v>
      </c>
      <c r="E38" s="268">
        <v>20125.400000000001</v>
      </c>
      <c r="F38" s="268">
        <v>18344.7</v>
      </c>
      <c r="G38" s="268">
        <v>17920.599999999999</v>
      </c>
      <c r="H38" s="268">
        <v>15841.3</v>
      </c>
      <c r="I38" s="268">
        <v>15223.5</v>
      </c>
      <c r="J38" s="268">
        <v>14327</v>
      </c>
      <c r="K38" s="268">
        <v>15615.9</v>
      </c>
      <c r="L38" s="268">
        <v>15203.3</v>
      </c>
      <c r="M38" s="268">
        <v>14152.1</v>
      </c>
      <c r="N38" s="34" t="s">
        <v>915</v>
      </c>
      <c r="O38" t="s">
        <v>43</v>
      </c>
      <c r="P38"/>
      <c r="Q38" s="19" t="s">
        <v>916</v>
      </c>
      <c r="R38" s="19" t="s">
        <v>927</v>
      </c>
      <c r="Z38" s="24">
        <v>15322</v>
      </c>
      <c r="AA38" s="24">
        <v>16090</v>
      </c>
      <c r="AB38" s="24">
        <f>16577</f>
        <v>16577</v>
      </c>
      <c r="AC38" s="24">
        <v>17075</v>
      </c>
      <c r="AD38" s="24">
        <v>16461</v>
      </c>
      <c r="AE38" s="24">
        <v>14395</v>
      </c>
      <c r="AF38" s="24">
        <v>12539</v>
      </c>
      <c r="AG38" s="24">
        <v>12386</v>
      </c>
    </row>
    <row r="39" spans="1:33">
      <c r="B39" s="352"/>
      <c r="C39" s="352"/>
      <c r="D39" s="352"/>
      <c r="E39" s="352"/>
      <c r="F39" s="352"/>
      <c r="G39" s="352"/>
      <c r="H39" s="352"/>
      <c r="I39" s="352"/>
      <c r="J39" s="352"/>
      <c r="K39" s="352"/>
      <c r="L39" s="352"/>
      <c r="M39" s="352"/>
      <c r="N39" s="34" t="s">
        <v>915</v>
      </c>
      <c r="O39"/>
      <c r="P39"/>
      <c r="Z39" s="21">
        <f t="shared" ref="Z39:AG39" si="22">Z40-SUM(Z30:Z38)</f>
        <v>14512</v>
      </c>
      <c r="AA39" s="21">
        <f t="shared" si="22"/>
        <v>15585</v>
      </c>
      <c r="AB39" s="21">
        <f t="shared" si="22"/>
        <v>15786</v>
      </c>
      <c r="AC39" s="21">
        <f t="shared" si="22"/>
        <v>15616</v>
      </c>
      <c r="AD39" s="21">
        <f t="shared" si="22"/>
        <v>17947</v>
      </c>
      <c r="AE39" s="21">
        <f t="shared" si="22"/>
        <v>18419</v>
      </c>
      <c r="AF39" s="21">
        <f t="shared" si="22"/>
        <v>9453</v>
      </c>
      <c r="AG39" s="21">
        <f t="shared" si="22"/>
        <v>9263</v>
      </c>
    </row>
    <row r="40" spans="1:33" ht="13.9">
      <c r="B40" s="352"/>
      <c r="C40" s="352"/>
      <c r="D40" s="352"/>
      <c r="E40" s="352"/>
      <c r="F40" s="352"/>
      <c r="G40" s="352"/>
      <c r="H40" s="352"/>
      <c r="I40" s="352"/>
      <c r="J40" s="352"/>
      <c r="K40" s="352"/>
      <c r="L40" s="352"/>
      <c r="M40" s="352"/>
      <c r="N40" s="34" t="s">
        <v>915</v>
      </c>
      <c r="O40"/>
      <c r="P40"/>
      <c r="Q40" s="19" t="s">
        <v>916</v>
      </c>
      <c r="R40" s="19" t="s">
        <v>928</v>
      </c>
      <c r="Z40" s="35">
        <v>74704</v>
      </c>
      <c r="AA40" s="35">
        <v>78342</v>
      </c>
      <c r="AB40" s="35">
        <v>84681</v>
      </c>
      <c r="AC40" s="35">
        <v>84896</v>
      </c>
      <c r="AD40" s="35">
        <v>89356</v>
      </c>
      <c r="AE40" s="35">
        <v>81446</v>
      </c>
      <c r="AF40" s="35">
        <v>64020</v>
      </c>
      <c r="AG40" s="35">
        <v>60038</v>
      </c>
    </row>
    <row r="41" spans="1:33" ht="13.9">
      <c r="A41" s="100" t="s">
        <v>929</v>
      </c>
      <c r="B41" s="268"/>
      <c r="C41" s="268"/>
      <c r="D41" s="268"/>
      <c r="E41" s="268"/>
      <c r="F41" s="268"/>
      <c r="G41" s="268"/>
      <c r="H41" s="268"/>
      <c r="I41" s="268"/>
      <c r="J41" s="268"/>
      <c r="K41" s="268"/>
      <c r="L41" s="268"/>
      <c r="M41" s="268"/>
      <c r="N41" s="34" t="s">
        <v>915</v>
      </c>
      <c r="O41"/>
      <c r="P41"/>
      <c r="Z41" s="26"/>
      <c r="AA41" s="26"/>
      <c r="AB41" s="26"/>
      <c r="AC41" s="26"/>
      <c r="AD41" s="26"/>
      <c r="AE41" s="26"/>
      <c r="AF41" s="26"/>
      <c r="AG41" s="26"/>
    </row>
    <row r="42" spans="1:33" ht="13.9">
      <c r="A42" s="9" t="s">
        <v>300</v>
      </c>
      <c r="B42" s="268">
        <v>4594.51</v>
      </c>
      <c r="C42" s="268">
        <v>4329.74</v>
      </c>
      <c r="D42" s="268">
        <v>5157.41</v>
      </c>
      <c r="E42" s="268">
        <v>2627.86</v>
      </c>
      <c r="F42" s="268">
        <v>2463.77</v>
      </c>
      <c r="G42" s="268">
        <v>2806.3</v>
      </c>
      <c r="H42" s="268">
        <v>2824.76</v>
      </c>
      <c r="I42" s="268">
        <v>2389.9699999999998</v>
      </c>
      <c r="J42" s="268">
        <v>1385.2</v>
      </c>
      <c r="K42" s="268">
        <v>2097.8000000000002</v>
      </c>
      <c r="L42" s="268">
        <v>1960.2</v>
      </c>
      <c r="M42" s="268">
        <v>2029.6</v>
      </c>
      <c r="N42" s="34" t="s">
        <v>915</v>
      </c>
      <c r="O42" t="s">
        <v>300</v>
      </c>
      <c r="P42"/>
      <c r="Z42" s="26"/>
      <c r="AA42" s="26"/>
      <c r="AB42" s="26"/>
      <c r="AC42" s="26"/>
      <c r="AD42" s="26"/>
      <c r="AE42" s="26"/>
      <c r="AF42" s="26"/>
      <c r="AG42" s="26"/>
    </row>
    <row r="43" spans="1:33" ht="15">
      <c r="A43" s="97" t="s">
        <v>930</v>
      </c>
      <c r="B43" s="1274">
        <v>2020.29</v>
      </c>
      <c r="C43" s="1274">
        <v>1649.52</v>
      </c>
      <c r="D43" s="1274">
        <v>1974.04</v>
      </c>
      <c r="E43" s="1274">
        <v>1432.16</v>
      </c>
      <c r="F43" s="1274">
        <v>1201.7</v>
      </c>
      <c r="G43" s="1274">
        <v>1428.19</v>
      </c>
      <c r="H43" s="1274">
        <v>1181.3499999999999</v>
      </c>
      <c r="I43" s="1274">
        <v>838.11</v>
      </c>
      <c r="J43" s="719">
        <v>566.5</v>
      </c>
      <c r="K43" s="719">
        <v>993.9</v>
      </c>
      <c r="L43" s="719">
        <v>1117.0999999999999</v>
      </c>
      <c r="M43" s="719">
        <v>1046.7</v>
      </c>
      <c r="N43" s="34"/>
      <c r="O43"/>
      <c r="P43"/>
      <c r="Z43" s="33"/>
      <c r="AA43" s="33"/>
      <c r="AB43" s="33"/>
      <c r="AC43" s="33"/>
      <c r="AD43" s="33"/>
      <c r="AE43" s="32"/>
      <c r="AF43" s="32"/>
      <c r="AG43" s="32"/>
    </row>
    <row r="44" spans="1:33" s="9" customFormat="1" ht="15">
      <c r="A44" s="23" t="s">
        <v>689</v>
      </c>
      <c r="B44" s="1274">
        <v>119.21</v>
      </c>
      <c r="C44" s="1274">
        <v>49.08</v>
      </c>
      <c r="D44" s="1274">
        <v>107.72</v>
      </c>
      <c r="E44" s="1274">
        <v>57.91</v>
      </c>
      <c r="F44" s="1274">
        <v>62.44</v>
      </c>
      <c r="G44" s="1274">
        <v>57.87</v>
      </c>
      <c r="H44" s="1274">
        <v>52.83</v>
      </c>
      <c r="I44" s="1274">
        <v>17.96</v>
      </c>
      <c r="J44" s="719">
        <v>51.3</v>
      </c>
      <c r="K44" s="719">
        <v>207.5</v>
      </c>
      <c r="L44" s="719">
        <v>29.2</v>
      </c>
      <c r="M44" s="719">
        <v>29.9</v>
      </c>
      <c r="N44" s="34" t="s">
        <v>915</v>
      </c>
      <c r="O44" t="s">
        <v>931</v>
      </c>
      <c r="P44"/>
      <c r="Q44" s="19" t="s">
        <v>916</v>
      </c>
      <c r="R44" s="9" t="s">
        <v>932</v>
      </c>
      <c r="Z44" s="35">
        <v>26132</v>
      </c>
      <c r="AA44" s="35">
        <v>26242</v>
      </c>
      <c r="AB44" s="35">
        <v>27877</v>
      </c>
      <c r="AC44" s="35">
        <v>27297</v>
      </c>
      <c r="AD44" s="35">
        <v>29415</v>
      </c>
      <c r="AE44" s="35">
        <f>93+3895+8161+3386+2410+2691+298+1967+558+5102</f>
        <v>28561</v>
      </c>
      <c r="AF44" s="35">
        <f>204+3852+5856+2880+1670+1831+281+1521+495+3430</f>
        <v>22020</v>
      </c>
      <c r="AG44" s="35">
        <f>433+3650+2993+3351+797+1217+262+888+302+5399</f>
        <v>19292</v>
      </c>
    </row>
    <row r="45" spans="1:33" s="9" customFormat="1" ht="15">
      <c r="A45" s="23" t="s">
        <v>690</v>
      </c>
      <c r="B45" s="719">
        <v>74.099999999999994</v>
      </c>
      <c r="C45" s="719">
        <v>28.6</v>
      </c>
      <c r="D45" s="719">
        <v>651.70000000000005</v>
      </c>
      <c r="E45" s="719">
        <v>10.9</v>
      </c>
      <c r="F45" s="719">
        <v>29.3</v>
      </c>
      <c r="G45" s="719">
        <v>0</v>
      </c>
      <c r="H45" s="719">
        <v>500</v>
      </c>
      <c r="I45" s="719">
        <v>600</v>
      </c>
      <c r="J45" s="719">
        <v>0</v>
      </c>
      <c r="K45" s="719">
        <v>16.3</v>
      </c>
      <c r="L45" s="719">
        <v>3.3</v>
      </c>
      <c r="M45" s="719">
        <v>250</v>
      </c>
      <c r="N45" s="34"/>
      <c r="O45"/>
      <c r="P45"/>
      <c r="Q45" s="19"/>
      <c r="Z45" s="35"/>
      <c r="AA45" s="35"/>
      <c r="AB45" s="35"/>
      <c r="AC45" s="35"/>
      <c r="AD45" s="35"/>
      <c r="AE45" s="35"/>
      <c r="AF45" s="35"/>
      <c r="AG45" s="35"/>
    </row>
    <row r="46" spans="1:33" ht="15">
      <c r="A46" s="97" t="s">
        <v>691</v>
      </c>
      <c r="B46" s="719">
        <f t="shared" ref="B46" si="23">B42-SUM(B43:B45)</f>
        <v>2380.9100000000003</v>
      </c>
      <c r="C46" s="719">
        <f t="shared" ref="C46:M46" si="24">C42-SUM(C43:C45)</f>
        <v>2602.54</v>
      </c>
      <c r="D46" s="719">
        <f t="shared" si="24"/>
        <v>2423.9499999999998</v>
      </c>
      <c r="E46" s="719">
        <f t="shared" si="24"/>
        <v>1126.8899999999999</v>
      </c>
      <c r="F46" s="719">
        <f>F42-SUM(F43:F45)</f>
        <v>1170.33</v>
      </c>
      <c r="G46" s="719">
        <f t="shared" si="24"/>
        <v>1320.2400000000002</v>
      </c>
      <c r="H46" s="719">
        <f t="shared" si="24"/>
        <v>1090.5800000000004</v>
      </c>
      <c r="I46" s="719">
        <f t="shared" si="24"/>
        <v>933.89999999999964</v>
      </c>
      <c r="J46" s="719">
        <f t="shared" si="24"/>
        <v>767.40000000000009</v>
      </c>
      <c r="K46" s="719">
        <f t="shared" si="24"/>
        <v>880.10000000000014</v>
      </c>
      <c r="L46" s="719">
        <f t="shared" si="24"/>
        <v>810.60000000000014</v>
      </c>
      <c r="M46" s="719">
        <f t="shared" si="24"/>
        <v>702.99999999999977</v>
      </c>
      <c r="N46" s="34" t="s">
        <v>915</v>
      </c>
      <c r="O46"/>
      <c r="P46"/>
      <c r="R46" s="19" t="s">
        <v>933</v>
      </c>
      <c r="Z46" s="28">
        <v>7303</v>
      </c>
      <c r="AA46" s="28">
        <v>6967</v>
      </c>
      <c r="AB46" s="28">
        <v>4708</v>
      </c>
      <c r="AC46" s="28">
        <v>3679</v>
      </c>
      <c r="AD46" s="28">
        <v>5287</v>
      </c>
      <c r="AE46" s="28">
        <v>5660</v>
      </c>
      <c r="AF46" s="28">
        <v>3925</v>
      </c>
      <c r="AG46" s="28">
        <v>5701</v>
      </c>
    </row>
    <row r="47" spans="1:33" ht="13.9">
      <c r="A47" s="9" t="s">
        <v>694</v>
      </c>
      <c r="B47" s="268">
        <f t="shared" ref="B47:M47" si="25">B50-B42</f>
        <v>8622.24</v>
      </c>
      <c r="C47" s="268">
        <f t="shared" si="25"/>
        <v>8579.56</v>
      </c>
      <c r="D47" s="268">
        <f t="shared" si="25"/>
        <v>6061.8700000000008</v>
      </c>
      <c r="E47" s="268">
        <f t="shared" si="25"/>
        <v>6265.67</v>
      </c>
      <c r="F47" s="268">
        <f t="shared" si="25"/>
        <v>5089.7199999999993</v>
      </c>
      <c r="G47" s="268">
        <f t="shared" si="25"/>
        <v>4912.32</v>
      </c>
      <c r="H47" s="268">
        <f t="shared" si="25"/>
        <v>3931.71</v>
      </c>
      <c r="I47" s="268">
        <f t="shared" si="25"/>
        <v>4578.84</v>
      </c>
      <c r="J47" s="268">
        <f t="shared" si="25"/>
        <v>5091.9000000000005</v>
      </c>
      <c r="K47" s="268">
        <f t="shared" si="25"/>
        <v>5443</v>
      </c>
      <c r="L47" s="268">
        <f t="shared" si="25"/>
        <v>5332.8</v>
      </c>
      <c r="M47" s="268">
        <f t="shared" si="25"/>
        <v>4237.1000000000004</v>
      </c>
      <c r="N47" s="34" t="s">
        <v>915</v>
      </c>
      <c r="O47" t="s">
        <v>934</v>
      </c>
      <c r="P47"/>
      <c r="Z47" s="28"/>
      <c r="AA47" s="28"/>
      <c r="AB47" s="28"/>
      <c r="AC47" s="28"/>
      <c r="AD47" s="28"/>
      <c r="AE47" s="28"/>
      <c r="AF47" s="28"/>
      <c r="AG47" s="28"/>
    </row>
    <row r="48" spans="1:33" ht="15">
      <c r="A48" s="23" t="s">
        <v>935</v>
      </c>
      <c r="B48" s="1274">
        <v>6648.87</v>
      </c>
      <c r="C48" s="1274">
        <v>6613.69</v>
      </c>
      <c r="D48" s="1274">
        <v>4961.41</v>
      </c>
      <c r="E48" s="1274">
        <v>5271.79</v>
      </c>
      <c r="F48" s="1274">
        <v>4291.3</v>
      </c>
      <c r="G48" s="1274">
        <v>4233.28</v>
      </c>
      <c r="H48" s="1274">
        <v>3242.24</v>
      </c>
      <c r="I48" s="1274">
        <v>3739.14</v>
      </c>
      <c r="J48" s="719">
        <v>4337.1000000000004</v>
      </c>
      <c r="K48" s="719">
        <v>4360.6000000000004</v>
      </c>
      <c r="L48" s="719">
        <v>4376.8999999999996</v>
      </c>
      <c r="M48" s="719">
        <v>3380.2</v>
      </c>
      <c r="N48" s="34" t="s">
        <v>915</v>
      </c>
      <c r="O48" t="s">
        <v>936</v>
      </c>
      <c r="P48"/>
      <c r="Z48" s="21">
        <f t="shared" ref="Z48:AG48" si="26">Z44-Z46</f>
        <v>18829</v>
      </c>
      <c r="AA48" s="21">
        <f t="shared" si="26"/>
        <v>19275</v>
      </c>
      <c r="AB48" s="21">
        <f t="shared" si="26"/>
        <v>23169</v>
      </c>
      <c r="AC48" s="21">
        <f t="shared" si="26"/>
        <v>23618</v>
      </c>
      <c r="AD48" s="21">
        <f t="shared" si="26"/>
        <v>24128</v>
      </c>
      <c r="AE48" s="21">
        <f t="shared" si="26"/>
        <v>22901</v>
      </c>
      <c r="AF48" s="21">
        <f t="shared" si="26"/>
        <v>18095</v>
      </c>
      <c r="AG48" s="21">
        <f t="shared" si="26"/>
        <v>13591</v>
      </c>
    </row>
    <row r="49" spans="1:33" ht="15">
      <c r="A49" s="97" t="s">
        <v>697</v>
      </c>
      <c r="B49" s="719">
        <f t="shared" ref="B49:M49" si="27">B47-SUM(B48:B48)</f>
        <v>1973.37</v>
      </c>
      <c r="C49" s="719">
        <f t="shared" si="27"/>
        <v>1965.87</v>
      </c>
      <c r="D49" s="719">
        <f t="shared" si="27"/>
        <v>1100.4600000000009</v>
      </c>
      <c r="E49" s="719">
        <f t="shared" si="27"/>
        <v>993.88000000000011</v>
      </c>
      <c r="F49" s="719">
        <f t="shared" si="27"/>
        <v>798.41999999999916</v>
      </c>
      <c r="G49" s="719">
        <f t="shared" si="27"/>
        <v>679.04</v>
      </c>
      <c r="H49" s="719">
        <f t="shared" si="27"/>
        <v>689.47000000000025</v>
      </c>
      <c r="I49" s="719">
        <f t="shared" si="27"/>
        <v>839.70000000000027</v>
      </c>
      <c r="J49" s="719">
        <f t="shared" si="27"/>
        <v>754.80000000000018</v>
      </c>
      <c r="K49" s="719">
        <f t="shared" si="27"/>
        <v>1082.3999999999996</v>
      </c>
      <c r="L49" s="719">
        <f t="shared" si="27"/>
        <v>955.90000000000055</v>
      </c>
      <c r="M49" s="719">
        <f t="shared" si="27"/>
        <v>856.90000000000055</v>
      </c>
      <c r="N49" s="34" t="s">
        <v>915</v>
      </c>
      <c r="O49" t="s">
        <v>937</v>
      </c>
      <c r="P49"/>
      <c r="R49" s="19" t="s">
        <v>938</v>
      </c>
      <c r="Z49" s="24">
        <v>22818</v>
      </c>
      <c r="AA49" s="24">
        <v>25169</v>
      </c>
      <c r="AB49" s="24">
        <v>27784</v>
      </c>
      <c r="AC49" s="24">
        <v>26719</v>
      </c>
      <c r="AD49" s="24">
        <v>27752</v>
      </c>
      <c r="AE49" s="24">
        <v>24944</v>
      </c>
      <c r="AF49" s="24">
        <v>20437</v>
      </c>
      <c r="AG49" s="24">
        <v>21847</v>
      </c>
    </row>
    <row r="50" spans="1:33" ht="15">
      <c r="A50" s="9" t="s">
        <v>49</v>
      </c>
      <c r="B50" s="1275">
        <v>13216.75</v>
      </c>
      <c r="C50" s="1275">
        <v>12909.3</v>
      </c>
      <c r="D50" s="1275">
        <v>11219.28</v>
      </c>
      <c r="E50" s="1275">
        <v>8893.5300000000007</v>
      </c>
      <c r="F50" s="1275">
        <v>7553.49</v>
      </c>
      <c r="G50" s="1275">
        <v>7718.62</v>
      </c>
      <c r="H50" s="1275">
        <v>6756.47</v>
      </c>
      <c r="I50" s="1275">
        <v>6968.81</v>
      </c>
      <c r="J50" s="268">
        <v>6477.1</v>
      </c>
      <c r="K50" s="268">
        <v>7540.8</v>
      </c>
      <c r="L50" s="268">
        <v>7293</v>
      </c>
      <c r="M50" s="268">
        <v>6266.7</v>
      </c>
      <c r="N50" s="34" t="s">
        <v>915</v>
      </c>
      <c r="O50" t="s">
        <v>49</v>
      </c>
      <c r="P50"/>
      <c r="Z50" s="24"/>
      <c r="AA50" s="24"/>
      <c r="AB50" s="24"/>
      <c r="AC50" s="24"/>
      <c r="AD50" s="24"/>
      <c r="AE50" s="24"/>
      <c r="AF50" s="24"/>
      <c r="AG50" s="24"/>
    </row>
    <row r="51" spans="1:33">
      <c r="B51" s="352"/>
      <c r="C51" s="352"/>
      <c r="D51" s="352"/>
      <c r="E51" s="352"/>
      <c r="F51" s="352"/>
      <c r="G51" s="352"/>
      <c r="H51" s="352"/>
      <c r="I51" s="352"/>
      <c r="J51" s="352"/>
      <c r="K51" s="352"/>
      <c r="L51" s="352"/>
      <c r="M51" s="352"/>
      <c r="N51" s="34" t="s">
        <v>915</v>
      </c>
      <c r="O51"/>
      <c r="P51"/>
      <c r="Z51" s="21" t="e">
        <f>#REF!-Z49</f>
        <v>#REF!</v>
      </c>
      <c r="AA51" s="21" t="e">
        <f>#REF!-AA49</f>
        <v>#REF!</v>
      </c>
      <c r="AB51" s="21" t="e">
        <f>#REF!-AB49</f>
        <v>#REF!</v>
      </c>
      <c r="AC51" s="21" t="e">
        <f>#REF!-AC49</f>
        <v>#REF!</v>
      </c>
      <c r="AD51" s="21" t="e">
        <f>#REF!-AD49</f>
        <v>#REF!</v>
      </c>
      <c r="AE51" s="21" t="e">
        <f>#REF!-AE49</f>
        <v>#REF!</v>
      </c>
      <c r="AF51" s="21" t="e">
        <f>#REF!-AF49</f>
        <v>#REF!</v>
      </c>
      <c r="AG51" s="21" t="e">
        <f>#REF!-AG49</f>
        <v>#REF!</v>
      </c>
    </row>
    <row r="52" spans="1:33" s="9" customFormat="1" ht="13.9">
      <c r="A52" s="19"/>
      <c r="B52" s="352"/>
      <c r="C52" s="352"/>
      <c r="D52" s="352"/>
      <c r="E52" s="352"/>
      <c r="F52" s="352"/>
      <c r="G52" s="352"/>
      <c r="H52" s="352"/>
      <c r="I52" s="352"/>
      <c r="J52" s="352"/>
      <c r="K52" s="352"/>
      <c r="L52" s="352"/>
      <c r="M52" s="352"/>
      <c r="N52" s="34" t="s">
        <v>915</v>
      </c>
      <c r="O52"/>
      <c r="P52"/>
      <c r="Z52" s="32" t="e">
        <f>+#REF!+Z44</f>
        <v>#REF!</v>
      </c>
      <c r="AA52" s="32" t="e">
        <f>+#REF!+AA44</f>
        <v>#REF!</v>
      </c>
      <c r="AB52" s="32" t="e">
        <f>+#REF!+AB44</f>
        <v>#REF!</v>
      </c>
      <c r="AC52" s="32" t="e">
        <f>AC44+#REF!</f>
        <v>#REF!</v>
      </c>
      <c r="AD52" s="32" t="e">
        <f>#REF!+AD44</f>
        <v>#REF!</v>
      </c>
      <c r="AE52" s="32" t="e">
        <f>#REF!+AE44</f>
        <v>#REF!</v>
      </c>
      <c r="AF52" s="32" t="e">
        <f>#REF!+AF44</f>
        <v>#REF!</v>
      </c>
      <c r="AG52" s="32" t="e">
        <f>#REF!+AG44</f>
        <v>#REF!</v>
      </c>
    </row>
    <row r="53" spans="1:33" ht="15">
      <c r="A53" s="36" t="s">
        <v>699</v>
      </c>
      <c r="B53" s="1266">
        <v>1183.0999999999999</v>
      </c>
      <c r="C53" s="1266">
        <v>1155.2</v>
      </c>
      <c r="D53" s="1266">
        <v>587.4</v>
      </c>
      <c r="E53" s="1266">
        <v>443.2</v>
      </c>
      <c r="F53" s="1266">
        <v>433.3</v>
      </c>
      <c r="G53" s="1266">
        <v>409.9</v>
      </c>
      <c r="H53" s="1266">
        <v>345.8</v>
      </c>
      <c r="I53" s="1266">
        <v>374.8</v>
      </c>
      <c r="J53" s="1266">
        <v>372.1</v>
      </c>
      <c r="K53" s="1266">
        <v>302.7</v>
      </c>
      <c r="L53" s="1266">
        <v>264.5</v>
      </c>
      <c r="M53" s="1266">
        <v>243.8</v>
      </c>
      <c r="N53" s="720"/>
      <c r="O53" s="706"/>
      <c r="P53" s="706"/>
    </row>
    <row r="54" spans="1:33">
      <c r="B54" s="352"/>
      <c r="C54" s="352"/>
      <c r="D54" s="352"/>
      <c r="E54" s="352"/>
      <c r="F54" s="352"/>
      <c r="G54" s="352"/>
      <c r="H54" s="352"/>
      <c r="I54" s="352"/>
      <c r="J54" s="352"/>
      <c r="K54" s="352"/>
      <c r="L54" s="352"/>
      <c r="M54" s="352"/>
      <c r="N54" s="34" t="s">
        <v>915</v>
      </c>
      <c r="O54"/>
      <c r="P54"/>
    </row>
    <row r="55" spans="1:33" s="9" customFormat="1" ht="13.9">
      <c r="A55" s="9" t="s">
        <v>700</v>
      </c>
      <c r="B55" s="268">
        <f t="shared" ref="B55:M55" si="28">B38-B50-B53</f>
        <v>20940.650000000001</v>
      </c>
      <c r="C55" s="268">
        <f t="shared" si="28"/>
        <v>18414.7</v>
      </c>
      <c r="D55" s="268">
        <f t="shared" si="28"/>
        <v>14016.419999999998</v>
      </c>
      <c r="E55" s="268">
        <f t="shared" si="28"/>
        <v>10788.67</v>
      </c>
      <c r="F55" s="268">
        <f t="shared" si="28"/>
        <v>10357.910000000002</v>
      </c>
      <c r="G55" s="268">
        <f t="shared" si="28"/>
        <v>9792.08</v>
      </c>
      <c r="H55" s="268">
        <f t="shared" si="28"/>
        <v>8739.0299999999988</v>
      </c>
      <c r="I55" s="268">
        <f t="shared" si="28"/>
        <v>7879.8899999999985</v>
      </c>
      <c r="J55" s="268">
        <f t="shared" si="28"/>
        <v>7477.7999999999993</v>
      </c>
      <c r="K55" s="268">
        <f t="shared" si="28"/>
        <v>7772.4</v>
      </c>
      <c r="L55" s="268">
        <f t="shared" si="28"/>
        <v>7645.7999999999993</v>
      </c>
      <c r="M55" s="268">
        <f t="shared" si="28"/>
        <v>7641.6</v>
      </c>
      <c r="N55" s="34" t="s">
        <v>915</v>
      </c>
      <c r="O55"/>
      <c r="P55"/>
      <c r="Q55" s="19" t="s">
        <v>916</v>
      </c>
      <c r="R55" s="9" t="s">
        <v>939</v>
      </c>
    </row>
    <row r="56" spans="1:33" ht="13.9">
      <c r="A56" s="9"/>
      <c r="B56" s="268"/>
      <c r="C56" s="268"/>
      <c r="D56" s="268"/>
      <c r="E56" s="268"/>
      <c r="F56" s="268"/>
      <c r="G56" s="268"/>
      <c r="H56" s="268"/>
      <c r="I56" s="268"/>
      <c r="J56" s="268"/>
      <c r="K56" s="268"/>
      <c r="L56" s="268"/>
      <c r="M56" s="268"/>
      <c r="N56" s="34"/>
      <c r="O56"/>
      <c r="P56"/>
    </row>
    <row r="57" spans="1:33" ht="13.9">
      <c r="A57" s="45" t="s">
        <v>940</v>
      </c>
      <c r="B57" s="268"/>
      <c r="C57" s="268"/>
      <c r="D57" s="268"/>
      <c r="E57" s="268"/>
      <c r="F57" s="268"/>
      <c r="G57" s="268"/>
      <c r="H57" s="268"/>
      <c r="I57" s="268"/>
      <c r="J57" s="268"/>
      <c r="K57" s="268"/>
      <c r="L57" s="268"/>
      <c r="M57" s="268"/>
      <c r="N57" s="34"/>
      <c r="O57"/>
      <c r="P57"/>
    </row>
    <row r="58" spans="1:33" ht="13.9">
      <c r="A58" s="9" t="s">
        <v>129</v>
      </c>
      <c r="B58" s="268">
        <v>7111.9</v>
      </c>
      <c r="C58" s="268">
        <v>10072</v>
      </c>
      <c r="D58" s="268">
        <v>6230.8</v>
      </c>
      <c r="E58" s="268">
        <v>2696.9</v>
      </c>
      <c r="F58" s="268">
        <v>2809.4</v>
      </c>
      <c r="G58" s="268">
        <v>2394</v>
      </c>
      <c r="H58" s="268">
        <v>1055.3</v>
      </c>
      <c r="I58" s="268">
        <v>1750</v>
      </c>
      <c r="J58" s="268">
        <v>2168.8000000000002</v>
      </c>
      <c r="K58" s="268">
        <v>1342.9</v>
      </c>
      <c r="L58" s="268">
        <v>1078</v>
      </c>
      <c r="M58" s="268">
        <v>1200.4000000000001</v>
      </c>
      <c r="N58" s="34"/>
      <c r="O58"/>
      <c r="P58"/>
    </row>
    <row r="59" spans="1:33">
      <c r="A59" s="23" t="s">
        <v>67</v>
      </c>
      <c r="B59" s="269">
        <f t="shared" ref="B59:M59" si="29">B12</f>
        <v>4524.8490000000002</v>
      </c>
      <c r="C59" s="269">
        <f t="shared" si="29"/>
        <v>7607.8180000000011</v>
      </c>
      <c r="D59" s="269">
        <f t="shared" si="29"/>
        <v>6826.9750000000004</v>
      </c>
      <c r="E59" s="269">
        <f t="shared" si="29"/>
        <v>721.06899999999985</v>
      </c>
      <c r="F59" s="269">
        <f t="shared" si="29"/>
        <v>1271.1630000000002</v>
      </c>
      <c r="G59" s="269">
        <f t="shared" si="29"/>
        <v>2360.3980000000001</v>
      </c>
      <c r="H59" s="269">
        <f t="shared" si="29"/>
        <v>1318.6950000000002</v>
      </c>
      <c r="I59" s="269">
        <f t="shared" si="29"/>
        <v>796.27000000000021</v>
      </c>
      <c r="J59" s="269">
        <f t="shared" si="29"/>
        <v>81.128999999999962</v>
      </c>
      <c r="K59" s="269">
        <f t="shared" si="29"/>
        <v>679.13200000000006</v>
      </c>
      <c r="L59" s="269">
        <f t="shared" si="29"/>
        <v>487.80799999999999</v>
      </c>
      <c r="M59" s="269">
        <f t="shared" si="29"/>
        <v>504.46499999999992</v>
      </c>
      <c r="N59" s="34"/>
      <c r="O59"/>
      <c r="P59"/>
    </row>
    <row r="60" spans="1:33">
      <c r="A60" s="97" t="s">
        <v>59</v>
      </c>
      <c r="B60" s="269">
        <v>1168.32</v>
      </c>
      <c r="C60" s="269">
        <v>1061.6300000000001</v>
      </c>
      <c r="D60" s="269">
        <v>864.56</v>
      </c>
      <c r="E60" s="269">
        <v>785.47</v>
      </c>
      <c r="F60" s="269">
        <v>734.65</v>
      </c>
      <c r="G60" s="269">
        <v>719.64</v>
      </c>
      <c r="H60" s="269">
        <v>727.06</v>
      </c>
      <c r="I60" s="269">
        <v>687.05</v>
      </c>
      <c r="J60" s="269">
        <v>944.9</v>
      </c>
      <c r="K60" s="269">
        <v>749.8</v>
      </c>
      <c r="L60" s="269">
        <v>624.20000000000005</v>
      </c>
      <c r="M60" s="269">
        <v>624.6</v>
      </c>
      <c r="N60" s="720"/>
      <c r="O60" s="706"/>
      <c r="P60" s="706"/>
    </row>
    <row r="61" spans="1:33">
      <c r="A61" s="97" t="s">
        <v>941</v>
      </c>
      <c r="B61" s="269">
        <v>858.41</v>
      </c>
      <c r="C61" s="269">
        <v>877.44</v>
      </c>
      <c r="D61" s="269">
        <v>-1862.89</v>
      </c>
      <c r="E61" s="269">
        <v>203.99</v>
      </c>
      <c r="F61" s="269">
        <v>413.26</v>
      </c>
      <c r="G61" s="269">
        <v>-983.16</v>
      </c>
      <c r="H61" s="269">
        <v>-902.93</v>
      </c>
      <c r="I61" s="269">
        <v>32.729999999999997</v>
      </c>
      <c r="J61" s="269">
        <v>1538.9</v>
      </c>
      <c r="K61" s="269">
        <v>-257.89999999999998</v>
      </c>
      <c r="L61" s="269">
        <v>-272.3</v>
      </c>
      <c r="M61" s="269">
        <v>-74.2</v>
      </c>
      <c r="N61" s="722"/>
      <c r="O61"/>
      <c r="P61"/>
    </row>
    <row r="62" spans="1:33">
      <c r="A62" s="97" t="s">
        <v>942</v>
      </c>
      <c r="B62" s="269">
        <f t="shared" ref="B62" si="30">B58-B59-B60-B61</f>
        <v>560.32099999999957</v>
      </c>
      <c r="C62" s="269">
        <f t="shared" ref="C62" si="31">C58-C59-C60-C61</f>
        <v>525.11199999999872</v>
      </c>
      <c r="D62" s="269">
        <f>D58-D59-D60-D61</f>
        <v>402.15499999999997</v>
      </c>
      <c r="E62" s="269">
        <f t="shared" ref="E62:M62" si="32">E58-E59-E60-E61</f>
        <v>986.37100000000009</v>
      </c>
      <c r="F62" s="269">
        <f t="shared" si="32"/>
        <v>390.32699999999988</v>
      </c>
      <c r="G62" s="269">
        <f t="shared" si="32"/>
        <v>297.12199999999984</v>
      </c>
      <c r="H62" s="269">
        <f t="shared" si="32"/>
        <v>-87.525000000000205</v>
      </c>
      <c r="I62" s="269">
        <f t="shared" si="32"/>
        <v>233.94999999999985</v>
      </c>
      <c r="J62" s="269">
        <f t="shared" si="32"/>
        <v>-396.12899999999991</v>
      </c>
      <c r="K62" s="269">
        <f t="shared" si="32"/>
        <v>171.86800000000005</v>
      </c>
      <c r="L62" s="269">
        <f t="shared" si="32"/>
        <v>238.29199999999997</v>
      </c>
      <c r="M62" s="269">
        <f t="shared" si="32"/>
        <v>145.53500000000014</v>
      </c>
      <c r="N62" s="34"/>
      <c r="O62"/>
      <c r="P62"/>
    </row>
    <row r="63" spans="1:33" ht="13.9">
      <c r="A63" s="9" t="s">
        <v>130</v>
      </c>
      <c r="B63" s="268">
        <v>-2496.4299999999998</v>
      </c>
      <c r="C63" s="268">
        <v>-5702.71</v>
      </c>
      <c r="D63" s="268">
        <v>-2873.85</v>
      </c>
      <c r="E63" s="268">
        <v>-1764.29</v>
      </c>
      <c r="F63" s="268">
        <v>-1794.19</v>
      </c>
      <c r="G63" s="268">
        <v>-1030.07</v>
      </c>
      <c r="H63" s="268">
        <v>-918.89</v>
      </c>
      <c r="I63" s="268">
        <v>-1025.1199999999999</v>
      </c>
      <c r="J63" s="268">
        <v>-441.7</v>
      </c>
      <c r="K63" s="268">
        <v>-1438.1</v>
      </c>
      <c r="L63" s="268">
        <v>-840</v>
      </c>
      <c r="M63" s="268">
        <v>-204</v>
      </c>
      <c r="N63" s="34"/>
      <c r="O63"/>
      <c r="P63"/>
    </row>
    <row r="64" spans="1:33">
      <c r="A64" s="97" t="s">
        <v>131</v>
      </c>
      <c r="B64" s="269">
        <v>-2199.3000000000002</v>
      </c>
      <c r="C64" s="269">
        <v>-1915.6</v>
      </c>
      <c r="D64" s="269">
        <v>-1602.6</v>
      </c>
      <c r="E64" s="269">
        <v>-1502.3</v>
      </c>
      <c r="F64" s="269">
        <v>-1435.7</v>
      </c>
      <c r="G64" s="269">
        <v>-950.9</v>
      </c>
      <c r="H64" s="269">
        <v>-423.2</v>
      </c>
      <c r="I64" s="269">
        <v>-586.29999999999995</v>
      </c>
      <c r="J64" s="269">
        <v>-344.7</v>
      </c>
      <c r="K64" s="269">
        <v>-631.4</v>
      </c>
      <c r="L64" s="269">
        <v>-1162.9000000000001</v>
      </c>
      <c r="M64" s="269">
        <v>-896.6</v>
      </c>
      <c r="N64" s="34"/>
      <c r="O64"/>
      <c r="P64"/>
    </row>
    <row r="65" spans="1:16">
      <c r="A65" s="97" t="s">
        <v>132</v>
      </c>
      <c r="B65" s="269">
        <v>-225.0440000000001</v>
      </c>
      <c r="C65" s="269">
        <v>-3876.9160000000002</v>
      </c>
      <c r="D65" s="269">
        <v>-1271.4260000000002</v>
      </c>
      <c r="E65" s="269">
        <v>-184.40999999999997</v>
      </c>
      <c r="F65" s="269">
        <v>-383.14599999999996</v>
      </c>
      <c r="G65" s="269">
        <v>16.936999999999998</v>
      </c>
      <c r="H65" s="269">
        <v>-503.04</v>
      </c>
      <c r="I65" s="269">
        <v>-587.97</v>
      </c>
      <c r="J65" s="269">
        <v>-99.9</v>
      </c>
      <c r="K65" s="269">
        <v>-938.9</v>
      </c>
      <c r="L65" s="269">
        <v>137.1</v>
      </c>
      <c r="M65" s="269">
        <v>675.7</v>
      </c>
      <c r="N65" s="34"/>
      <c r="O65"/>
      <c r="P65"/>
    </row>
    <row r="66" spans="1:16">
      <c r="A66" s="97" t="s">
        <v>943</v>
      </c>
      <c r="B66" s="269">
        <f>B63-B64-B65</f>
        <v>-72.085999999999558</v>
      </c>
      <c r="C66" s="269">
        <f>C63-C64-C65</f>
        <v>89.80600000000004</v>
      </c>
      <c r="D66" s="269">
        <f>D63-D64-D65</f>
        <v>0.17600000000015825</v>
      </c>
      <c r="E66" s="269">
        <f t="shared" ref="E66" si="33">E63-E64-E65</f>
        <v>-77.580000000000041</v>
      </c>
      <c r="F66" s="269">
        <f t="shared" ref="F66:M66" si="34">F63-F64-F65</f>
        <v>24.655999999999949</v>
      </c>
      <c r="G66" s="269">
        <f t="shared" si="34"/>
        <v>-96.106999999999957</v>
      </c>
      <c r="H66" s="269">
        <f t="shared" si="34"/>
        <v>7.3500000000000227</v>
      </c>
      <c r="I66" s="269">
        <f t="shared" si="34"/>
        <v>149.15000000000009</v>
      </c>
      <c r="J66" s="269">
        <f t="shared" si="34"/>
        <v>2.9000000000000057</v>
      </c>
      <c r="K66" s="269">
        <f t="shared" si="34"/>
        <v>132.20000000000005</v>
      </c>
      <c r="L66" s="269">
        <f t="shared" si="34"/>
        <v>185.8000000000001</v>
      </c>
      <c r="M66" s="269">
        <f t="shared" si="34"/>
        <v>16.899999999999977</v>
      </c>
      <c r="N66" s="34"/>
      <c r="O66"/>
      <c r="P66"/>
    </row>
    <row r="67" spans="1:16" ht="13.9">
      <c r="A67" s="9" t="s">
        <v>133</v>
      </c>
      <c r="B67" s="268">
        <v>-2592.81</v>
      </c>
      <c r="C67" s="268">
        <v>-2510.86</v>
      </c>
      <c r="D67" s="268">
        <v>-3602.88</v>
      </c>
      <c r="E67" s="268">
        <v>285.85000000000002</v>
      </c>
      <c r="F67" s="268">
        <v>-880.41</v>
      </c>
      <c r="G67" s="268">
        <v>-908.18</v>
      </c>
      <c r="H67" s="268">
        <v>-1242.31</v>
      </c>
      <c r="I67" s="268">
        <v>-626.42999999999995</v>
      </c>
      <c r="J67" s="268">
        <v>-801.5</v>
      </c>
      <c r="K67" s="268">
        <v>-359</v>
      </c>
      <c r="L67" s="268">
        <v>196</v>
      </c>
      <c r="M67" s="268">
        <v>-1146.9000000000001</v>
      </c>
      <c r="N67" s="34"/>
      <c r="O67"/>
      <c r="P67"/>
    </row>
    <row r="68" spans="1:16">
      <c r="A68" s="721" t="s">
        <v>944</v>
      </c>
      <c r="B68" s="269">
        <v>-34.869999999999997</v>
      </c>
      <c r="C68" s="269">
        <v>922.29</v>
      </c>
      <c r="D68" s="269">
        <v>246.81</v>
      </c>
      <c r="E68" s="269">
        <v>1135.95</v>
      </c>
      <c r="F68" s="269">
        <v>4.57</v>
      </c>
      <c r="G68" s="269">
        <v>500.75</v>
      </c>
      <c r="H68" s="269">
        <v>-565.13</v>
      </c>
      <c r="I68" s="269">
        <v>-33.36</v>
      </c>
      <c r="J68" s="269">
        <f>-155.8-16.3</f>
        <v>-172.10000000000002</v>
      </c>
      <c r="K68" s="269">
        <f>178.3-5.4</f>
        <v>172.9</v>
      </c>
      <c r="L68" s="269">
        <f>-0.7+999.1-250</f>
        <v>748.4</v>
      </c>
      <c r="M68" s="269">
        <f>-650+27.9</f>
        <v>-622.1</v>
      </c>
      <c r="N68" s="34"/>
      <c r="O68"/>
      <c r="P68"/>
    </row>
    <row r="69" spans="1:16">
      <c r="A69" s="97" t="s">
        <v>945</v>
      </c>
      <c r="B69" s="269">
        <v>0</v>
      </c>
      <c r="C69" s="269">
        <v>0</v>
      </c>
      <c r="D69" s="269">
        <v>0</v>
      </c>
      <c r="E69" s="269">
        <v>0</v>
      </c>
      <c r="F69" s="269">
        <v>0</v>
      </c>
      <c r="G69" s="269">
        <v>0</v>
      </c>
      <c r="H69" s="269">
        <v>0</v>
      </c>
      <c r="I69" s="269">
        <v>0</v>
      </c>
      <c r="J69" s="269">
        <v>0</v>
      </c>
      <c r="K69" s="269">
        <v>0</v>
      </c>
      <c r="L69" s="269">
        <v>0</v>
      </c>
      <c r="M69" s="269">
        <v>0</v>
      </c>
      <c r="N69" s="34"/>
      <c r="O69"/>
      <c r="P69"/>
    </row>
    <row r="70" spans="1:16">
      <c r="A70" s="97" t="s">
        <v>946</v>
      </c>
      <c r="B70" s="269">
        <v>16.84</v>
      </c>
      <c r="C70" s="269">
        <v>16.007999999999999</v>
      </c>
      <c r="D70" s="269">
        <v>11.425000000000001</v>
      </c>
      <c r="E70" s="269">
        <v>9.5410000000000004</v>
      </c>
      <c r="F70" s="269">
        <v>9.1340000000000003</v>
      </c>
      <c r="G70" s="269">
        <v>0</v>
      </c>
      <c r="H70" s="269">
        <v>0</v>
      </c>
      <c r="I70" s="269">
        <v>0</v>
      </c>
      <c r="J70" s="269">
        <v>0</v>
      </c>
      <c r="K70" s="269">
        <v>0</v>
      </c>
      <c r="L70" s="269">
        <v>0</v>
      </c>
      <c r="M70" s="269">
        <v>0</v>
      </c>
      <c r="N70" s="34"/>
      <c r="O70"/>
      <c r="P70"/>
    </row>
    <row r="71" spans="1:16">
      <c r="A71" s="97" t="s">
        <v>134</v>
      </c>
      <c r="B71" s="269">
        <v>-514.53</v>
      </c>
      <c r="C71" s="269">
        <v>-533.59</v>
      </c>
      <c r="D71" s="269">
        <v>-483.47</v>
      </c>
      <c r="E71" s="269">
        <v>-491.66</v>
      </c>
      <c r="F71" s="269">
        <v>-492.06</v>
      </c>
      <c r="G71" s="269">
        <v>-485.38</v>
      </c>
      <c r="H71" s="269">
        <v>-485.32</v>
      </c>
      <c r="I71" s="269">
        <v>-481.08</v>
      </c>
      <c r="J71" s="269">
        <v>-479.4</v>
      </c>
      <c r="K71" s="269">
        <v>-475.1</v>
      </c>
      <c r="L71" s="269">
        <v>-471</v>
      </c>
      <c r="M71" s="269">
        <v>-466.4</v>
      </c>
      <c r="N71" s="31" t="s">
        <v>947</v>
      </c>
      <c r="O71" t="s">
        <v>948</v>
      </c>
      <c r="P71"/>
    </row>
    <row r="72" spans="1:16">
      <c r="A72" s="97" t="s">
        <v>675</v>
      </c>
      <c r="B72" s="269">
        <v>-1591.52</v>
      </c>
      <c r="C72" s="269">
        <v>-2803.8</v>
      </c>
      <c r="D72" s="269">
        <v>-3204.09</v>
      </c>
      <c r="E72" s="269">
        <v>-46.76</v>
      </c>
      <c r="F72" s="269">
        <v>-307.44</v>
      </c>
      <c r="G72" s="269">
        <v>-852.02</v>
      </c>
      <c r="H72" s="351">
        <v>-97.64</v>
      </c>
      <c r="I72" s="269">
        <v>0.89</v>
      </c>
      <c r="J72" s="351">
        <v>-66.5</v>
      </c>
      <c r="K72" s="269">
        <v>0</v>
      </c>
      <c r="L72" s="269">
        <v>0</v>
      </c>
      <c r="M72" s="269">
        <v>0</v>
      </c>
      <c r="N72" s="31" t="s">
        <v>947</v>
      </c>
      <c r="O72" t="str">
        <f>+A72</f>
        <v>Share buyback</v>
      </c>
      <c r="P72"/>
    </row>
    <row r="73" spans="1:16">
      <c r="A73" s="97" t="s">
        <v>943</v>
      </c>
      <c r="B73" s="269">
        <f>B67-B68-B69-B70-B71-B72</f>
        <v>-468.73</v>
      </c>
      <c r="C73" s="269">
        <f t="shared" ref="C73:M73" si="35">C67-C68-C69-C70-C71-C72</f>
        <v>-111.76799999999957</v>
      </c>
      <c r="D73" s="269">
        <f t="shared" si="35"/>
        <v>-173.55500000000029</v>
      </c>
      <c r="E73" s="269">
        <f t="shared" si="35"/>
        <v>-321.22100000000006</v>
      </c>
      <c r="F73" s="269">
        <f t="shared" si="35"/>
        <v>-94.614000000000033</v>
      </c>
      <c r="G73" s="269">
        <f t="shared" si="35"/>
        <v>-71.529999999999859</v>
      </c>
      <c r="H73" s="351">
        <f t="shared" si="35"/>
        <v>-94.219999999999956</v>
      </c>
      <c r="I73" s="269">
        <f t="shared" si="35"/>
        <v>-112.87999999999995</v>
      </c>
      <c r="J73" s="351">
        <f t="shared" si="35"/>
        <v>-83.5</v>
      </c>
      <c r="K73" s="269">
        <f t="shared" si="35"/>
        <v>-56.799999999999955</v>
      </c>
      <c r="L73" s="269">
        <f t="shared" si="35"/>
        <v>-81.399999999999977</v>
      </c>
      <c r="M73" s="269">
        <f t="shared" si="35"/>
        <v>-58.400000000000091</v>
      </c>
      <c r="N73" s="34"/>
      <c r="O73"/>
      <c r="P73"/>
    </row>
    <row r="74" spans="1:16" ht="13.9">
      <c r="A74" s="9" t="s">
        <v>137</v>
      </c>
      <c r="B74" s="269"/>
      <c r="C74" s="269"/>
      <c r="D74" s="269"/>
      <c r="E74" s="269"/>
      <c r="F74" s="269"/>
      <c r="G74" s="269"/>
      <c r="H74" s="269"/>
      <c r="I74" s="269"/>
      <c r="J74" s="269"/>
      <c r="K74" s="269"/>
      <c r="L74" s="269"/>
      <c r="M74" s="269"/>
      <c r="N74" s="34"/>
      <c r="O74"/>
      <c r="P74"/>
    </row>
    <row r="75" spans="1:16" ht="13.9">
      <c r="A75" s="9" t="s">
        <v>701</v>
      </c>
      <c r="B75" s="268">
        <f t="shared" ref="B75:M75" si="36">B58+B63+B67+B74</f>
        <v>2022.6599999999994</v>
      </c>
      <c r="C75" s="268">
        <f t="shared" si="36"/>
        <v>1858.4299999999998</v>
      </c>
      <c r="D75" s="268">
        <f t="shared" si="36"/>
        <v>-245.92999999999984</v>
      </c>
      <c r="E75" s="268">
        <f t="shared" si="36"/>
        <v>1218.46</v>
      </c>
      <c r="F75" s="268">
        <f t="shared" si="36"/>
        <v>134.80000000000007</v>
      </c>
      <c r="G75" s="268">
        <f t="shared" si="36"/>
        <v>455.75000000000011</v>
      </c>
      <c r="H75" s="268">
        <f t="shared" si="36"/>
        <v>-1105.9000000000001</v>
      </c>
      <c r="I75" s="268">
        <f t="shared" si="36"/>
        <v>98.450000000000159</v>
      </c>
      <c r="J75" s="268">
        <f t="shared" si="36"/>
        <v>925.60000000000014</v>
      </c>
      <c r="K75" s="268">
        <f t="shared" si="36"/>
        <v>-454.19999999999982</v>
      </c>
      <c r="L75" s="268">
        <f t="shared" si="36"/>
        <v>434</v>
      </c>
      <c r="M75" s="268">
        <f t="shared" si="36"/>
        <v>-150.5</v>
      </c>
      <c r="N75" s="34"/>
      <c r="O75"/>
      <c r="P75"/>
    </row>
    <row r="76" spans="1:16">
      <c r="M76" s="21"/>
      <c r="N76"/>
      <c r="O76" t="s">
        <v>949</v>
      </c>
      <c r="P76"/>
    </row>
    <row r="77" spans="1:16" ht="13.9">
      <c r="A77" s="45" t="s">
        <v>950</v>
      </c>
      <c r="B77" s="45"/>
      <c r="C77" s="45"/>
      <c r="D77" s="45"/>
      <c r="E77" s="1666" t="s">
        <v>709</v>
      </c>
      <c r="F77" s="1666"/>
      <c r="G77" s="1666"/>
      <c r="H77" s="1666" t="s">
        <v>951</v>
      </c>
      <c r="I77" s="1666"/>
      <c r="J77" s="45" t="s">
        <v>711</v>
      </c>
      <c r="K77" s="45" t="s">
        <v>712</v>
      </c>
      <c r="L77" s="45" t="s">
        <v>713</v>
      </c>
      <c r="M77" s="32"/>
      <c r="N77"/>
      <c r="O77"/>
      <c r="P77"/>
    </row>
    <row r="78" spans="1:16">
      <c r="A78" s="23" t="s">
        <v>952</v>
      </c>
      <c r="B78" s="24">
        <v>32000</v>
      </c>
      <c r="C78" s="37" t="s">
        <v>953</v>
      </c>
      <c r="D78" s="21"/>
      <c r="E78" s="1663"/>
      <c r="F78" s="1663"/>
      <c r="G78" s="1663"/>
      <c r="H78" s="1664"/>
      <c r="I78" s="1664"/>
      <c r="J78" s="61"/>
      <c r="K78" s="60"/>
      <c r="L78" s="60"/>
      <c r="M78" s="21"/>
      <c r="N78" s="37" t="s">
        <v>954</v>
      </c>
      <c r="O78"/>
      <c r="P78"/>
    </row>
    <row r="79" spans="1:16">
      <c r="A79" s="23" t="s">
        <v>955</v>
      </c>
      <c r="B79" s="24">
        <v>237340</v>
      </c>
      <c r="C79" s="37" t="s">
        <v>956</v>
      </c>
      <c r="D79" s="21"/>
      <c r="E79" s="1663"/>
      <c r="F79" s="1663"/>
      <c r="G79" s="1663"/>
      <c r="H79" s="1664"/>
      <c r="I79" s="1664"/>
      <c r="J79" s="61"/>
      <c r="K79" s="60"/>
      <c r="L79" s="60"/>
      <c r="M79" s="21"/>
      <c r="N79" s="37" t="s">
        <v>954</v>
      </c>
      <c r="O79"/>
      <c r="P79"/>
    </row>
    <row r="80" spans="1:16">
      <c r="A80" s="23" t="s">
        <v>47</v>
      </c>
      <c r="B80" s="587">
        <f>235.37/237.34</f>
        <v>0.99169967135754611</v>
      </c>
      <c r="C80" s="37" t="s">
        <v>956</v>
      </c>
      <c r="D80" s="62"/>
      <c r="E80" s="1663"/>
      <c r="F80" s="1663"/>
      <c r="G80" s="1663"/>
      <c r="H80" s="1664"/>
      <c r="I80" s="1664"/>
      <c r="J80" s="61"/>
      <c r="K80" s="60"/>
      <c r="L80" s="60"/>
      <c r="M80" s="64"/>
      <c r="N80" s="37" t="s">
        <v>954</v>
      </c>
      <c r="O80"/>
      <c r="P80"/>
    </row>
    <row r="81" spans="1:16">
      <c r="A81" s="23" t="s">
        <v>52</v>
      </c>
      <c r="B81" s="587">
        <v>5.1000000000000004E-3</v>
      </c>
      <c r="C81" s="37" t="s">
        <v>956</v>
      </c>
      <c r="D81" s="63"/>
      <c r="E81" s="1663"/>
      <c r="F81" s="1663"/>
      <c r="G81" s="1663"/>
      <c r="H81" s="1664"/>
      <c r="I81" s="1664"/>
      <c r="J81" s="61"/>
      <c r="K81" s="60"/>
      <c r="L81" s="60"/>
      <c r="M81" s="64"/>
      <c r="N81" s="37" t="s">
        <v>954</v>
      </c>
      <c r="O81"/>
      <c r="P81"/>
    </row>
    <row r="82" spans="1:16">
      <c r="A82" s="23" t="s">
        <v>705</v>
      </c>
      <c r="B82" s="24" t="s">
        <v>957</v>
      </c>
      <c r="C82" s="37" t="s">
        <v>953</v>
      </c>
      <c r="D82" s="21"/>
      <c r="E82" s="1663"/>
      <c r="F82" s="1663"/>
      <c r="G82" s="1663"/>
      <c r="H82" s="1664"/>
      <c r="I82" s="1664"/>
      <c r="J82" s="61"/>
      <c r="K82" s="60"/>
      <c r="L82" s="60"/>
      <c r="M82" s="21"/>
      <c r="N82" s="37" t="s">
        <v>954</v>
      </c>
      <c r="O82"/>
      <c r="P82"/>
    </row>
    <row r="83" spans="1:16">
      <c r="A83" s="23" t="s">
        <v>958</v>
      </c>
      <c r="B83" s="588">
        <v>1.4800000000000001E-2</v>
      </c>
      <c r="C83" s="37" t="s">
        <v>956</v>
      </c>
      <c r="D83" s="21"/>
      <c r="E83" s="1663"/>
      <c r="F83" s="1663"/>
      <c r="G83" s="1663"/>
      <c r="H83" s="1664"/>
      <c r="I83" s="1664"/>
      <c r="J83" s="60"/>
      <c r="K83" s="60"/>
      <c r="L83" s="60"/>
      <c r="M83" s="21"/>
      <c r="N83" s="37" t="s">
        <v>954</v>
      </c>
      <c r="O83"/>
    </row>
    <row r="84" spans="1:16">
      <c r="A84" s="23" t="s">
        <v>707</v>
      </c>
      <c r="B84" s="723">
        <v>1.94</v>
      </c>
      <c r="C84" s="37" t="s">
        <v>959</v>
      </c>
      <c r="D84" s="21"/>
      <c r="E84" s="1663"/>
      <c r="F84" s="1663"/>
      <c r="G84" s="1663"/>
      <c r="H84" s="1664"/>
      <c r="I84" s="1664"/>
      <c r="J84" s="60"/>
      <c r="K84" s="60"/>
      <c r="L84" s="60"/>
      <c r="M84" s="21"/>
      <c r="N84" s="37" t="s">
        <v>954</v>
      </c>
    </row>
    <row r="85" spans="1:16" ht="13.9">
      <c r="B85" s="45">
        <f>B5</f>
        <v>2023</v>
      </c>
      <c r="C85" s="45">
        <f>C5</f>
        <v>2022</v>
      </c>
      <c r="D85" s="45">
        <f>D5</f>
        <v>2021</v>
      </c>
      <c r="E85" s="38"/>
      <c r="G85" s="38"/>
      <c r="H85" s="38"/>
      <c r="I85" s="38"/>
      <c r="J85" s="38"/>
      <c r="K85" s="38"/>
      <c r="L85" s="38"/>
      <c r="M85" s="38"/>
      <c r="N85"/>
    </row>
    <row r="86" spans="1:16">
      <c r="A86" s="23" t="s">
        <v>708</v>
      </c>
      <c r="B86" s="780">
        <v>2.92E-2</v>
      </c>
      <c r="C86" s="59"/>
      <c r="D86" s="59"/>
      <c r="E86" s="37" t="s">
        <v>959</v>
      </c>
      <c r="K86" s="19"/>
      <c r="L86" s="19"/>
      <c r="O86"/>
      <c r="P86"/>
    </row>
    <row r="87" spans="1:16" ht="13.9">
      <c r="A87" s="23" t="s">
        <v>73</v>
      </c>
      <c r="B87" s="59">
        <v>18</v>
      </c>
      <c r="C87" s="59">
        <v>28.79</v>
      </c>
      <c r="D87" s="59">
        <v>23.43</v>
      </c>
      <c r="E87" s="37" t="s">
        <v>959</v>
      </c>
      <c r="K87" s="19"/>
      <c r="L87" s="19"/>
      <c r="O87" s="45"/>
    </row>
    <row r="88" spans="1:16" ht="13.9">
      <c r="M88"/>
      <c r="N88" s="96"/>
      <c r="O88" s="45"/>
    </row>
    <row r="89" spans="1:16">
      <c r="J89" s="21"/>
      <c r="L89"/>
      <c r="M89"/>
      <c r="N89"/>
    </row>
    <row r="90" spans="1:16">
      <c r="J90" s="21"/>
      <c r="L90"/>
      <c r="M90"/>
      <c r="N90"/>
    </row>
    <row r="91" spans="1:16" ht="13.9" thickBot="1">
      <c r="J91" s="21"/>
      <c r="L91"/>
      <c r="M91"/>
      <c r="N91"/>
    </row>
    <row r="92" spans="1:16" ht="14.25" thickBot="1">
      <c r="B92" s="946" t="s">
        <v>960</v>
      </c>
      <c r="C92" s="947">
        <v>2023</v>
      </c>
      <c r="D92" s="947">
        <v>2022</v>
      </c>
      <c r="E92" s="947">
        <v>2021</v>
      </c>
      <c r="F92" s="947">
        <v>2020</v>
      </c>
      <c r="G92" s="947">
        <v>2019</v>
      </c>
      <c r="H92" s="941">
        <v>2018</v>
      </c>
      <c r="I92" s="989" t="s">
        <v>213</v>
      </c>
      <c r="J92" s="989" t="s">
        <v>641</v>
      </c>
      <c r="L92"/>
      <c r="M92"/>
      <c r="N92"/>
    </row>
    <row r="93" spans="1:16">
      <c r="A93" s="954" t="s">
        <v>558</v>
      </c>
      <c r="B93" s="954">
        <v>30426.75</v>
      </c>
      <c r="C93" s="955">
        <v>34714</v>
      </c>
      <c r="D93" s="955">
        <v>41512</v>
      </c>
      <c r="E93" s="955">
        <v>36484</v>
      </c>
      <c r="F93" s="955">
        <v>20140</v>
      </c>
      <c r="G93" s="955">
        <v>22588.858</v>
      </c>
      <c r="H93" s="956">
        <v>25067.278999999999</v>
      </c>
      <c r="I93" s="942"/>
      <c r="J93" s="942"/>
      <c r="L93"/>
      <c r="M93"/>
      <c r="N93"/>
    </row>
    <row r="94" spans="1:16">
      <c r="A94" s="948" t="s">
        <v>658</v>
      </c>
      <c r="B94" s="948">
        <v>-334.94900000000001</v>
      </c>
      <c r="C94" s="19">
        <v>-70.823999999999998</v>
      </c>
      <c r="D94" s="19">
        <v>-3553.1909999999998</v>
      </c>
      <c r="E94" s="19">
        <v>-1426.424</v>
      </c>
      <c r="F94" s="19">
        <v>-88.070999999999998</v>
      </c>
      <c r="G94" s="19">
        <v>-83.105999999999995</v>
      </c>
      <c r="H94" s="942">
        <v>-33.063000000000002</v>
      </c>
      <c r="I94" s="942"/>
      <c r="J94" s="942"/>
      <c r="L94"/>
      <c r="M94"/>
      <c r="N94"/>
    </row>
    <row r="95" spans="1:16">
      <c r="A95" s="948" t="s">
        <v>659</v>
      </c>
      <c r="B95" s="949">
        <f t="shared" ref="B95:H95" si="37">B94/B93</f>
        <v>-1.1008372566902479E-2</v>
      </c>
      <c r="C95" s="950">
        <f t="shared" si="37"/>
        <v>-2.0402143227516273E-3</v>
      </c>
      <c r="D95" s="950">
        <f t="shared" si="37"/>
        <v>-8.5594310079013289E-2</v>
      </c>
      <c r="E95" s="950">
        <f t="shared" si="37"/>
        <v>-3.9097248108760002E-2</v>
      </c>
      <c r="F95" s="950">
        <f t="shared" si="37"/>
        <v>-4.3729394240317777E-3</v>
      </c>
      <c r="G95" s="950">
        <f t="shared" si="37"/>
        <v>-3.679070451458856E-3</v>
      </c>
      <c r="H95" s="943">
        <f t="shared" si="37"/>
        <v>-1.318970439512003E-3</v>
      </c>
      <c r="I95" s="944">
        <f>AVERAGE(C95:H95)</f>
        <v>-2.2683792137587925E-2</v>
      </c>
      <c r="J95" s="943">
        <f>_xlfn.STDEV.S(C95:H95)</f>
        <v>3.4077014215534066E-2</v>
      </c>
      <c r="L95"/>
      <c r="M95"/>
      <c r="N95"/>
    </row>
    <row r="96" spans="1:16">
      <c r="A96" s="948" t="s">
        <v>660</v>
      </c>
      <c r="B96" s="948">
        <v>-886.89200000000005</v>
      </c>
      <c r="C96" s="19">
        <v>-1471.528</v>
      </c>
      <c r="D96" s="19">
        <v>-913.89800000000002</v>
      </c>
      <c r="E96" s="19">
        <v>-493.88900000000001</v>
      </c>
      <c r="F96" s="19">
        <v>-488.517</v>
      </c>
      <c r="G96" s="19">
        <v>-367.74099999999999</v>
      </c>
      <c r="H96" s="942">
        <v>0</v>
      </c>
      <c r="I96" s="942"/>
      <c r="J96" s="942"/>
      <c r="L96"/>
      <c r="M96"/>
      <c r="N96"/>
      <c r="O96"/>
    </row>
    <row r="97" spans="1:14">
      <c r="A97" s="948" t="s">
        <v>661</v>
      </c>
      <c r="B97" s="948">
        <v>855.96500000000003</v>
      </c>
      <c r="C97" s="19">
        <v>1317.308</v>
      </c>
      <c r="D97" s="19">
        <v>590.173</v>
      </c>
      <c r="E97" s="19">
        <v>648.88699999999994</v>
      </c>
      <c r="F97" s="19">
        <v>392.178</v>
      </c>
      <c r="G97" s="19">
        <v>67.700999999999993</v>
      </c>
      <c r="H97" s="942">
        <v>50</v>
      </c>
      <c r="I97" s="942"/>
      <c r="J97" s="942"/>
      <c r="L97"/>
      <c r="M97"/>
      <c r="N97"/>
    </row>
    <row r="98" spans="1:14">
      <c r="A98" s="948" t="s">
        <v>662</v>
      </c>
      <c r="B98" s="948">
        <f t="shared" ref="B98:H98" si="38">B96+B97</f>
        <v>-30.927000000000021</v>
      </c>
      <c r="C98" s="19">
        <f t="shared" si="38"/>
        <v>-154.22000000000003</v>
      </c>
      <c r="D98" s="19">
        <f t="shared" si="38"/>
        <v>-323.72500000000002</v>
      </c>
      <c r="E98" s="19">
        <f t="shared" si="38"/>
        <v>154.99799999999993</v>
      </c>
      <c r="F98" s="19">
        <f t="shared" si="38"/>
        <v>-96.338999999999999</v>
      </c>
      <c r="G98" s="19">
        <f t="shared" si="38"/>
        <v>-300.03999999999996</v>
      </c>
      <c r="H98" s="942">
        <f t="shared" si="38"/>
        <v>50</v>
      </c>
      <c r="I98" s="942"/>
      <c r="J98" s="942"/>
      <c r="L98"/>
      <c r="M98"/>
      <c r="N98"/>
    </row>
    <row r="99" spans="1:14">
      <c r="A99" s="948" t="s">
        <v>663</v>
      </c>
      <c r="B99" s="949">
        <f t="shared" ref="B99:H99" si="39">B98/B93</f>
        <v>-1.0164411249969196E-3</v>
      </c>
      <c r="C99" s="950">
        <f t="shared" si="39"/>
        <v>-4.4425880048395471E-3</v>
      </c>
      <c r="D99" s="950">
        <f t="shared" si="39"/>
        <v>-7.7983474657930246E-3</v>
      </c>
      <c r="E99" s="950">
        <f t="shared" si="39"/>
        <v>4.248382852757371E-3</v>
      </c>
      <c r="F99" s="950">
        <f t="shared" si="39"/>
        <v>-4.7834657398212509E-3</v>
      </c>
      <c r="G99" s="950">
        <f t="shared" si="39"/>
        <v>-1.3282654660983745E-2</v>
      </c>
      <c r="H99" s="943">
        <f t="shared" si="39"/>
        <v>1.9946321258083096E-3</v>
      </c>
      <c r="I99" s="943">
        <f>AVERAGE(C99:H99)</f>
        <v>-4.0106734821453152E-3</v>
      </c>
      <c r="J99" s="943">
        <f>_xlfn.STDEV.S(C99:H99)</f>
        <v>6.408987037022142E-3</v>
      </c>
      <c r="L99"/>
      <c r="M99"/>
      <c r="N99"/>
    </row>
    <row r="100" spans="1:14">
      <c r="A100" s="948" t="s">
        <v>664</v>
      </c>
      <c r="B100" s="948">
        <f t="shared" ref="B100:H100" si="40">B98+B94</f>
        <v>-365.87600000000003</v>
      </c>
      <c r="C100" s="19">
        <f t="shared" si="40"/>
        <v>-225.04400000000004</v>
      </c>
      <c r="D100" s="19">
        <f t="shared" si="40"/>
        <v>-3876.9159999999997</v>
      </c>
      <c r="E100" s="19">
        <f t="shared" si="40"/>
        <v>-1271.4259999999999</v>
      </c>
      <c r="F100" s="19">
        <f t="shared" si="40"/>
        <v>-184.41</v>
      </c>
      <c r="G100" s="19">
        <f t="shared" si="40"/>
        <v>-383.14599999999996</v>
      </c>
      <c r="H100" s="942">
        <f t="shared" si="40"/>
        <v>16.936999999999998</v>
      </c>
      <c r="I100" s="942"/>
      <c r="J100" s="942"/>
      <c r="M100"/>
      <c r="N100"/>
    </row>
    <row r="101" spans="1:14" ht="13.9" thickBot="1">
      <c r="A101" s="893" t="s">
        <v>659</v>
      </c>
      <c r="B101" s="951">
        <f t="shared" ref="B101:H101" si="41">B100/B93</f>
        <v>-1.2024813691899399E-2</v>
      </c>
      <c r="C101" s="952">
        <f t="shared" si="41"/>
        <v>-6.4828023275911749E-3</v>
      </c>
      <c r="D101" s="952">
        <f t="shared" si="41"/>
        <v>-9.3392657544806315E-2</v>
      </c>
      <c r="E101" s="952">
        <f t="shared" si="41"/>
        <v>-3.4848865256002629E-2</v>
      </c>
      <c r="F101" s="952">
        <f t="shared" si="41"/>
        <v>-9.1564051638530278E-3</v>
      </c>
      <c r="G101" s="952">
        <f t="shared" si="41"/>
        <v>-1.6961725112442601E-2</v>
      </c>
      <c r="H101" s="953">
        <f t="shared" si="41"/>
        <v>6.7566168629630682E-4</v>
      </c>
      <c r="I101" s="945">
        <f>AVERAGE(C101:H101)</f>
        <v>-2.6694465619733234E-2</v>
      </c>
      <c r="J101" s="940">
        <f>_xlfn.STDEV.S(C101:H101)</f>
        <v>3.4857102701232726E-2</v>
      </c>
    </row>
    <row r="102" spans="1:14">
      <c r="A102"/>
    </row>
    <row r="103" spans="1:14">
      <c r="B103"/>
      <c r="C103"/>
      <c r="D103"/>
      <c r="E103"/>
      <c r="F103"/>
    </row>
    <row r="104" spans="1:14">
      <c r="B104"/>
      <c r="C104"/>
      <c r="D104"/>
      <c r="E104"/>
      <c r="F104"/>
    </row>
    <row r="105" spans="1:14">
      <c r="B105"/>
      <c r="C105"/>
      <c r="D105"/>
      <c r="E105"/>
      <c r="F105"/>
    </row>
    <row r="106" spans="1:14">
      <c r="B106"/>
      <c r="C106"/>
      <c r="D106"/>
      <c r="E106"/>
      <c r="F106"/>
    </row>
    <row r="107" spans="1:14">
      <c r="B107"/>
      <c r="C107"/>
      <c r="D107"/>
      <c r="E107"/>
      <c r="F107"/>
    </row>
    <row r="108" spans="1:14">
      <c r="B108"/>
      <c r="C108"/>
      <c r="D108"/>
      <c r="E108"/>
      <c r="F108"/>
    </row>
    <row r="109" spans="1:14">
      <c r="B109"/>
      <c r="C109"/>
      <c r="D109"/>
      <c r="E109"/>
      <c r="F109"/>
    </row>
    <row r="110" spans="1:14">
      <c r="B110"/>
      <c r="C110"/>
      <c r="D110"/>
      <c r="E110"/>
      <c r="F110"/>
    </row>
    <row r="111" spans="1:14">
      <c r="B111"/>
      <c r="C111"/>
      <c r="D111"/>
      <c r="E111"/>
      <c r="F111"/>
    </row>
    <row r="112" spans="1:14">
      <c r="B112"/>
      <c r="C112"/>
      <c r="D112"/>
      <c r="E112"/>
      <c r="F112"/>
    </row>
  </sheetData>
  <mergeCells count="19">
    <mergeCell ref="G2:J2"/>
    <mergeCell ref="D4:M4"/>
    <mergeCell ref="R5:S5"/>
    <mergeCell ref="H77:I77"/>
    <mergeCell ref="E77:G77"/>
    <mergeCell ref="E83:G83"/>
    <mergeCell ref="E84:G84"/>
    <mergeCell ref="H78:I78"/>
    <mergeCell ref="H79:I79"/>
    <mergeCell ref="H80:I80"/>
    <mergeCell ref="H81:I81"/>
    <mergeCell ref="H82:I82"/>
    <mergeCell ref="H83:I83"/>
    <mergeCell ref="H84:I84"/>
    <mergeCell ref="E78:G78"/>
    <mergeCell ref="E79:G79"/>
    <mergeCell ref="E80:G80"/>
    <mergeCell ref="E81:G81"/>
    <mergeCell ref="E82:G82"/>
  </mergeCells>
  <pageMargins left="0.75" right="0.75" top="1" bottom="1" header="0" footer="0"/>
  <pageSetup orientation="portrait" horizontalDpi="4294967292"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8C1D7-CB53-4647-B153-1D4D00AA1DC0}">
  <dimension ref="C6:O19"/>
  <sheetViews>
    <sheetView workbookViewId="0">
      <selection activeCell="E8" sqref="E8"/>
    </sheetView>
  </sheetViews>
  <sheetFormatPr defaultRowHeight="12.75"/>
  <sheetData>
    <row r="6" spans="3:15" ht="15">
      <c r="C6" s="36" t="s">
        <v>123</v>
      </c>
      <c r="D6" s="711">
        <v>34714</v>
      </c>
      <c r="E6" s="711">
        <v>41512</v>
      </c>
      <c r="F6" s="711">
        <v>36484</v>
      </c>
      <c r="G6" s="711">
        <v>20140</v>
      </c>
      <c r="H6" s="711">
        <v>22588.858</v>
      </c>
      <c r="I6" s="711">
        <v>25067.278999999999</v>
      </c>
      <c r="J6" s="711">
        <v>20252.393</v>
      </c>
      <c r="K6" s="711">
        <v>16208.121999999999</v>
      </c>
      <c r="L6" s="711">
        <v>16439.276000000002</v>
      </c>
      <c r="M6" s="711">
        <v>21105.141</v>
      </c>
      <c r="N6" s="711">
        <v>19052.045999999998</v>
      </c>
      <c r="O6" s="711">
        <v>19429</v>
      </c>
    </row>
    <row r="7" spans="3:15" ht="15">
      <c r="C7" s="23" t="s">
        <v>288</v>
      </c>
      <c r="D7" s="711">
        <v>26899.599999999999</v>
      </c>
      <c r="E7" s="711">
        <v>29008.720000000001</v>
      </c>
      <c r="F7" s="711">
        <v>25458.59</v>
      </c>
      <c r="G7" s="711">
        <v>17912.05</v>
      </c>
      <c r="H7" s="711">
        <v>19909.768</v>
      </c>
      <c r="I7" s="711">
        <v>20771.870999999999</v>
      </c>
      <c r="J7" s="711">
        <v>17682.986000000001</v>
      </c>
      <c r="K7" s="711">
        <v>14182.215</v>
      </c>
      <c r="L7" s="711">
        <v>15325.386</v>
      </c>
      <c r="M7" s="711">
        <v>19255.903999999999</v>
      </c>
      <c r="N7" s="711">
        <v>17641.420999999998</v>
      </c>
      <c r="O7" s="711">
        <v>17915.46</v>
      </c>
    </row>
    <row r="8" spans="3:15" ht="15">
      <c r="C8" s="36" t="s">
        <v>519</v>
      </c>
      <c r="D8" s="711">
        <v>7814.4</v>
      </c>
      <c r="E8" s="711">
        <v>12503.28</v>
      </c>
      <c r="F8" s="711">
        <v>11025.41</v>
      </c>
      <c r="G8" s="711">
        <v>2227.9499999999998</v>
      </c>
      <c r="H8" s="711">
        <v>2679.09</v>
      </c>
      <c r="I8" s="711">
        <v>4295.4079999999994</v>
      </c>
      <c r="J8" s="711">
        <v>2569.4069999999992</v>
      </c>
      <c r="K8" s="711">
        <v>2025.9069999999992</v>
      </c>
      <c r="L8" s="711">
        <v>1113.8900000000012</v>
      </c>
      <c r="M8" s="711">
        <v>1849.237000000001</v>
      </c>
      <c r="N8" s="711">
        <v>1410.625</v>
      </c>
      <c r="O8" s="711">
        <v>1513.54</v>
      </c>
    </row>
    <row r="9" spans="3:15" ht="15">
      <c r="C9" s="36" t="s">
        <v>961</v>
      </c>
      <c r="D9" s="899">
        <v>0.22510802558045745</v>
      </c>
      <c r="E9" s="899">
        <v>0.30119676238196186</v>
      </c>
      <c r="F9" s="899">
        <v>0.30219849797171361</v>
      </c>
      <c r="G9" s="899">
        <v>0.11062313803376364</v>
      </c>
      <c r="H9" s="899">
        <v>0.11860227728201223</v>
      </c>
      <c r="I9" s="899">
        <v>0.17135517580508039</v>
      </c>
      <c r="J9" s="899">
        <v>0.12686930379042116</v>
      </c>
      <c r="K9" s="899">
        <v>0.1249933212496796</v>
      </c>
      <c r="L9" s="899">
        <v>6.7757850163231104E-2</v>
      </c>
      <c r="M9" s="899">
        <v>8.7620215377855137E-2</v>
      </c>
      <c r="N9" s="711"/>
      <c r="O9" s="711"/>
    </row>
    <row r="10" spans="3:15" ht="15">
      <c r="C10" s="23" t="s">
        <v>962</v>
      </c>
      <c r="D10" s="712">
        <v>-1584.0519999999999</v>
      </c>
      <c r="E10" s="711">
        <v>-1997.1780000000001</v>
      </c>
      <c r="F10" s="711">
        <v>-1706.6089999999999</v>
      </c>
      <c r="G10" s="711">
        <v>-615.04100000000005</v>
      </c>
      <c r="H10" s="711">
        <v>-711.24800000000005</v>
      </c>
      <c r="I10" s="711">
        <v>-860.72199999999998</v>
      </c>
      <c r="J10" s="711">
        <v>-687.53099999999995</v>
      </c>
      <c r="K10" s="711">
        <v>-596.76099999999997</v>
      </c>
      <c r="L10" s="711">
        <v>-458.98899999999998</v>
      </c>
      <c r="M10" s="711">
        <v>-520.80499999999995</v>
      </c>
      <c r="N10" s="711">
        <v>-467.904</v>
      </c>
      <c r="O10" s="711">
        <v>-437.33699999999999</v>
      </c>
    </row>
    <row r="11" spans="3:15" ht="15">
      <c r="C11" s="36" t="s">
        <v>289</v>
      </c>
      <c r="D11" s="711">
        <v>6230.348</v>
      </c>
      <c r="E11" s="711">
        <v>10506.102000000001</v>
      </c>
      <c r="F11" s="711">
        <v>9318.8009999999995</v>
      </c>
      <c r="G11" s="711">
        <v>1612.9089999999997</v>
      </c>
      <c r="H11" s="711">
        <v>1967.8420000000001</v>
      </c>
      <c r="I11" s="711">
        <v>3434.6859999999997</v>
      </c>
      <c r="J11" s="711">
        <v>1881.8759999999993</v>
      </c>
      <c r="K11" s="711">
        <v>1429.1459999999993</v>
      </c>
      <c r="L11" s="711">
        <v>654.9010000000012</v>
      </c>
      <c r="M11" s="711">
        <v>1328.4320000000012</v>
      </c>
      <c r="N11" s="711">
        <v>942.721</v>
      </c>
      <c r="O11" s="711">
        <v>1076.203</v>
      </c>
    </row>
    <row r="12" spans="3:15" ht="15">
      <c r="C12" s="23" t="s">
        <v>887</v>
      </c>
      <c r="D12" s="713">
        <v>-12.782999999999999</v>
      </c>
      <c r="E12" s="713">
        <v>91.042000000000002</v>
      </c>
      <c r="F12" s="713">
        <v>-40.906999999999996</v>
      </c>
      <c r="G12" s="713">
        <v>624.173</v>
      </c>
      <c r="H12" s="713">
        <v>63.604999999999997</v>
      </c>
      <c r="I12" s="713">
        <v>69.759999999999991</v>
      </c>
      <c r="J12" s="713">
        <v>-41.661000000000001</v>
      </c>
      <c r="K12" s="713">
        <v>-38.756999999999998</v>
      </c>
      <c r="L12" s="713">
        <v>239.50399999999999</v>
      </c>
      <c r="M12" s="713">
        <v>11.888</v>
      </c>
      <c r="N12" s="713">
        <v>4.7029999999999994</v>
      </c>
      <c r="O12" s="713">
        <v>60.886000000000003</v>
      </c>
    </row>
    <row r="13" spans="3:15" ht="15">
      <c r="C13" s="36" t="s">
        <v>63</v>
      </c>
      <c r="D13" s="713">
        <v>6243.1310000000003</v>
      </c>
      <c r="E13" s="713">
        <v>10415.060000000001</v>
      </c>
      <c r="F13" s="713">
        <v>9359.7079999999987</v>
      </c>
      <c r="G13" s="713">
        <v>988.73599999999965</v>
      </c>
      <c r="H13" s="713">
        <v>1904.2370000000001</v>
      </c>
      <c r="I13" s="713">
        <v>3364.9259999999995</v>
      </c>
      <c r="J13" s="713">
        <v>1923.5369999999994</v>
      </c>
      <c r="K13" s="713">
        <v>1467.9029999999993</v>
      </c>
      <c r="L13" s="713">
        <v>415.39700000000119</v>
      </c>
      <c r="M13" s="713">
        <v>1316.5440000000012</v>
      </c>
      <c r="N13" s="713">
        <v>938.01800000000003</v>
      </c>
      <c r="O13" s="713">
        <v>1015.317</v>
      </c>
    </row>
    <row r="14" spans="3:15" ht="15">
      <c r="C14" s="23" t="s">
        <v>290</v>
      </c>
      <c r="D14" s="713">
        <v>29.632000000000001</v>
      </c>
      <c r="E14" s="713">
        <v>-170.21600000000001</v>
      </c>
      <c r="F14" s="713">
        <v>-158.85400000000001</v>
      </c>
      <c r="G14" s="713">
        <v>-153.19800000000001</v>
      </c>
      <c r="H14" s="713">
        <v>-121.425</v>
      </c>
      <c r="I14" s="713">
        <v>-135.535</v>
      </c>
      <c r="J14" s="714">
        <v>-173.58</v>
      </c>
      <c r="K14" s="715">
        <v>-169.244</v>
      </c>
      <c r="L14" s="713">
        <v>-173.53100000000001</v>
      </c>
      <c r="M14" s="713">
        <v>-169.256</v>
      </c>
      <c r="N14" s="713">
        <v>-146.89500000000001</v>
      </c>
      <c r="O14" s="713">
        <v>-162.375</v>
      </c>
    </row>
    <row r="15" spans="3:15" ht="15">
      <c r="C15" s="36" t="s">
        <v>963</v>
      </c>
      <c r="D15" s="713">
        <v>6272.7629999999999</v>
      </c>
      <c r="E15" s="713">
        <v>10244.844000000001</v>
      </c>
      <c r="F15" s="713">
        <v>9200.8539999999994</v>
      </c>
      <c r="G15" s="713">
        <v>835.53799999999967</v>
      </c>
      <c r="H15" s="713">
        <v>1782.8120000000001</v>
      </c>
      <c r="I15" s="713">
        <v>3229.3909999999996</v>
      </c>
      <c r="J15" s="713">
        <v>1749.9569999999994</v>
      </c>
      <c r="K15" s="713">
        <v>1298.6589999999994</v>
      </c>
      <c r="L15" s="713">
        <v>241.86600000000118</v>
      </c>
      <c r="M15" s="713">
        <v>1147.2880000000011</v>
      </c>
      <c r="N15" s="713">
        <v>791.12300000000005</v>
      </c>
      <c r="O15" s="713">
        <v>852.94200000000001</v>
      </c>
    </row>
    <row r="16" spans="3:15" ht="15">
      <c r="C16" s="23" t="s">
        <v>291</v>
      </c>
      <c r="D16" s="713">
        <v>-1359.9659999999999</v>
      </c>
      <c r="E16" s="713">
        <v>-2165.2040000000002</v>
      </c>
      <c r="F16" s="713">
        <v>-2078.4879999999998</v>
      </c>
      <c r="G16" s="713">
        <v>0.49</v>
      </c>
      <c r="H16" s="713">
        <v>-411.89699999999999</v>
      </c>
      <c r="I16" s="713">
        <v>-748.30700000000002</v>
      </c>
      <c r="J16" s="714">
        <v>-369.38600000000002</v>
      </c>
      <c r="K16" s="715">
        <v>-398.24299999999999</v>
      </c>
      <c r="L16" s="713">
        <v>-48.835999999999999</v>
      </c>
      <c r="M16" s="713">
        <v>-368.72399999999999</v>
      </c>
      <c r="N16" s="713">
        <v>-205.59399999999999</v>
      </c>
      <c r="O16" s="713">
        <v>-259.81400000000002</v>
      </c>
    </row>
    <row r="17" spans="3:15" ht="15">
      <c r="C17" s="36" t="s">
        <v>964</v>
      </c>
      <c r="D17" s="711">
        <v>4912.7970000000005</v>
      </c>
      <c r="E17" s="711">
        <v>8079.6400000000012</v>
      </c>
      <c r="F17" s="711">
        <v>7122.366</v>
      </c>
      <c r="G17" s="711">
        <v>836.02799999999968</v>
      </c>
      <c r="H17" s="711">
        <v>1370.9150000000002</v>
      </c>
      <c r="I17" s="711">
        <v>2481.0839999999998</v>
      </c>
      <c r="J17" s="711">
        <v>1380.5709999999995</v>
      </c>
      <c r="K17" s="711">
        <v>900.41599999999949</v>
      </c>
      <c r="L17" s="711">
        <v>193.03000000000117</v>
      </c>
      <c r="M17" s="711">
        <v>778.56400000000122</v>
      </c>
      <c r="N17" s="711">
        <v>585.529</v>
      </c>
      <c r="O17" s="711">
        <v>593.12799999999993</v>
      </c>
    </row>
    <row r="18" spans="3:15" ht="15">
      <c r="C18" s="23" t="s">
        <v>965</v>
      </c>
      <c r="D18" s="713">
        <v>-387.99</v>
      </c>
      <c r="E18" s="713">
        <v>-472.303</v>
      </c>
      <c r="F18" s="713">
        <v>-294.90899999999999</v>
      </c>
      <c r="G18" s="713">
        <v>-114.55800000000001</v>
      </c>
      <c r="H18" s="713">
        <v>-99.766999999999996</v>
      </c>
      <c r="I18" s="713">
        <v>-120.31699999999999</v>
      </c>
      <c r="J18" s="714">
        <v>-61.883000000000003</v>
      </c>
      <c r="K18" s="715">
        <v>-104.145</v>
      </c>
      <c r="L18" s="713">
        <v>-112.306</v>
      </c>
      <c r="M18" s="713">
        <v>-99.227000000000004</v>
      </c>
      <c r="N18" s="713">
        <v>-97.504000000000005</v>
      </c>
      <c r="O18" s="713">
        <v>-88.507000000000005</v>
      </c>
    </row>
    <row r="19" spans="3:15" ht="15">
      <c r="C19" s="36" t="s">
        <v>67</v>
      </c>
      <c r="D19" s="711">
        <v>4524.8070000000007</v>
      </c>
      <c r="E19" s="711">
        <v>7607.3370000000014</v>
      </c>
      <c r="F19" s="711">
        <v>6827.4570000000003</v>
      </c>
      <c r="G19" s="711">
        <v>721.46999999999969</v>
      </c>
      <c r="H19" s="711">
        <v>1271.1480000000001</v>
      </c>
      <c r="I19" s="711">
        <v>2360.7669999999998</v>
      </c>
      <c r="J19" s="711">
        <v>1318.6879999999994</v>
      </c>
      <c r="K19" s="711">
        <v>796.2709999999995</v>
      </c>
      <c r="L19" s="711">
        <v>80.724000000001169</v>
      </c>
      <c r="M19" s="711">
        <v>679.33700000000124</v>
      </c>
      <c r="N19" s="711">
        <v>488.02499999999998</v>
      </c>
      <c r="O19" s="711">
        <v>504.62099999999992</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B6491B-8976-4138-BE62-53A82CBC5573}"/>
</file>

<file path=customXml/itemProps2.xml><?xml version="1.0" encoding="utf-8"?>
<ds:datastoreItem xmlns:ds="http://schemas.openxmlformats.org/officeDocument/2006/customXml" ds:itemID="{A881089C-6E2A-4FD7-A402-55E9C86C97B5}"/>
</file>

<file path=customXml/itemProps3.xml><?xml version="1.0" encoding="utf-8"?>
<ds:datastoreItem xmlns:ds="http://schemas.openxmlformats.org/officeDocument/2006/customXml" ds:itemID="{E4E33FEE-1117-4802-A5BB-FA073D1C6E04}"/>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Daniel Filipe Cristóvão da Cruz</cp:lastModifiedBy>
  <cp:revision/>
  <dcterms:created xsi:type="dcterms:W3CDTF">2000-04-19T14:51:26Z</dcterms:created>
  <dcterms:modified xsi:type="dcterms:W3CDTF">2025-09-18T14:18:24Z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