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24-25/1st cycle/Team 3 (Rosario La Spina)/"/>
    </mc:Choice>
  </mc:AlternateContent>
  <xr:revisionPtr revIDLastSave="1701" documentId="120_{814A50D1-AF76-4851-A08B-396E773AEE84}" xr6:coauthVersionLast="47" xr6:coauthVersionMax="47" xr10:uidLastSave="{55E7CB7D-82D7-4105-9364-946C0C0A8BD4}"/>
  <bookViews>
    <workbookView xWindow="-98" yWindow="-98" windowWidth="24196" windowHeight="14476" tabRatio="644" firstSheet="1" activeTab="7" xr2:uid="{00000000-000D-0000-FFFF-FFFF00000000}"/>
  </bookViews>
  <sheets>
    <sheet name="OP" sheetId="1" r:id="rId1"/>
    <sheet name="Segments" sheetId="3" r:id="rId2"/>
    <sheet name="Acuerdo" sheetId="11" state="hidden" r:id="rId3"/>
    <sheet name="Peers" sheetId="10" r:id="rId4"/>
    <sheet name="Folha1" sheetId="24" state="hidden" r:id="rId5"/>
    <sheet name="ESG" sheetId="19" r:id="rId6"/>
    <sheet name="Fin. Data" sheetId="16" r:id="rId7"/>
    <sheet name="Assumptions" sheetId="22" r:id="rId8"/>
    <sheet name="DCF (Capped cash to buybacks)" sheetId="26" r:id="rId9"/>
    <sheet name="DCF" sheetId="4" r:id="rId10"/>
    <sheet name="Inputs" sheetId="17" r:id="rId11"/>
    <sheet name="Sector Impact" sheetId="18" state="hidden" r:id="rId12"/>
  </sheets>
  <externalReferences>
    <externalReference r:id="rId13"/>
  </externalReferences>
  <definedNames>
    <definedName name="_xlnm.Print_Area" localSheetId="0">OP!$A$1:$M$82</definedName>
    <definedName name="_xlnm.Print_Area" localSheetId="1">Segments!#REF!</definedName>
    <definedName name="Sectors" localSheetId="7">'[1]Sector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 i="4" l="1"/>
  <c r="N5" i="4"/>
  <c r="M5" i="4"/>
  <c r="L5" i="4"/>
  <c r="K5" i="4"/>
  <c r="J5" i="4"/>
  <c r="I5" i="4"/>
  <c r="H5" i="4"/>
  <c r="N283" i="22"/>
  <c r="M283" i="22"/>
  <c r="L283" i="22"/>
  <c r="K283" i="22"/>
  <c r="J283" i="22"/>
  <c r="I283" i="22"/>
  <c r="H283" i="22"/>
  <c r="G283" i="22"/>
  <c r="F283" i="22"/>
  <c r="E283" i="22"/>
  <c r="D282" i="22"/>
  <c r="E282" i="22" s="1"/>
  <c r="F282" i="22" s="1"/>
  <c r="G282" i="22" s="1"/>
  <c r="H282" i="22" s="1"/>
  <c r="I282" i="22" s="1"/>
  <c r="J282" i="22" s="1"/>
  <c r="K282" i="22" s="1"/>
  <c r="L282" i="22" s="1"/>
  <c r="M282" i="22" s="1"/>
  <c r="N282" i="22" s="1"/>
  <c r="M1" i="17"/>
  <c r="L1" i="17"/>
  <c r="K1" i="17"/>
  <c r="J1" i="17"/>
  <c r="I1" i="17"/>
  <c r="H1" i="17"/>
  <c r="G1" i="17"/>
  <c r="F1" i="17"/>
  <c r="E1" i="17"/>
  <c r="D1" i="17"/>
  <c r="P5" i="26"/>
  <c r="O5" i="26"/>
  <c r="N5" i="26"/>
  <c r="M5" i="26"/>
  <c r="L5" i="26"/>
  <c r="K5" i="26"/>
  <c r="J5" i="26"/>
  <c r="I5" i="26"/>
  <c r="H5" i="26"/>
  <c r="E67" i="26"/>
  <c r="D67" i="26"/>
  <c r="F66" i="26"/>
  <c r="E66" i="26"/>
  <c r="D66" i="26"/>
  <c r="F65" i="26"/>
  <c r="E65" i="26"/>
  <c r="D65" i="26"/>
  <c r="F64" i="26"/>
  <c r="E64" i="26"/>
  <c r="D64" i="26"/>
  <c r="F63" i="26"/>
  <c r="F62" i="26"/>
  <c r="E62" i="26"/>
  <c r="D62" i="26"/>
  <c r="E61" i="26"/>
  <c r="D61" i="26"/>
  <c r="E60" i="26"/>
  <c r="D60" i="26"/>
  <c r="F59" i="26"/>
  <c r="E59" i="26"/>
  <c r="D59" i="26"/>
  <c r="F58" i="26"/>
  <c r="E58" i="26"/>
  <c r="D58" i="26"/>
  <c r="F57" i="26"/>
  <c r="D57" i="26"/>
  <c r="F56" i="26"/>
  <c r="E56" i="26"/>
  <c r="D56" i="26"/>
  <c r="F55" i="26"/>
  <c r="D54" i="26"/>
  <c r="D53" i="26"/>
  <c r="F50" i="26"/>
  <c r="AA47" i="26" s="1"/>
  <c r="G44" i="26"/>
  <c r="G28" i="26" s="1"/>
  <c r="G38" i="26"/>
  <c r="H38" i="26" s="1"/>
  <c r="F31" i="26"/>
  <c r="E31" i="26"/>
  <c r="D31" i="26"/>
  <c r="J29" i="26"/>
  <c r="I29" i="26"/>
  <c r="H29" i="26"/>
  <c r="G29" i="26"/>
  <c r="F29" i="26"/>
  <c r="AF28" i="26"/>
  <c r="AE28" i="26"/>
  <c r="AD28" i="26"/>
  <c r="AC28" i="26"/>
  <c r="AB28" i="26"/>
  <c r="AA28" i="26"/>
  <c r="Z28" i="26"/>
  <c r="Y28" i="26"/>
  <c r="X28" i="26"/>
  <c r="W28" i="26"/>
  <c r="V28" i="26"/>
  <c r="U28" i="26"/>
  <c r="T28" i="26"/>
  <c r="S28" i="26"/>
  <c r="R28" i="26"/>
  <c r="Q28" i="26"/>
  <c r="F28" i="26"/>
  <c r="E28" i="26"/>
  <c r="D28" i="26"/>
  <c r="F27" i="26"/>
  <c r="E27" i="26"/>
  <c r="D27" i="26"/>
  <c r="D24" i="26"/>
  <c r="F21" i="26"/>
  <c r="F19" i="26" s="1"/>
  <c r="E21" i="26"/>
  <c r="E19" i="26" s="1"/>
  <c r="D21" i="26"/>
  <c r="D19" i="26" s="1"/>
  <c r="F11" i="26"/>
  <c r="E11" i="26"/>
  <c r="D11" i="26"/>
  <c r="F10" i="26"/>
  <c r="E10" i="26"/>
  <c r="D10" i="26"/>
  <c r="P7" i="26"/>
  <c r="O7" i="26"/>
  <c r="N7" i="26"/>
  <c r="M7" i="26"/>
  <c r="L7" i="26"/>
  <c r="K7" i="26"/>
  <c r="J7" i="26"/>
  <c r="I7" i="26"/>
  <c r="H7" i="26"/>
  <c r="G7" i="26"/>
  <c r="D6" i="26"/>
  <c r="AF4" i="26"/>
  <c r="D53" i="4"/>
  <c r="M20" i="1"/>
  <c r="B68" i="17"/>
  <c r="B77" i="17" s="1"/>
  <c r="C21" i="1" a="1"/>
  <c r="C21" i="1" s="1"/>
  <c r="I29" i="4"/>
  <c r="H29" i="4"/>
  <c r="G29" i="4"/>
  <c r="F29" i="4"/>
  <c r="M68" i="17"/>
  <c r="L68" i="17"/>
  <c r="K68" i="17"/>
  <c r="J68" i="17"/>
  <c r="I68" i="17"/>
  <c r="H68" i="17"/>
  <c r="G68" i="17"/>
  <c r="F68" i="17"/>
  <c r="E68" i="17"/>
  <c r="D68" i="17"/>
  <c r="C68" i="17"/>
  <c r="S53" i="22"/>
  <c r="F50" i="4"/>
  <c r="E62" i="4"/>
  <c r="D62" i="4"/>
  <c r="D78" i="10"/>
  <c r="I237" i="22"/>
  <c r="B137" i="22"/>
  <c r="G7" i="4"/>
  <c r="H7" i="4"/>
  <c r="I7" i="4"/>
  <c r="J7" i="4"/>
  <c r="K7" i="4"/>
  <c r="L7" i="4"/>
  <c r="M7" i="4"/>
  <c r="N7" i="4"/>
  <c r="O7" i="4"/>
  <c r="P7" i="4"/>
  <c r="G44" i="4"/>
  <c r="S172" i="22"/>
  <c r="R172" i="22"/>
  <c r="Q172" i="22"/>
  <c r="P172" i="22"/>
  <c r="O172" i="22"/>
  <c r="S168" i="22"/>
  <c r="R168" i="22"/>
  <c r="Q168" i="22"/>
  <c r="P168" i="22"/>
  <c r="O168" i="22"/>
  <c r="N168" i="22"/>
  <c r="S165" i="22"/>
  <c r="R165" i="22"/>
  <c r="Q165" i="22"/>
  <c r="P165" i="22"/>
  <c r="O165" i="22"/>
  <c r="N165" i="22"/>
  <c r="S170" i="22"/>
  <c r="S169" i="22" s="1"/>
  <c r="R170" i="22"/>
  <c r="R169" i="22" s="1"/>
  <c r="Q170" i="22"/>
  <c r="Q169" i="22" s="1"/>
  <c r="P170" i="22"/>
  <c r="P169" i="22" s="1"/>
  <c r="O170" i="22"/>
  <c r="O169" i="22" s="1"/>
  <c r="N170" i="22"/>
  <c r="N169" i="22" s="1"/>
  <c r="D24" i="10"/>
  <c r="R109" i="10"/>
  <c r="R110" i="10" s="1"/>
  <c r="E119" i="10"/>
  <c r="E125" i="10" s="1"/>
  <c r="O86" i="10"/>
  <c r="O87" i="10" s="1"/>
  <c r="Q86" i="10"/>
  <c r="R86" i="10"/>
  <c r="F117" i="10"/>
  <c r="F121" i="10" s="1"/>
  <c r="F123" i="10" s="1"/>
  <c r="H117" i="10"/>
  <c r="H121" i="10" s="1"/>
  <c r="H123" i="10" s="1"/>
  <c r="I117" i="10"/>
  <c r="I86" i="10"/>
  <c r="I90" i="10" s="1"/>
  <c r="R102" i="10"/>
  <c r="N103" i="10"/>
  <c r="O102" i="10"/>
  <c r="O106" i="10" s="1"/>
  <c r="O108" i="10" s="1"/>
  <c r="Q102" i="10"/>
  <c r="Q103" i="10" s="1"/>
  <c r="F94" i="10"/>
  <c r="G94" i="10"/>
  <c r="H94" i="10"/>
  <c r="I94" i="10"/>
  <c r="E90" i="10"/>
  <c r="E92" i="10" s="1"/>
  <c r="G90" i="10"/>
  <c r="G92" i="10" s="1"/>
  <c r="D90" i="10"/>
  <c r="D92" i="10" s="1"/>
  <c r="E87" i="10"/>
  <c r="F86" i="10"/>
  <c r="F90" i="10" s="1"/>
  <c r="H86" i="10"/>
  <c r="H90" i="10" s="1"/>
  <c r="G129" i="10"/>
  <c r="P98" i="10"/>
  <c r="P114" i="10"/>
  <c r="G98" i="10"/>
  <c r="I125" i="10"/>
  <c r="H125" i="10"/>
  <c r="G125" i="10"/>
  <c r="G121" i="10"/>
  <c r="G123" i="10" s="1"/>
  <c r="D121" i="10"/>
  <c r="I120" i="10"/>
  <c r="H120" i="10"/>
  <c r="G120" i="10"/>
  <c r="E118" i="10"/>
  <c r="R93" i="10"/>
  <c r="R94" i="10" s="1"/>
  <c r="Q93" i="10"/>
  <c r="Q94" i="10" s="1"/>
  <c r="P93" i="10"/>
  <c r="P94" i="10" s="1"/>
  <c r="O93" i="10"/>
  <c r="O94" i="10" s="1"/>
  <c r="N93" i="10"/>
  <c r="N94" i="10" s="1"/>
  <c r="M93" i="10"/>
  <c r="N90" i="10"/>
  <c r="N92" i="10" s="1"/>
  <c r="M90" i="10"/>
  <c r="R89" i="10"/>
  <c r="Q89" i="10"/>
  <c r="P89" i="10"/>
  <c r="O89" i="10"/>
  <c r="N89" i="10"/>
  <c r="N87" i="10"/>
  <c r="Q109" i="10"/>
  <c r="Q110" i="10" s="1"/>
  <c r="P109" i="10"/>
  <c r="P110" i="10" s="1"/>
  <c r="O109" i="10"/>
  <c r="O110" i="10" s="1"/>
  <c r="N109" i="10"/>
  <c r="N110" i="10" s="1"/>
  <c r="M109" i="10"/>
  <c r="P106" i="10"/>
  <c r="N106" i="10"/>
  <c r="N108" i="10" s="1"/>
  <c r="M106" i="10"/>
  <c r="M108" i="10" s="1"/>
  <c r="R105" i="10"/>
  <c r="Q105" i="10"/>
  <c r="P105" i="10"/>
  <c r="O105" i="10"/>
  <c r="N105" i="10"/>
  <c r="E94" i="10"/>
  <c r="I89" i="10"/>
  <c r="H89" i="10"/>
  <c r="G89" i="10"/>
  <c r="F89" i="10"/>
  <c r="E89" i="10"/>
  <c r="H167" i="22"/>
  <c r="G167" i="22"/>
  <c r="F167" i="22"/>
  <c r="H172" i="22"/>
  <c r="H174" i="22" s="1"/>
  <c r="G172" i="22"/>
  <c r="G173" i="22" s="1"/>
  <c r="F172" i="22"/>
  <c r="F173" i="22" s="1"/>
  <c r="E172" i="22"/>
  <c r="D172" i="22"/>
  <c r="D174" i="22" s="1"/>
  <c r="C172" i="22"/>
  <c r="C174" i="22" s="1"/>
  <c r="D27" i="10"/>
  <c r="E27" i="10"/>
  <c r="F27" i="10"/>
  <c r="G27" i="10"/>
  <c r="G38" i="4"/>
  <c r="H38" i="4" s="1"/>
  <c r="I38" i="4" s="1"/>
  <c r="J38" i="4" s="1"/>
  <c r="K38" i="4" s="1"/>
  <c r="L38" i="4" s="1"/>
  <c r="M38" i="4" s="1"/>
  <c r="N38" i="4" s="1"/>
  <c r="O38" i="4" s="1"/>
  <c r="P38" i="4" s="1"/>
  <c r="Q38" i="4" s="1"/>
  <c r="R38" i="4" s="1"/>
  <c r="S38" i="4" s="1"/>
  <c r="T38" i="4" s="1"/>
  <c r="U38" i="4" s="1"/>
  <c r="V38" i="4" s="1"/>
  <c r="W38" i="4" s="1"/>
  <c r="X38" i="4" s="1"/>
  <c r="Y38" i="4" s="1"/>
  <c r="Z38" i="4" s="1"/>
  <c r="AA38" i="4" s="1"/>
  <c r="AB38" i="4" s="1"/>
  <c r="AC38" i="4" s="1"/>
  <c r="AD38" i="4" s="1"/>
  <c r="AE38" i="4" s="1"/>
  <c r="AF38" i="4" s="1"/>
  <c r="K20" i="3"/>
  <c r="L20" i="3"/>
  <c r="M20" i="3"/>
  <c r="N20" i="3"/>
  <c r="O20" i="3"/>
  <c r="K21" i="3"/>
  <c r="L21" i="3"/>
  <c r="M21" i="3"/>
  <c r="N21" i="3"/>
  <c r="O21" i="3"/>
  <c r="K22" i="3"/>
  <c r="L22" i="3"/>
  <c r="M22" i="3"/>
  <c r="N22" i="3"/>
  <c r="O22" i="3"/>
  <c r="K23" i="3"/>
  <c r="L23" i="3"/>
  <c r="M23" i="3"/>
  <c r="N23" i="3"/>
  <c r="O23" i="3"/>
  <c r="L19" i="3"/>
  <c r="M19" i="3"/>
  <c r="N19" i="3"/>
  <c r="O19" i="3"/>
  <c r="K19" i="3"/>
  <c r="M7" i="3"/>
  <c r="M8" i="3"/>
  <c r="M9" i="3"/>
  <c r="M10" i="3"/>
  <c r="M11" i="3"/>
  <c r="M12" i="3"/>
  <c r="N7" i="3"/>
  <c r="O7" i="3"/>
  <c r="N8" i="3"/>
  <c r="O8" i="3"/>
  <c r="N9" i="3"/>
  <c r="O9" i="3"/>
  <c r="N10" i="3"/>
  <c r="O10" i="3"/>
  <c r="L7" i="3"/>
  <c r="L8" i="3"/>
  <c r="L9" i="3"/>
  <c r="L10" i="3"/>
  <c r="L6" i="3"/>
  <c r="M6" i="3"/>
  <c r="N6" i="3"/>
  <c r="O6" i="3"/>
  <c r="K7" i="3"/>
  <c r="K8" i="3"/>
  <c r="K9" i="3"/>
  <c r="K10" i="3"/>
  <c r="K6" i="3"/>
  <c r="G135" i="22"/>
  <c r="E60" i="4"/>
  <c r="E67" i="4"/>
  <c r="C60" i="10"/>
  <c r="F11" i="10"/>
  <c r="C50" i="16"/>
  <c r="D50" i="16"/>
  <c r="E50" i="16"/>
  <c r="B50" i="16"/>
  <c r="D274" i="22"/>
  <c r="C128" i="22"/>
  <c r="D128" i="22"/>
  <c r="E128" i="22"/>
  <c r="F128" i="22"/>
  <c r="B128" i="22"/>
  <c r="D31" i="4"/>
  <c r="E88" i="22"/>
  <c r="E89" i="22" s="1"/>
  <c r="C88" i="22"/>
  <c r="D88" i="22"/>
  <c r="D89" i="22" s="1"/>
  <c r="H88" i="22"/>
  <c r="H89" i="22" s="1"/>
  <c r="G88" i="22"/>
  <c r="G89" i="22" s="1"/>
  <c r="F88" i="22"/>
  <c r="F89" i="22" s="1"/>
  <c r="D66" i="4"/>
  <c r="E66" i="4"/>
  <c r="K140" i="22"/>
  <c r="E57" i="4" s="1"/>
  <c r="D57" i="4"/>
  <c r="F238" i="22"/>
  <c r="C235" i="22" s="1"/>
  <c r="C239" i="22"/>
  <c r="C240" i="22" s="1"/>
  <c r="J29" i="4"/>
  <c r="M257" i="22"/>
  <c r="D6" i="4"/>
  <c r="Q255" i="22"/>
  <c r="Q257" i="22" s="1"/>
  <c r="P255" i="22"/>
  <c r="P257" i="22" s="1"/>
  <c r="O255" i="22"/>
  <c r="O257" i="22" s="1"/>
  <c r="N255" i="22"/>
  <c r="N257" i="22" s="1"/>
  <c r="E259" i="22"/>
  <c r="D259" i="22"/>
  <c r="C259" i="22"/>
  <c r="I118" i="10" l="1"/>
  <c r="R45" i="26"/>
  <c r="S45" i="26"/>
  <c r="AB45" i="26"/>
  <c r="Q46" i="26"/>
  <c r="V46" i="26"/>
  <c r="J47" i="26"/>
  <c r="R103" i="10"/>
  <c r="Z47" i="26"/>
  <c r="AB47" i="26"/>
  <c r="E95" i="10"/>
  <c r="E96" i="10" s="1"/>
  <c r="Q45" i="26"/>
  <c r="P46" i="26"/>
  <c r="Y47" i="26"/>
  <c r="T45" i="26"/>
  <c r="W46" i="26"/>
  <c r="AC47" i="26"/>
  <c r="Y45" i="26"/>
  <c r="G47" i="26"/>
  <c r="AD47" i="26"/>
  <c r="Z45" i="26"/>
  <c r="H47" i="26"/>
  <c r="AE47" i="26"/>
  <c r="AA45" i="26"/>
  <c r="I47" i="26"/>
  <c r="AF47" i="26"/>
  <c r="AC45" i="26"/>
  <c r="O47" i="26"/>
  <c r="AD45" i="26"/>
  <c r="P47" i="26"/>
  <c r="J46" i="26"/>
  <c r="W47" i="26"/>
  <c r="F45" i="26"/>
  <c r="K46" i="26"/>
  <c r="X47" i="26"/>
  <c r="T46" i="26"/>
  <c r="S46" i="26"/>
  <c r="U46" i="26"/>
  <c r="E57" i="26"/>
  <c r="I38" i="26"/>
  <c r="J38" i="26" s="1"/>
  <c r="K38" i="26" s="1"/>
  <c r="L38" i="26" s="1"/>
  <c r="M38" i="26" s="1"/>
  <c r="N38" i="26" s="1"/>
  <c r="O38" i="26" s="1"/>
  <c r="P38" i="26" s="1"/>
  <c r="Q38" i="26" s="1"/>
  <c r="R38" i="26" s="1"/>
  <c r="S38" i="26" s="1"/>
  <c r="T38" i="26" s="1"/>
  <c r="U38" i="26" s="1"/>
  <c r="V38" i="26" s="1"/>
  <c r="W38" i="26" s="1"/>
  <c r="X38" i="26" s="1"/>
  <c r="Y38" i="26" s="1"/>
  <c r="Z38" i="26" s="1"/>
  <c r="AA38" i="26" s="1"/>
  <c r="AB38" i="26" s="1"/>
  <c r="AC38" i="26" s="1"/>
  <c r="AD38" i="26" s="1"/>
  <c r="AE38" i="26" s="1"/>
  <c r="AF38" i="26" s="1"/>
  <c r="G13" i="26"/>
  <c r="R46" i="26"/>
  <c r="V47" i="26"/>
  <c r="AC46" i="26"/>
  <c r="I46" i="26"/>
  <c r="P45" i="26"/>
  <c r="R47" i="26"/>
  <c r="Y46" i="26"/>
  <c r="L45" i="26"/>
  <c r="Q47" i="26"/>
  <c r="K45" i="26"/>
  <c r="U47" i="26"/>
  <c r="AB46" i="26"/>
  <c r="H46" i="26"/>
  <c r="O45" i="26"/>
  <c r="T47" i="26"/>
  <c r="AA46" i="26"/>
  <c r="G46" i="26"/>
  <c r="N45" i="26"/>
  <c r="X46" i="26"/>
  <c r="S47" i="26"/>
  <c r="Z46" i="26"/>
  <c r="F46" i="26"/>
  <c r="M45" i="26"/>
  <c r="AF45" i="26"/>
  <c r="AE45" i="26"/>
  <c r="N47" i="26"/>
  <c r="O46" i="26"/>
  <c r="J45" i="26"/>
  <c r="M46" i="26"/>
  <c r="L46" i="26"/>
  <c r="M47" i="26"/>
  <c r="N46" i="26"/>
  <c r="I45" i="26"/>
  <c r="L47" i="26"/>
  <c r="H45" i="26"/>
  <c r="K47" i="26"/>
  <c r="G45" i="26"/>
  <c r="V45" i="26"/>
  <c r="AE46" i="26"/>
  <c r="W45" i="26"/>
  <c r="AF46" i="26"/>
  <c r="U45" i="26"/>
  <c r="AD46" i="26"/>
  <c r="X45" i="26"/>
  <c r="F47" i="26"/>
  <c r="G9" i="26"/>
  <c r="AG38" i="4"/>
  <c r="P111" i="10"/>
  <c r="R106" i="10"/>
  <c r="R108" i="10" s="1"/>
  <c r="I121" i="10"/>
  <c r="I123" i="10" s="1"/>
  <c r="H118" i="10"/>
  <c r="G95" i="10"/>
  <c r="G96" i="10" s="1"/>
  <c r="U165" i="22"/>
  <c r="H91" i="10"/>
  <c r="H95" i="10"/>
  <c r="H96" i="10" s="1"/>
  <c r="F92" i="10"/>
  <c r="F95" i="10"/>
  <c r="F96" i="10" s="1"/>
  <c r="I91" i="10"/>
  <c r="I95" i="10"/>
  <c r="I96" i="10" s="1"/>
  <c r="I87" i="10"/>
  <c r="G87" i="10"/>
  <c r="F87" i="10"/>
  <c r="D126" i="10"/>
  <c r="H87" i="10"/>
  <c r="E121" i="10"/>
  <c r="E123" i="10" s="1"/>
  <c r="P103" i="10"/>
  <c r="O103" i="10"/>
  <c r="F125" i="10"/>
  <c r="P108" i="10"/>
  <c r="M95" i="10"/>
  <c r="U169" i="22"/>
  <c r="T168" i="22"/>
  <c r="U172" i="22"/>
  <c r="T165" i="22"/>
  <c r="T169" i="22"/>
  <c r="T172" i="22"/>
  <c r="N95" i="10"/>
  <c r="N96" i="10" s="1"/>
  <c r="M92" i="10"/>
  <c r="N166" i="22"/>
  <c r="O166" i="22"/>
  <c r="P166" i="22"/>
  <c r="Q166" i="22"/>
  <c r="R166" i="22"/>
  <c r="S166" i="22"/>
  <c r="N111" i="10"/>
  <c r="N112" i="10" s="1"/>
  <c r="P90" i="10" s="1"/>
  <c r="P92" i="10" s="1"/>
  <c r="F174" i="22"/>
  <c r="I92" i="10"/>
  <c r="H92" i="10"/>
  <c r="G91" i="10"/>
  <c r="F91" i="10"/>
  <c r="D123" i="10"/>
  <c r="E120" i="10"/>
  <c r="F120" i="10"/>
  <c r="G126" i="10"/>
  <c r="G127" i="10" s="1"/>
  <c r="F126" i="10"/>
  <c r="H126" i="10"/>
  <c r="H127" i="10" s="1"/>
  <c r="F118" i="10"/>
  <c r="I126" i="10"/>
  <c r="I127" i="10" s="1"/>
  <c r="G118" i="10"/>
  <c r="P112" i="10"/>
  <c r="R90" i="10" s="1"/>
  <c r="R92" i="10" s="1"/>
  <c r="M111" i="10"/>
  <c r="O111" i="10"/>
  <c r="O112" i="10" s="1"/>
  <c r="Q90" i="10" s="1"/>
  <c r="Q106" i="10"/>
  <c r="Q108" i="10" s="1"/>
  <c r="E91" i="10"/>
  <c r="D95" i="10"/>
  <c r="O90" i="10"/>
  <c r="O92" i="10" s="1"/>
  <c r="P87" i="10"/>
  <c r="I122" i="10"/>
  <c r="G122" i="10"/>
  <c r="H122" i="10"/>
  <c r="N91" i="10"/>
  <c r="O107" i="10"/>
  <c r="N107" i="10"/>
  <c r="P107" i="10"/>
  <c r="G174" i="22"/>
  <c r="B131" i="22"/>
  <c r="E131" i="22"/>
  <c r="D67" i="4"/>
  <c r="D273" i="22"/>
  <c r="D272" i="22"/>
  <c r="D270" i="22"/>
  <c r="D131" i="22"/>
  <c r="D271" i="22"/>
  <c r="D269" i="22"/>
  <c r="D268" i="22"/>
  <c r="C267" i="22"/>
  <c r="F267" i="22" s="1"/>
  <c r="H44" i="26" s="1"/>
  <c r="H28" i="26" s="1"/>
  <c r="C276" i="22"/>
  <c r="C272" i="22"/>
  <c r="C270" i="22"/>
  <c r="C269" i="22"/>
  <c r="C268" i="22"/>
  <c r="D267" i="22"/>
  <c r="D276" i="22"/>
  <c r="D275" i="22"/>
  <c r="C275" i="22"/>
  <c r="C274" i="22"/>
  <c r="C273" i="22"/>
  <c r="C271" i="22"/>
  <c r="C131" i="22"/>
  <c r="C242" i="22"/>
  <c r="F259" i="22"/>
  <c r="R111" i="10" l="1"/>
  <c r="R112" i="10" s="1"/>
  <c r="AG38" i="26"/>
  <c r="G41" i="26"/>
  <c r="H44" i="4"/>
  <c r="E122" i="10"/>
  <c r="F127" i="10"/>
  <c r="F122" i="10"/>
  <c r="E126" i="10"/>
  <c r="E127" i="10" s="1"/>
  <c r="T166" i="22"/>
  <c r="U166" i="22"/>
  <c r="Q95" i="10"/>
  <c r="Q96" i="10" s="1"/>
  <c r="Q92" i="10"/>
  <c r="P95" i="10"/>
  <c r="P96" i="10" s="1"/>
  <c r="O91" i="10"/>
  <c r="O95" i="10"/>
  <c r="O96" i="10" s="1"/>
  <c r="P91" i="10"/>
  <c r="R95" i="10"/>
  <c r="R96" i="10" s="1"/>
  <c r="R107" i="10"/>
  <c r="Q87" i="10"/>
  <c r="R91" i="10"/>
  <c r="R87" i="10"/>
  <c r="Q91" i="10"/>
  <c r="Q107" i="10"/>
  <c r="Q111" i="10"/>
  <c r="Q112" i="10" s="1"/>
  <c r="E268" i="22"/>
  <c r="E267" i="22"/>
  <c r="F268" i="22"/>
  <c r="I44" i="26" s="1"/>
  <c r="I28" i="26" s="1"/>
  <c r="D60" i="4"/>
  <c r="E58" i="4"/>
  <c r="D58" i="4"/>
  <c r="G13" i="4" s="1"/>
  <c r="E56" i="4"/>
  <c r="D56" i="4"/>
  <c r="G49" i="10"/>
  <c r="F49" i="10"/>
  <c r="E49" i="10"/>
  <c r="G10" i="10"/>
  <c r="G44" i="10"/>
  <c r="G43" i="10"/>
  <c r="G39" i="10"/>
  <c r="F10" i="10"/>
  <c r="F39" i="10"/>
  <c r="F44" i="10"/>
  <c r="F43" i="10"/>
  <c r="F10" i="4"/>
  <c r="E10" i="4"/>
  <c r="D10" i="4"/>
  <c r="D11" i="4"/>
  <c r="D54" i="4"/>
  <c r="E230" i="22"/>
  <c r="D230" i="22"/>
  <c r="C230" i="22"/>
  <c r="E220" i="22"/>
  <c r="D220" i="22"/>
  <c r="C220" i="22"/>
  <c r="E219" i="22"/>
  <c r="D219" i="22"/>
  <c r="C219" i="22"/>
  <c r="E208" i="22"/>
  <c r="D208" i="22"/>
  <c r="C208" i="22"/>
  <c r="E206" i="22"/>
  <c r="D206" i="22"/>
  <c r="C206" i="22"/>
  <c r="E204" i="22"/>
  <c r="D204" i="22"/>
  <c r="C204" i="22"/>
  <c r="E202" i="22"/>
  <c r="D202" i="22"/>
  <c r="C202" i="22"/>
  <c r="E200" i="22"/>
  <c r="D200" i="22"/>
  <c r="C200" i="22"/>
  <c r="E209" i="22"/>
  <c r="E210" i="22" s="1"/>
  <c r="D209" i="22"/>
  <c r="C209" i="22"/>
  <c r="C211" i="22" s="1"/>
  <c r="C197" i="22"/>
  <c r="D197" i="22"/>
  <c r="D196" i="22"/>
  <c r="C196" i="22"/>
  <c r="E166" i="22"/>
  <c r="E174" i="22" s="1"/>
  <c r="C167" i="22"/>
  <c r="D39" i="10"/>
  <c r="B17" i="1" a="1"/>
  <c r="B17" i="1" s="1"/>
  <c r="C20" i="1" a="1"/>
  <c r="C20" i="1" s="1"/>
  <c r="C144" i="22"/>
  <c r="C145" i="22"/>
  <c r="C146" i="22"/>
  <c r="C147" i="22"/>
  <c r="C143" i="22"/>
  <c r="C142" i="22"/>
  <c r="F154" i="22"/>
  <c r="F156" i="22" s="1"/>
  <c r="C175" i="22"/>
  <c r="D175" i="22"/>
  <c r="E173" i="22"/>
  <c r="C186" i="22"/>
  <c r="D186" i="22"/>
  <c r="E186" i="22"/>
  <c r="C183" i="22"/>
  <c r="C187" i="22" s="1"/>
  <c r="D183" i="22"/>
  <c r="D187" i="22" s="1"/>
  <c r="E183" i="22"/>
  <c r="E187" i="22" s="1"/>
  <c r="E154" i="22"/>
  <c r="E156" i="22" s="1"/>
  <c r="D154" i="22"/>
  <c r="D156" i="22" s="1"/>
  <c r="C137" i="22"/>
  <c r="D137" i="22"/>
  <c r="C136" i="22"/>
  <c r="D136" i="22"/>
  <c r="B136" i="22"/>
  <c r="C22" i="1" l="1"/>
  <c r="D73" i="26"/>
  <c r="I44" i="4"/>
  <c r="E167" i="22"/>
  <c r="D167" i="22"/>
  <c r="F200" i="22"/>
  <c r="F230" i="22"/>
  <c r="D210" i="22"/>
  <c r="F206" i="22"/>
  <c r="F202" i="22"/>
  <c r="F197" i="22"/>
  <c r="C148" i="22"/>
  <c r="G204" i="22"/>
  <c r="F208" i="22"/>
  <c r="G208" i="22"/>
  <c r="G197" i="22"/>
  <c r="C210" i="22"/>
  <c r="G206" i="22"/>
  <c r="F204" i="22"/>
  <c r="F209" i="22"/>
  <c r="E211" i="22"/>
  <c r="D211" i="22"/>
  <c r="G202" i="22"/>
  <c r="G200" i="22"/>
  <c r="D173" i="22"/>
  <c r="F187" i="22"/>
  <c r="C184" i="22"/>
  <c r="D184" i="22"/>
  <c r="E184" i="22"/>
  <c r="C173" i="22"/>
  <c r="J173" i="22" s="1"/>
  <c r="F220" i="22"/>
  <c r="C121" i="22"/>
  <c r="D121" i="22"/>
  <c r="B121" i="22"/>
  <c r="E115" i="22"/>
  <c r="E116" i="22"/>
  <c r="E117" i="22"/>
  <c r="E118" i="22"/>
  <c r="E119" i="22"/>
  <c r="E120" i="22"/>
  <c r="C112" i="22"/>
  <c r="C113" i="22" s="1"/>
  <c r="D112" i="22"/>
  <c r="D113" i="22" s="1"/>
  <c r="B112" i="22"/>
  <c r="D105" i="22"/>
  <c r="D107" i="22" s="1"/>
  <c r="E105" i="22"/>
  <c r="E107" i="22" s="1"/>
  <c r="F105" i="22"/>
  <c r="F107" i="22" s="1"/>
  <c r="G211" i="22" l="1"/>
  <c r="G210" i="22"/>
  <c r="F210" i="22"/>
  <c r="E112" i="22"/>
  <c r="I173" i="22"/>
  <c r="F211" i="22"/>
  <c r="F184" i="22"/>
  <c r="B113" i="22"/>
  <c r="E113" i="22" s="1"/>
  <c r="G107" i="22"/>
  <c r="J106" i="22" s="1"/>
  <c r="D55" i="4" l="1"/>
  <c r="D55" i="26"/>
  <c r="E53" i="22"/>
  <c r="D53" i="22"/>
  <c r="C53" i="22"/>
  <c r="R13" i="24"/>
  <c r="R14" i="24" s="1"/>
  <c r="S13" i="24"/>
  <c r="S14" i="24" s="1"/>
  <c r="T13" i="24"/>
  <c r="T14" i="24" s="1"/>
  <c r="R23" i="24"/>
  <c r="S23" i="24"/>
  <c r="T23" i="24"/>
  <c r="R11" i="24"/>
  <c r="S11" i="24"/>
  <c r="R18" i="24"/>
  <c r="S18" i="24"/>
  <c r="T18" i="24"/>
  <c r="E55" i="22"/>
  <c r="D55" i="22"/>
  <c r="C55" i="22"/>
  <c r="C51" i="22"/>
  <c r="D51" i="22"/>
  <c r="E51" i="22"/>
  <c r="H84" i="22"/>
  <c r="G84" i="22"/>
  <c r="F84" i="22"/>
  <c r="E84" i="22"/>
  <c r="D84" i="22"/>
  <c r="F81" i="22"/>
  <c r="E81" i="22"/>
  <c r="H81" i="22"/>
  <c r="G81" i="22"/>
  <c r="E73" i="22"/>
  <c r="D74" i="22"/>
  <c r="F76" i="22"/>
  <c r="F71" i="22" s="1"/>
  <c r="F72" i="22"/>
  <c r="E69" i="22"/>
  <c r="D69" i="22"/>
  <c r="F69" i="22"/>
  <c r="E67" i="22"/>
  <c r="D67" i="22"/>
  <c r="F67" i="22"/>
  <c r="G66" i="22"/>
  <c r="C10" i="10"/>
  <c r="C39" i="10"/>
  <c r="C44" i="10"/>
  <c r="C43" i="10"/>
  <c r="E63" i="10"/>
  <c r="E60" i="10"/>
  <c r="D29" i="10"/>
  <c r="E10" i="10"/>
  <c r="E39" i="10"/>
  <c r="E59" i="10"/>
  <c r="E15" i="10" s="1"/>
  <c r="E44" i="10"/>
  <c r="E43" i="10"/>
  <c r="D49" i="10"/>
  <c r="D10" i="10"/>
  <c r="D36" i="10" s="1"/>
  <c r="D44" i="10"/>
  <c r="D43" i="10"/>
  <c r="D11" i="10"/>
  <c r="D50" i="10" s="1"/>
  <c r="D58" i="10"/>
  <c r="D31" i="10"/>
  <c r="D30" i="10"/>
  <c r="D28" i="10"/>
  <c r="D18" i="10"/>
  <c r="D17" i="10"/>
  <c r="D16" i="10"/>
  <c r="D15" i="10"/>
  <c r="D14" i="10"/>
  <c r="G95" i="24"/>
  <c r="F95" i="24"/>
  <c r="E95" i="24"/>
  <c r="D95" i="24"/>
  <c r="I11" i="24"/>
  <c r="I25" i="24" s="1"/>
  <c r="H11" i="24"/>
  <c r="H25" i="24" s="1"/>
  <c r="G11" i="24"/>
  <c r="G25" i="24" s="1"/>
  <c r="F11" i="24"/>
  <c r="F25" i="24" s="1"/>
  <c r="E11" i="24"/>
  <c r="E25" i="24" s="1"/>
  <c r="D11" i="24"/>
  <c r="D25" i="24" s="1"/>
  <c r="I18" i="24"/>
  <c r="I19" i="24" s="1"/>
  <c r="H18" i="24"/>
  <c r="H19" i="24" s="1"/>
  <c r="G18" i="24"/>
  <c r="G19" i="24" s="1"/>
  <c r="F18" i="24"/>
  <c r="F19" i="24" s="1"/>
  <c r="E18" i="24"/>
  <c r="E19" i="24" s="1"/>
  <c r="D18" i="24"/>
  <c r="D19" i="24" s="1"/>
  <c r="D34" i="10" l="1"/>
  <c r="I12" i="24"/>
  <c r="I95" i="24"/>
  <c r="G68" i="22"/>
  <c r="G69" i="22" s="1"/>
  <c r="G6" i="26"/>
  <c r="F85" i="22"/>
  <c r="F82" i="22"/>
  <c r="G85" i="22"/>
  <c r="G90" i="22" s="1"/>
  <c r="G91" i="22" s="1"/>
  <c r="G82" i="22"/>
  <c r="E85" i="22"/>
  <c r="E90" i="22" s="1"/>
  <c r="E91" i="22" s="1"/>
  <c r="H85" i="22"/>
  <c r="H87" i="22" s="1"/>
  <c r="H82" i="22"/>
  <c r="G67" i="22"/>
  <c r="G6" i="4"/>
  <c r="E18" i="10"/>
  <c r="D37" i="10"/>
  <c r="E58" i="10"/>
  <c r="C56" i="22"/>
  <c r="D54" i="22"/>
  <c r="C54" i="22"/>
  <c r="E56" i="22"/>
  <c r="D56" i="22"/>
  <c r="E54" i="22"/>
  <c r="D52" i="22"/>
  <c r="C52" i="22"/>
  <c r="G51" i="22"/>
  <c r="E52" i="22"/>
  <c r="D12" i="24"/>
  <c r="H12" i="24"/>
  <c r="G12" i="24"/>
  <c r="F12" i="24"/>
  <c r="E12" i="24"/>
  <c r="J25" i="24"/>
  <c r="H66" i="22"/>
  <c r="D33" i="10"/>
  <c r="D13" i="10"/>
  <c r="D21" i="10"/>
  <c r="D22" i="10"/>
  <c r="L2" i="1" a="1"/>
  <c r="L2" i="1" s="1"/>
  <c r="M81" i="1"/>
  <c r="D43" i="3"/>
  <c r="E41" i="22"/>
  <c r="D41" i="22"/>
  <c r="C41" i="22"/>
  <c r="C6" i="17"/>
  <c r="B6" i="17"/>
  <c r="I77" i="17"/>
  <c r="B13" i="17"/>
  <c r="B14" i="17" s="1"/>
  <c r="F13" i="17"/>
  <c r="F14" i="17" s="1"/>
  <c r="B60" i="17"/>
  <c r="I19" i="1"/>
  <c r="M107" i="1"/>
  <c r="L107" i="1"/>
  <c r="K107" i="1"/>
  <c r="J107" i="1"/>
  <c r="I107" i="1"/>
  <c r="D283" i="22" l="1"/>
  <c r="E6" i="4"/>
  <c r="C1" i="17"/>
  <c r="E6" i="26"/>
  <c r="E5" i="26" s="1"/>
  <c r="C154" i="22"/>
  <c r="C156" i="22" s="1"/>
  <c r="B1" i="17"/>
  <c r="A1" i="17" s="1"/>
  <c r="C283" i="22"/>
  <c r="F6" i="4"/>
  <c r="F6" i="26"/>
  <c r="F5" i="26" s="1"/>
  <c r="B154" i="22"/>
  <c r="B156" i="22" s="1"/>
  <c r="G156" i="22" s="1"/>
  <c r="J153" i="22" s="1"/>
  <c r="G5" i="26"/>
  <c r="G31" i="26" s="1"/>
  <c r="G5" i="4"/>
  <c r="H6" i="26"/>
  <c r="H68" i="22"/>
  <c r="G11" i="26"/>
  <c r="G20" i="26" s="1"/>
  <c r="G27" i="26"/>
  <c r="G8" i="26"/>
  <c r="G10" i="26"/>
  <c r="G39" i="26" s="1"/>
  <c r="G23" i="26"/>
  <c r="G40" i="26" s="1"/>
  <c r="G87" i="22"/>
  <c r="H86" i="22"/>
  <c r="G86" i="22"/>
  <c r="F86" i="22"/>
  <c r="F87" i="22"/>
  <c r="F90" i="22"/>
  <c r="F91" i="22" s="1"/>
  <c r="E87" i="22"/>
  <c r="H90" i="22"/>
  <c r="H91" i="22" s="1"/>
  <c r="G10" i="4"/>
  <c r="H51" i="22"/>
  <c r="H55" i="22" s="1"/>
  <c r="H6" i="4"/>
  <c r="F56" i="22"/>
  <c r="F54" i="22"/>
  <c r="G52" i="22"/>
  <c r="G55" i="22"/>
  <c r="I66" i="22"/>
  <c r="F41" i="22"/>
  <c r="G21" i="26" l="1"/>
  <c r="D63" i="4"/>
  <c r="D63" i="26"/>
  <c r="G24" i="26" s="1"/>
  <c r="P283" i="22"/>
  <c r="O283" i="22"/>
  <c r="C72" i="16"/>
  <c r="K72" i="16"/>
  <c r="L72" i="16"/>
  <c r="I72" i="16"/>
  <c r="D72" i="16"/>
  <c r="G72" i="16"/>
  <c r="E72" i="16"/>
  <c r="F72" i="16"/>
  <c r="J72" i="16"/>
  <c r="M72" i="16"/>
  <c r="H72" i="16"/>
  <c r="H24" i="26"/>
  <c r="H11" i="26"/>
  <c r="H20" i="26" s="1"/>
  <c r="H10" i="26"/>
  <c r="H39" i="26" s="1"/>
  <c r="H23" i="26"/>
  <c r="H8" i="26"/>
  <c r="H27" i="26"/>
  <c r="H21" i="26"/>
  <c r="I6" i="26"/>
  <c r="I68" i="22"/>
  <c r="H40" i="26"/>
  <c r="H9" i="26"/>
  <c r="H41" i="26" s="1"/>
  <c r="G12" i="26"/>
  <c r="H31" i="26"/>
  <c r="I31" i="26" s="1"/>
  <c r="J31" i="26" s="1"/>
  <c r="H52" i="22"/>
  <c r="I51" i="22"/>
  <c r="I55" i="22" s="1"/>
  <c r="I6" i="4"/>
  <c r="H11" i="4"/>
  <c r="H10" i="4"/>
  <c r="J66" i="22"/>
  <c r="P18" i="22"/>
  <c r="Q18" i="22"/>
  <c r="P19" i="22"/>
  <c r="Q19" i="22"/>
  <c r="P21" i="22"/>
  <c r="Q21" i="22"/>
  <c r="P22" i="22"/>
  <c r="Q22" i="22"/>
  <c r="P24" i="22"/>
  <c r="Q24" i="22"/>
  <c r="P25" i="22"/>
  <c r="Q25" i="22"/>
  <c r="P30" i="22"/>
  <c r="Q30" i="22"/>
  <c r="Q17" i="22"/>
  <c r="P17" i="22"/>
  <c r="O16" i="22"/>
  <c r="P16" i="22"/>
  <c r="Q16" i="22"/>
  <c r="O19" i="22"/>
  <c r="O21" i="22"/>
  <c r="O22" i="22"/>
  <c r="O24" i="22"/>
  <c r="O25" i="22"/>
  <c r="O30" i="22"/>
  <c r="O18" i="22"/>
  <c r="O17" i="22"/>
  <c r="H23" i="22"/>
  <c r="I23" i="22"/>
  <c r="J23" i="22"/>
  <c r="K23" i="22"/>
  <c r="L23" i="22"/>
  <c r="M23" i="22"/>
  <c r="H26" i="22"/>
  <c r="I26" i="22"/>
  <c r="J26" i="22"/>
  <c r="K26" i="22"/>
  <c r="L26" i="22"/>
  <c r="M26" i="22"/>
  <c r="H27" i="22"/>
  <c r="I27" i="22"/>
  <c r="J27" i="22"/>
  <c r="K27" i="22"/>
  <c r="L27" i="22"/>
  <c r="M27" i="22"/>
  <c r="H28" i="22"/>
  <c r="I28" i="22"/>
  <c r="J28" i="22"/>
  <c r="K28" i="22"/>
  <c r="L28" i="22"/>
  <c r="M28" i="22"/>
  <c r="H29" i="22"/>
  <c r="I29" i="22"/>
  <c r="J29" i="22"/>
  <c r="K29" i="22"/>
  <c r="L29" i="22"/>
  <c r="M29" i="22"/>
  <c r="H9" i="22"/>
  <c r="I9" i="22"/>
  <c r="J9" i="22"/>
  <c r="K9" i="22"/>
  <c r="L9" i="22"/>
  <c r="M9" i="22"/>
  <c r="H10" i="22"/>
  <c r="I10" i="22"/>
  <c r="J10" i="22"/>
  <c r="K10" i="22"/>
  <c r="L10" i="22"/>
  <c r="M10" i="22"/>
  <c r="D23" i="22"/>
  <c r="E23" i="22"/>
  <c r="F23" i="22"/>
  <c r="G23" i="22"/>
  <c r="C23" i="22"/>
  <c r="D28" i="22"/>
  <c r="E28" i="22"/>
  <c r="F28" i="22"/>
  <c r="G28" i="22"/>
  <c r="D29" i="22"/>
  <c r="E29" i="22"/>
  <c r="F29" i="22"/>
  <c r="G29" i="22"/>
  <c r="D26" i="22"/>
  <c r="E26" i="22"/>
  <c r="F26" i="22"/>
  <c r="G26" i="22"/>
  <c r="D27" i="22"/>
  <c r="E27" i="22"/>
  <c r="F27" i="22"/>
  <c r="G27" i="22"/>
  <c r="F55" i="4"/>
  <c r="F56" i="4"/>
  <c r="F57" i="4"/>
  <c r="F58" i="4"/>
  <c r="F59" i="4"/>
  <c r="F62" i="4"/>
  <c r="F63" i="4"/>
  <c r="F64" i="4"/>
  <c r="F65" i="4"/>
  <c r="F66" i="4"/>
  <c r="D59" i="4"/>
  <c r="E59" i="4"/>
  <c r="D61" i="4"/>
  <c r="E61" i="4"/>
  <c r="D64" i="4"/>
  <c r="E64" i="4"/>
  <c r="D65" i="4"/>
  <c r="E65" i="4"/>
  <c r="F18" i="10"/>
  <c r="G18" i="10"/>
  <c r="B87" i="17"/>
  <c r="K31" i="26" l="1"/>
  <c r="I9" i="26"/>
  <c r="I27" i="26"/>
  <c r="I24" i="26"/>
  <c r="I11" i="26"/>
  <c r="I20" i="26" s="1"/>
  <c r="I10" i="26"/>
  <c r="I39" i="26" s="1"/>
  <c r="I21" i="26"/>
  <c r="I23" i="26"/>
  <c r="I8" i="26"/>
  <c r="H12" i="26"/>
  <c r="J6" i="26"/>
  <c r="J68" i="22"/>
  <c r="I52" i="22"/>
  <c r="I10" i="4"/>
  <c r="I27" i="4"/>
  <c r="J51" i="22"/>
  <c r="J55" i="22" s="1"/>
  <c r="J6" i="4"/>
  <c r="K66" i="22"/>
  <c r="O23" i="22"/>
  <c r="G27" i="4"/>
  <c r="Q23" i="22"/>
  <c r="P23" i="22"/>
  <c r="H27" i="4"/>
  <c r="G9" i="4"/>
  <c r="G41" i="4" s="1"/>
  <c r="H48" i="10"/>
  <c r="J23" i="26" l="1"/>
  <c r="J8" i="26"/>
  <c r="J21" i="26"/>
  <c r="J10" i="26"/>
  <c r="J39" i="26" s="1"/>
  <c r="J11" i="26"/>
  <c r="J20" i="26" s="1"/>
  <c r="J24" i="26"/>
  <c r="J27" i="26"/>
  <c r="I12" i="26"/>
  <c r="I51" i="26" s="1"/>
  <c r="L31" i="26"/>
  <c r="M31" i="26" s="1"/>
  <c r="K6" i="26"/>
  <c r="K68" i="22"/>
  <c r="I40" i="26"/>
  <c r="I41" i="26"/>
  <c r="J52" i="22"/>
  <c r="J10" i="4"/>
  <c r="J27" i="4"/>
  <c r="K51" i="22"/>
  <c r="K55" i="22" s="1"/>
  <c r="K6" i="4"/>
  <c r="L66" i="22"/>
  <c r="G24" i="4"/>
  <c r="C16" i="22"/>
  <c r="G8" i="10"/>
  <c r="F8" i="10"/>
  <c r="E8" i="10"/>
  <c r="D8" i="10"/>
  <c r="C60" i="17"/>
  <c r="D60" i="17"/>
  <c r="E60" i="17"/>
  <c r="F60" i="17"/>
  <c r="G60" i="17"/>
  <c r="H60" i="17"/>
  <c r="I60" i="17"/>
  <c r="J60" i="17"/>
  <c r="K60" i="17"/>
  <c r="L60" i="17"/>
  <c r="M60" i="17"/>
  <c r="F67" i="17"/>
  <c r="G67" i="17"/>
  <c r="H67" i="17"/>
  <c r="I67" i="17"/>
  <c r="J67" i="17"/>
  <c r="K67" i="17"/>
  <c r="L67" i="17"/>
  <c r="M67" i="17"/>
  <c r="E47" i="17"/>
  <c r="F47" i="17"/>
  <c r="G47" i="17"/>
  <c r="H47" i="17"/>
  <c r="I47" i="17"/>
  <c r="J47" i="17"/>
  <c r="K47" i="17"/>
  <c r="L47" i="17"/>
  <c r="M47" i="17"/>
  <c r="D47" i="17"/>
  <c r="E32" i="17"/>
  <c r="F32" i="17"/>
  <c r="G32" i="17"/>
  <c r="H32" i="17"/>
  <c r="I32" i="17"/>
  <c r="J32" i="17"/>
  <c r="K32" i="17"/>
  <c r="L32" i="17"/>
  <c r="M32" i="17"/>
  <c r="D32" i="17"/>
  <c r="N31" i="26" l="1"/>
  <c r="O31" i="26" s="1"/>
  <c r="J9" i="26"/>
  <c r="J12" i="26" s="1"/>
  <c r="J40" i="26"/>
  <c r="I61" i="26"/>
  <c r="K24" i="26"/>
  <c r="K23" i="26"/>
  <c r="K11" i="26"/>
  <c r="K20" i="26" s="1"/>
  <c r="K27" i="26"/>
  <c r="K10" i="26"/>
  <c r="K39" i="26" s="1"/>
  <c r="K21" i="26"/>
  <c r="K8" i="26"/>
  <c r="L6" i="26"/>
  <c r="L27" i="26" s="1"/>
  <c r="L68" i="22"/>
  <c r="K52" i="22"/>
  <c r="K10" i="4"/>
  <c r="K27" i="4"/>
  <c r="L51" i="22"/>
  <c r="L55" i="22" s="1"/>
  <c r="L6" i="4"/>
  <c r="M66" i="22"/>
  <c r="B67" i="17"/>
  <c r="F25" i="26" s="1"/>
  <c r="B63" i="17"/>
  <c r="B56" i="17"/>
  <c r="B47" i="17"/>
  <c r="B50" i="17" s="1"/>
  <c r="B46" i="17"/>
  <c r="B32" i="17"/>
  <c r="B36" i="17" s="1"/>
  <c r="B31" i="17"/>
  <c r="B23" i="17"/>
  <c r="L8" i="26" l="1"/>
  <c r="L24" i="26"/>
  <c r="L10" i="26"/>
  <c r="L39" i="26"/>
  <c r="L23" i="26"/>
  <c r="M6" i="26"/>
  <c r="M23" i="26" s="1"/>
  <c r="M68" i="22"/>
  <c r="P31" i="26"/>
  <c r="J41" i="26"/>
  <c r="J61" i="26" s="1"/>
  <c r="J62" i="26" s="1"/>
  <c r="L11" i="26"/>
  <c r="L20" i="26" s="1"/>
  <c r="L21" i="26"/>
  <c r="K40" i="26"/>
  <c r="L9" i="26" s="1"/>
  <c r="L12" i="26" s="1"/>
  <c r="K9" i="26"/>
  <c r="K12" i="26" s="1"/>
  <c r="L52" i="22"/>
  <c r="L10" i="4"/>
  <c r="L27" i="4"/>
  <c r="M51" i="22"/>
  <c r="M55" i="22" s="1"/>
  <c r="M6" i="4"/>
  <c r="N66" i="22"/>
  <c r="B37" i="17"/>
  <c r="G36" i="10"/>
  <c r="G37" i="10"/>
  <c r="E37" i="10"/>
  <c r="E36" i="10"/>
  <c r="F36" i="10"/>
  <c r="F37" i="10"/>
  <c r="M10" i="26" l="1"/>
  <c r="M39" i="26" s="1"/>
  <c r="M21" i="26"/>
  <c r="K41" i="26"/>
  <c r="M8" i="26"/>
  <c r="M24" i="26"/>
  <c r="M27" i="26"/>
  <c r="M11" i="26"/>
  <c r="M20" i="26" s="1"/>
  <c r="Q31" i="26"/>
  <c r="R31" i="26" s="1"/>
  <c r="L40" i="26"/>
  <c r="M9" i="26" s="1"/>
  <c r="N6" i="26"/>
  <c r="N24" i="26" s="1"/>
  <c r="N68" i="22"/>
  <c r="M52" i="22"/>
  <c r="M10" i="4"/>
  <c r="M27" i="4"/>
  <c r="N51" i="22"/>
  <c r="N55" i="22" s="1"/>
  <c r="N6" i="4"/>
  <c r="O66" i="22"/>
  <c r="N10" i="26" l="1"/>
  <c r="N27" i="26"/>
  <c r="N21" i="26"/>
  <c r="N11" i="26"/>
  <c r="N20" i="26" s="1"/>
  <c r="N23" i="26"/>
  <c r="N8" i="26"/>
  <c r="S31" i="26"/>
  <c r="T31" i="26" s="1"/>
  <c r="N39" i="26"/>
  <c r="M12" i="26"/>
  <c r="M40" i="26"/>
  <c r="N9" i="26" s="1"/>
  <c r="N12" i="26" s="1"/>
  <c r="K61" i="26"/>
  <c r="K62" i="26" s="1"/>
  <c r="L41" i="26"/>
  <c r="L61" i="26" s="1"/>
  <c r="O6" i="26"/>
  <c r="O24" i="26" s="1"/>
  <c r="O68" i="22"/>
  <c r="N52" i="22"/>
  <c r="O51" i="22"/>
  <c r="O55" i="22" s="1"/>
  <c r="O6" i="4"/>
  <c r="N10" i="4"/>
  <c r="N27" i="4"/>
  <c r="P66" i="22"/>
  <c r="G52" i="10"/>
  <c r="F52" i="10"/>
  <c r="E52" i="10"/>
  <c r="D52" i="10"/>
  <c r="E10" i="22"/>
  <c r="F10" i="22"/>
  <c r="G10" i="22"/>
  <c r="G9" i="22"/>
  <c r="F9" i="22"/>
  <c r="E9" i="22"/>
  <c r="D10" i="22"/>
  <c r="D9" i="22"/>
  <c r="L62" i="26" l="1"/>
  <c r="O11" i="26"/>
  <c r="O20" i="26" s="1"/>
  <c r="O10" i="26"/>
  <c r="N40" i="26"/>
  <c r="O9" i="26" s="1"/>
  <c r="O8" i="26"/>
  <c r="O21" i="26"/>
  <c r="O27" i="26"/>
  <c r="O23" i="26"/>
  <c r="O40" i="26" s="1"/>
  <c r="O39" i="26"/>
  <c r="U31" i="26"/>
  <c r="V31" i="26" s="1"/>
  <c r="M41" i="26"/>
  <c r="P6" i="26"/>
  <c r="P24" i="26" s="1"/>
  <c r="P68" i="22"/>
  <c r="O52" i="22"/>
  <c r="P51" i="22"/>
  <c r="P52" i="22" s="1"/>
  <c r="P6" i="4"/>
  <c r="Q6" i="4" s="1"/>
  <c r="R6" i="4" s="1"/>
  <c r="S6" i="4" s="1"/>
  <c r="T6" i="4" s="1"/>
  <c r="U6" i="4" s="1"/>
  <c r="V6" i="4" s="1"/>
  <c r="W6" i="4" s="1"/>
  <c r="X6" i="4" s="1"/>
  <c r="Y6" i="4" s="1"/>
  <c r="Z6" i="4" s="1"/>
  <c r="AA6" i="4" s="1"/>
  <c r="AB6" i="4" s="1"/>
  <c r="AC6" i="4" s="1"/>
  <c r="AD6" i="4" s="1"/>
  <c r="AE6" i="4" s="1"/>
  <c r="AF6" i="4" s="1"/>
  <c r="I57" i="4" s="1"/>
  <c r="O10" i="4"/>
  <c r="O27" i="4"/>
  <c r="D8" i="22"/>
  <c r="C49" i="10"/>
  <c r="O12" i="26" l="1"/>
  <c r="P11" i="26"/>
  <c r="P20" i="26" s="1"/>
  <c r="P23" i="26"/>
  <c r="P27" i="26"/>
  <c r="P10" i="26"/>
  <c r="P39" i="26" s="1"/>
  <c r="P21" i="26"/>
  <c r="Q6" i="26"/>
  <c r="Q27" i="26" s="1"/>
  <c r="P8" i="26"/>
  <c r="M61" i="26"/>
  <c r="M62" i="26" s="1"/>
  <c r="N41" i="26"/>
  <c r="N61" i="26" s="1"/>
  <c r="W31" i="26"/>
  <c r="X31" i="26" s="1"/>
  <c r="Y31" i="26" s="1"/>
  <c r="P9" i="26"/>
  <c r="P55" i="22"/>
  <c r="P10" i="4"/>
  <c r="P27" i="4"/>
  <c r="H49" i="10"/>
  <c r="I49" i="10" s="1"/>
  <c r="E8" i="22"/>
  <c r="D16" i="22"/>
  <c r="J40" i="1"/>
  <c r="Q4" i="19"/>
  <c r="P4" i="19"/>
  <c r="O4" i="19"/>
  <c r="N4" i="19"/>
  <c r="M4" i="19"/>
  <c r="N62" i="26" l="1"/>
  <c r="O41" i="26"/>
  <c r="O61" i="26" s="1"/>
  <c r="O62" i="26" s="1"/>
  <c r="P40" i="26"/>
  <c r="Q9" i="26" s="1"/>
  <c r="Q11" i="26"/>
  <c r="Q20" i="26" s="1"/>
  <c r="Q10" i="26"/>
  <c r="Q39" i="26" s="1"/>
  <c r="Q21" i="26"/>
  <c r="Q24" i="26"/>
  <c r="Q23" i="26"/>
  <c r="Q8" i="26"/>
  <c r="P12" i="26"/>
  <c r="P51" i="26" s="1"/>
  <c r="R6" i="26"/>
  <c r="R27" i="26" s="1"/>
  <c r="Z31" i="26"/>
  <c r="Q10" i="4"/>
  <c r="Q27" i="4"/>
  <c r="F8" i="22"/>
  <c r="E16" i="22"/>
  <c r="H44" i="10"/>
  <c r="I44" i="10" s="1"/>
  <c r="H46" i="10"/>
  <c r="I46" i="10" s="1"/>
  <c r="G22" i="10"/>
  <c r="F22" i="10"/>
  <c r="E22" i="10"/>
  <c r="C77" i="17"/>
  <c r="D77" i="17"/>
  <c r="F52" i="1" s="1"/>
  <c r="E77" i="17"/>
  <c r="F51" i="1" s="1"/>
  <c r="F77" i="17"/>
  <c r="F50" i="1" s="1"/>
  <c r="G77" i="17"/>
  <c r="F49" i="1" s="1"/>
  <c r="H77" i="17"/>
  <c r="F48" i="1" s="1"/>
  <c r="F47" i="1"/>
  <c r="J77" i="17"/>
  <c r="F46" i="1" s="1"/>
  <c r="K77" i="17"/>
  <c r="L77" i="17"/>
  <c r="M77" i="17"/>
  <c r="P41" i="26" l="1"/>
  <c r="S6" i="26"/>
  <c r="R11" i="26"/>
  <c r="R20" i="26" s="1"/>
  <c r="R24" i="26"/>
  <c r="F53" i="1"/>
  <c r="C76" i="16"/>
  <c r="R8" i="26"/>
  <c r="R23" i="26"/>
  <c r="R10" i="26"/>
  <c r="R21" i="26"/>
  <c r="P61" i="26"/>
  <c r="P62" i="26" s="1"/>
  <c r="R39" i="26"/>
  <c r="Q40" i="26"/>
  <c r="Q12" i="26"/>
  <c r="Q51" i="26" s="1"/>
  <c r="AA31" i="26"/>
  <c r="AB31" i="26" s="1"/>
  <c r="Q41" i="26"/>
  <c r="S24" i="26"/>
  <c r="S27" i="26"/>
  <c r="T6" i="26"/>
  <c r="S10" i="26"/>
  <c r="S8" i="26"/>
  <c r="S11" i="26"/>
  <c r="S20" i="26" s="1"/>
  <c r="S23" i="26"/>
  <c r="S21" i="26"/>
  <c r="R10" i="4"/>
  <c r="R27" i="4"/>
  <c r="M22" i="1" a="1"/>
  <c r="M22" i="1" s="1"/>
  <c r="G107" i="1"/>
  <c r="G8" i="22"/>
  <c r="F16" i="22"/>
  <c r="C8" i="10"/>
  <c r="R40" i="26" l="1"/>
  <c r="S39" i="26"/>
  <c r="Q61" i="26"/>
  <c r="Q62" i="26" s="1"/>
  <c r="R9" i="26"/>
  <c r="R12" i="26" s="1"/>
  <c r="R51" i="26" s="1"/>
  <c r="AC31" i="26"/>
  <c r="AD31" i="26" s="1"/>
  <c r="U6" i="26"/>
  <c r="T23" i="26"/>
  <c r="T24" i="26"/>
  <c r="T27" i="26"/>
  <c r="T11" i="26"/>
  <c r="T20" i="26" s="1"/>
  <c r="T8" i="26"/>
  <c r="T10" i="26"/>
  <c r="T21" i="26"/>
  <c r="S9" i="26"/>
  <c r="S12" i="26" s="1"/>
  <c r="S51" i="26" s="1"/>
  <c r="S40" i="26"/>
  <c r="S11" i="4"/>
  <c r="S10" i="4"/>
  <c r="S27" i="4"/>
  <c r="G16" i="22"/>
  <c r="H8" i="22"/>
  <c r="L4" i="19"/>
  <c r="E28" i="10"/>
  <c r="L6" i="19"/>
  <c r="P9" i="19"/>
  <c r="P8" i="19"/>
  <c r="P7" i="19"/>
  <c r="P6" i="19"/>
  <c r="C23" i="17"/>
  <c r="B22" i="17" s="1"/>
  <c r="D23" i="17"/>
  <c r="E23" i="17"/>
  <c r="F23" i="17"/>
  <c r="G23" i="17"/>
  <c r="H23" i="17"/>
  <c r="I23" i="17"/>
  <c r="J23" i="17"/>
  <c r="K23" i="17"/>
  <c r="L23" i="17"/>
  <c r="M23" i="17"/>
  <c r="D21" i="4"/>
  <c r="D19" i="4" s="1"/>
  <c r="E21" i="4"/>
  <c r="E19" i="4" s="1"/>
  <c r="F21" i="4"/>
  <c r="F19" i="4" s="1"/>
  <c r="D24" i="4"/>
  <c r="R41" i="26" l="1"/>
  <c r="R61" i="26" s="1"/>
  <c r="R62" i="26" s="1"/>
  <c r="T39" i="26"/>
  <c r="AE31" i="26"/>
  <c r="AF31" i="26" s="1"/>
  <c r="U23" i="26"/>
  <c r="V6" i="26"/>
  <c r="U8" i="26"/>
  <c r="U24" i="26"/>
  <c r="U10" i="26"/>
  <c r="U11" i="26"/>
  <c r="U20" i="26" s="1"/>
  <c r="U27" i="26"/>
  <c r="U21" i="26"/>
  <c r="T9" i="26"/>
  <c r="T12" i="26" s="1"/>
  <c r="T51" i="26" s="1"/>
  <c r="T40" i="26"/>
  <c r="T10" i="4"/>
  <c r="T27" i="4"/>
  <c r="I8" i="22"/>
  <c r="H16" i="22"/>
  <c r="D27" i="4"/>
  <c r="E27" i="4"/>
  <c r="F27" i="4"/>
  <c r="S41" i="26" l="1"/>
  <c r="S61" i="26" s="1"/>
  <c r="S62" i="26" s="1"/>
  <c r="U39" i="26"/>
  <c r="U40" i="26"/>
  <c r="U9" i="26"/>
  <c r="U12" i="26" s="1"/>
  <c r="U51" i="26" s="1"/>
  <c r="V24" i="26"/>
  <c r="V23" i="26"/>
  <c r="V10" i="26"/>
  <c r="W6" i="26"/>
  <c r="V11" i="26"/>
  <c r="V20" i="26" s="1"/>
  <c r="V8" i="26"/>
  <c r="V27" i="26"/>
  <c r="V21" i="26"/>
  <c r="U10" i="4"/>
  <c r="U27" i="4"/>
  <c r="J8" i="22"/>
  <c r="I16" i="22"/>
  <c r="E67" i="17"/>
  <c r="M63" i="17"/>
  <c r="E63" i="17"/>
  <c r="F63" i="17"/>
  <c r="G63" i="17"/>
  <c r="H63" i="17"/>
  <c r="I63" i="17"/>
  <c r="J63" i="17"/>
  <c r="F27" i="1"/>
  <c r="D28" i="4"/>
  <c r="E28" i="4"/>
  <c r="F28" i="4"/>
  <c r="F25" i="4"/>
  <c r="V39" i="26" l="1"/>
  <c r="T41" i="26"/>
  <c r="T61" i="26" s="1"/>
  <c r="T62" i="26" s="1"/>
  <c r="W24" i="26"/>
  <c r="W23" i="26"/>
  <c r="W8" i="26"/>
  <c r="X6" i="26"/>
  <c r="W11" i="26"/>
  <c r="W20" i="26" s="1"/>
  <c r="W21" i="26"/>
  <c r="W10" i="26"/>
  <c r="W27" i="26"/>
  <c r="V9" i="26"/>
  <c r="V12" i="26" s="1"/>
  <c r="V51" i="26" s="1"/>
  <c r="V40" i="26"/>
  <c r="V10" i="4"/>
  <c r="V27" i="4"/>
  <c r="K8" i="22"/>
  <c r="J16" i="22"/>
  <c r="D73" i="4"/>
  <c r="W39" i="26" l="1"/>
  <c r="U41" i="26"/>
  <c r="U61" i="26" s="1"/>
  <c r="U62" i="26" s="1"/>
  <c r="W9" i="26"/>
  <c r="W12" i="26" s="1"/>
  <c r="W51" i="26" s="1"/>
  <c r="W40" i="26"/>
  <c r="X24" i="26"/>
  <c r="X23" i="26"/>
  <c r="X10" i="26"/>
  <c r="X8" i="26"/>
  <c r="Y6" i="26"/>
  <c r="X11" i="26"/>
  <c r="X20" i="26" s="1"/>
  <c r="X21" i="26"/>
  <c r="X27" i="26"/>
  <c r="W10" i="4"/>
  <c r="W27" i="4"/>
  <c r="L8" i="22"/>
  <c r="K16" i="22"/>
  <c r="E36" i="17"/>
  <c r="F46" i="17"/>
  <c r="C32" i="17"/>
  <c r="K50" i="17"/>
  <c r="E31" i="4"/>
  <c r="D63" i="17"/>
  <c r="I22" i="17"/>
  <c r="K22" i="17"/>
  <c r="C8" i="19"/>
  <c r="M6" i="19"/>
  <c r="N6" i="19"/>
  <c r="O6" i="19"/>
  <c r="Q6" i="19"/>
  <c r="M7" i="19"/>
  <c r="N7" i="19"/>
  <c r="O7" i="19"/>
  <c r="Q7" i="19"/>
  <c r="M8" i="19"/>
  <c r="N8" i="19"/>
  <c r="O8" i="19"/>
  <c r="Q8" i="19"/>
  <c r="M9" i="19"/>
  <c r="N9" i="19"/>
  <c r="O9" i="19"/>
  <c r="Q9" i="19"/>
  <c r="L7" i="19"/>
  <c r="L8" i="19"/>
  <c r="L9" i="19"/>
  <c r="L18" i="3"/>
  <c r="M18" i="3"/>
  <c r="N18" i="3"/>
  <c r="O18" i="3"/>
  <c r="K18" i="3"/>
  <c r="O5" i="3"/>
  <c r="N5" i="3"/>
  <c r="M5" i="3"/>
  <c r="L5" i="3"/>
  <c r="K5" i="3"/>
  <c r="E11" i="4"/>
  <c r="F11" i="4"/>
  <c r="C63" i="17"/>
  <c r="D67" i="17"/>
  <c r="D25" i="4" l="1"/>
  <c r="D25" i="26"/>
  <c r="X39" i="26"/>
  <c r="V41" i="26"/>
  <c r="V61" i="26" s="1"/>
  <c r="V62" i="26" s="1"/>
  <c r="Y8" i="26"/>
  <c r="Y10" i="26"/>
  <c r="Y11" i="26"/>
  <c r="Y20" i="26" s="1"/>
  <c r="Z6" i="26"/>
  <c r="Y21" i="26"/>
  <c r="Y24" i="26"/>
  <c r="Y23" i="26"/>
  <c r="Y27" i="26"/>
  <c r="X40" i="26"/>
  <c r="X9" i="26"/>
  <c r="X12" i="26" s="1"/>
  <c r="X51" i="26" s="1"/>
  <c r="X27" i="4"/>
  <c r="X10" i="4"/>
  <c r="M8" i="22"/>
  <c r="M16" i="22" s="1"/>
  <c r="L16" i="22"/>
  <c r="G39" i="4"/>
  <c r="R8" i="19"/>
  <c r="R7" i="19"/>
  <c r="R6" i="19"/>
  <c r="R9" i="19"/>
  <c r="C6" i="19"/>
  <c r="D24" i="3"/>
  <c r="AF4" i="4"/>
  <c r="D47" i="10"/>
  <c r="E47" i="10"/>
  <c r="F47" i="10"/>
  <c r="G47" i="10"/>
  <c r="G28" i="10"/>
  <c r="E11" i="10"/>
  <c r="E50" i="10" s="1"/>
  <c r="F50" i="10"/>
  <c r="G11" i="10"/>
  <c r="G50" i="10" s="1"/>
  <c r="E13" i="10"/>
  <c r="F13" i="10"/>
  <c r="G13" i="10"/>
  <c r="E14" i="10"/>
  <c r="F14" i="10"/>
  <c r="G14" i="10"/>
  <c r="F15" i="10"/>
  <c r="G15" i="10"/>
  <c r="E16" i="10"/>
  <c r="F16" i="10"/>
  <c r="G16" i="10"/>
  <c r="E17" i="10"/>
  <c r="F17" i="10"/>
  <c r="G17" i="10"/>
  <c r="D20" i="10"/>
  <c r="E20" i="10"/>
  <c r="F20" i="10"/>
  <c r="G20" i="10"/>
  <c r="E21" i="10"/>
  <c r="F21" i="10"/>
  <c r="G21" i="10"/>
  <c r="E24" i="10"/>
  <c r="F24" i="10"/>
  <c r="G24" i="10"/>
  <c r="D25" i="10"/>
  <c r="E25" i="10"/>
  <c r="F25" i="10"/>
  <c r="G25" i="10"/>
  <c r="F28" i="10"/>
  <c r="E29" i="10"/>
  <c r="F29" i="10"/>
  <c r="G29" i="10"/>
  <c r="E30" i="10"/>
  <c r="F30" i="10"/>
  <c r="G30" i="10"/>
  <c r="E31" i="10"/>
  <c r="F31" i="10"/>
  <c r="G31" i="10"/>
  <c r="E33" i="10"/>
  <c r="F33" i="10"/>
  <c r="G33" i="10"/>
  <c r="E34" i="10"/>
  <c r="F34" i="10"/>
  <c r="G34" i="10"/>
  <c r="D35" i="10"/>
  <c r="E35" i="10"/>
  <c r="F35" i="10"/>
  <c r="G35" i="10"/>
  <c r="C40" i="10"/>
  <c r="C52" i="10"/>
  <c r="H9" i="10"/>
  <c r="H38" i="10"/>
  <c r="C72" i="10"/>
  <c r="C71" i="10"/>
  <c r="C68" i="10"/>
  <c r="B15" i="3"/>
  <c r="E24" i="3"/>
  <c r="F24" i="3"/>
  <c r="G24" i="3"/>
  <c r="H24" i="3"/>
  <c r="I24" i="3"/>
  <c r="E13" i="3"/>
  <c r="F13" i="3"/>
  <c r="G13" i="3"/>
  <c r="H13" i="3"/>
  <c r="I13" i="3"/>
  <c r="K17" i="3"/>
  <c r="L17" i="3" s="1"/>
  <c r="M17" i="3" s="1"/>
  <c r="N17" i="3" s="1"/>
  <c r="O17" i="3" s="1"/>
  <c r="P17" i="3" s="1"/>
  <c r="K4" i="3"/>
  <c r="L4" i="3" s="1"/>
  <c r="M4" i="3" s="1"/>
  <c r="N4" i="3" s="1"/>
  <c r="O4" i="3" s="1"/>
  <c r="P4" i="3" s="1"/>
  <c r="D17" i="3"/>
  <c r="E17" i="3" s="1"/>
  <c r="F17" i="3" s="1"/>
  <c r="G17" i="3" s="1"/>
  <c r="H17" i="3" s="1"/>
  <c r="I17" i="3" s="1"/>
  <c r="D4" i="3"/>
  <c r="E4" i="3" s="1"/>
  <c r="F4" i="3" s="1"/>
  <c r="G4" i="3" s="1"/>
  <c r="H4" i="3" s="1"/>
  <c r="I4" i="3" s="1"/>
  <c r="M75" i="16"/>
  <c r="L75" i="16"/>
  <c r="K75" i="16"/>
  <c r="J75" i="16"/>
  <c r="I75" i="16"/>
  <c r="H75" i="16"/>
  <c r="G75" i="16"/>
  <c r="F75" i="16"/>
  <c r="E75" i="16"/>
  <c r="D75" i="16"/>
  <c r="C75" i="16"/>
  <c r="B75" i="16"/>
  <c r="M74" i="16"/>
  <c r="L74" i="16"/>
  <c r="K74" i="16"/>
  <c r="J74" i="16"/>
  <c r="I74" i="16"/>
  <c r="H74" i="16"/>
  <c r="G74" i="16"/>
  <c r="F74" i="16"/>
  <c r="E74" i="16"/>
  <c r="D74" i="16"/>
  <c r="C74" i="16"/>
  <c r="B74" i="16"/>
  <c r="M73" i="16"/>
  <c r="L73" i="16"/>
  <c r="K73" i="16"/>
  <c r="J73" i="16"/>
  <c r="I73" i="16"/>
  <c r="H73" i="16"/>
  <c r="G73" i="16"/>
  <c r="F73" i="16"/>
  <c r="E73" i="16"/>
  <c r="D73" i="16"/>
  <c r="C73" i="16"/>
  <c r="B73" i="16"/>
  <c r="M71" i="16"/>
  <c r="L71" i="16"/>
  <c r="K71" i="16"/>
  <c r="J71" i="16"/>
  <c r="I71" i="16"/>
  <c r="H71" i="16"/>
  <c r="G71" i="16"/>
  <c r="F71" i="16"/>
  <c r="E71" i="16"/>
  <c r="D71" i="16"/>
  <c r="C71" i="16"/>
  <c r="B71" i="16"/>
  <c r="M70" i="16"/>
  <c r="L70" i="16"/>
  <c r="K70" i="16"/>
  <c r="J70" i="16"/>
  <c r="I70" i="16"/>
  <c r="H70" i="16"/>
  <c r="G70" i="16"/>
  <c r="F70" i="16"/>
  <c r="E70" i="16"/>
  <c r="D70" i="16"/>
  <c r="C70" i="16"/>
  <c r="B70" i="16"/>
  <c r="B23" i="16"/>
  <c r="F17" i="26" s="1"/>
  <c r="M63" i="16"/>
  <c r="L63" i="16"/>
  <c r="K63" i="16"/>
  <c r="J63" i="16"/>
  <c r="I63" i="16"/>
  <c r="H63" i="16"/>
  <c r="G63" i="16"/>
  <c r="F63" i="16"/>
  <c r="E63" i="16"/>
  <c r="D63" i="16"/>
  <c r="C63" i="16"/>
  <c r="B63" i="16"/>
  <c r="M85" i="16"/>
  <c r="L85" i="16"/>
  <c r="K85" i="16"/>
  <c r="J85" i="16"/>
  <c r="I85" i="16"/>
  <c r="H85" i="16"/>
  <c r="G85" i="16"/>
  <c r="F85" i="16"/>
  <c r="E85" i="16"/>
  <c r="D85" i="16"/>
  <c r="C85" i="16"/>
  <c r="B85" i="16"/>
  <c r="M84" i="16"/>
  <c r="L84" i="16"/>
  <c r="K84" i="16"/>
  <c r="J84" i="16"/>
  <c r="I84" i="16"/>
  <c r="H84" i="16"/>
  <c r="G84" i="16"/>
  <c r="F84" i="16"/>
  <c r="E84" i="16"/>
  <c r="D84" i="16"/>
  <c r="C84" i="16"/>
  <c r="B84" i="16"/>
  <c r="M83" i="16"/>
  <c r="L83" i="16"/>
  <c r="K83" i="16"/>
  <c r="J83" i="16"/>
  <c r="I83" i="16"/>
  <c r="H83" i="16"/>
  <c r="G83" i="16"/>
  <c r="F83" i="16"/>
  <c r="E83" i="16"/>
  <c r="D83" i="16"/>
  <c r="C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B80" i="16"/>
  <c r="M79" i="16"/>
  <c r="L79" i="16"/>
  <c r="K79" i="16"/>
  <c r="J79" i="16"/>
  <c r="I79" i="16"/>
  <c r="H79" i="16"/>
  <c r="G79" i="16"/>
  <c r="F79" i="16"/>
  <c r="E79" i="16"/>
  <c r="D79" i="16"/>
  <c r="C79" i="16"/>
  <c r="B79" i="16"/>
  <c r="M53" i="16"/>
  <c r="L53" i="16"/>
  <c r="J53" i="16"/>
  <c r="I53" i="16"/>
  <c r="H53" i="16"/>
  <c r="G53" i="16"/>
  <c r="F53" i="16"/>
  <c r="E53" i="16"/>
  <c r="D53" i="16"/>
  <c r="B53" i="16"/>
  <c r="C48" i="16"/>
  <c r="D48" i="16"/>
  <c r="E48" i="16"/>
  <c r="F48" i="16"/>
  <c r="G48" i="16"/>
  <c r="H48" i="16"/>
  <c r="I48" i="16"/>
  <c r="J48" i="16"/>
  <c r="K48" i="16"/>
  <c r="L48" i="16"/>
  <c r="M48" i="16"/>
  <c r="B48" i="16"/>
  <c r="M55" i="16"/>
  <c r="L55" i="16"/>
  <c r="K55" i="16"/>
  <c r="J55" i="16"/>
  <c r="I55" i="16"/>
  <c r="H55" i="16"/>
  <c r="G55" i="16"/>
  <c r="F55" i="16"/>
  <c r="E55" i="16"/>
  <c r="D55" i="16"/>
  <c r="C55" i="16"/>
  <c r="B55" i="16"/>
  <c r="M54" i="16"/>
  <c r="L54" i="16"/>
  <c r="K54" i="16"/>
  <c r="J54" i="16"/>
  <c r="I54" i="16"/>
  <c r="H54" i="16"/>
  <c r="G54" i="16"/>
  <c r="F54" i="16"/>
  <c r="E54" i="16"/>
  <c r="D54" i="16"/>
  <c r="C54" i="16"/>
  <c r="B54" i="16"/>
  <c r="M51" i="16"/>
  <c r="L51" i="16"/>
  <c r="K51" i="16"/>
  <c r="J51" i="16"/>
  <c r="I51" i="16"/>
  <c r="H51" i="16"/>
  <c r="G51" i="16"/>
  <c r="F51" i="16"/>
  <c r="E51" i="16"/>
  <c r="D51" i="16"/>
  <c r="C51" i="16"/>
  <c r="B51" i="16"/>
  <c r="M49" i="16"/>
  <c r="L49" i="16"/>
  <c r="K49" i="16"/>
  <c r="J49" i="16"/>
  <c r="I49" i="16"/>
  <c r="H49" i="16"/>
  <c r="G49" i="16"/>
  <c r="F49" i="16"/>
  <c r="E49" i="16"/>
  <c r="D49" i="16"/>
  <c r="C49" i="16"/>
  <c r="B49" i="16"/>
  <c r="B44" i="16"/>
  <c r="C70" i="10" s="1"/>
  <c r="M42" i="16"/>
  <c r="L42" i="16"/>
  <c r="K42" i="16"/>
  <c r="J42" i="16"/>
  <c r="I42" i="16"/>
  <c r="H42" i="16"/>
  <c r="G42" i="16"/>
  <c r="F42" i="16"/>
  <c r="E42" i="16"/>
  <c r="D42" i="16"/>
  <c r="C42" i="16"/>
  <c r="B42" i="16"/>
  <c r="C69" i="10" s="1"/>
  <c r="M41" i="16"/>
  <c r="L41" i="16"/>
  <c r="K41" i="16"/>
  <c r="J41" i="16"/>
  <c r="I41" i="16"/>
  <c r="H41" i="16"/>
  <c r="G41" i="16"/>
  <c r="F41" i="16"/>
  <c r="E41" i="16"/>
  <c r="D41" i="16"/>
  <c r="C41" i="16"/>
  <c r="B41" i="16"/>
  <c r="M40" i="16"/>
  <c r="L40" i="16"/>
  <c r="K40" i="16"/>
  <c r="J40" i="16"/>
  <c r="I40" i="16"/>
  <c r="H40" i="16"/>
  <c r="G40" i="16"/>
  <c r="F40" i="16"/>
  <c r="E40" i="16"/>
  <c r="D40" i="16"/>
  <c r="C40" i="16"/>
  <c r="B40" i="16"/>
  <c r="M39" i="16"/>
  <c r="M26" i="16" s="1"/>
  <c r="L39" i="16"/>
  <c r="K39" i="16"/>
  <c r="J39" i="16"/>
  <c r="I39" i="16"/>
  <c r="H39" i="16"/>
  <c r="G39" i="16"/>
  <c r="F39" i="16"/>
  <c r="E39" i="16"/>
  <c r="D39" i="16"/>
  <c r="C39" i="16"/>
  <c r="C26" i="16" s="1"/>
  <c r="B39" i="16"/>
  <c r="M33" i="16"/>
  <c r="L33" i="16"/>
  <c r="K33" i="16"/>
  <c r="J33" i="16"/>
  <c r="I33" i="16"/>
  <c r="H33" i="16"/>
  <c r="G33" i="16"/>
  <c r="F33" i="16"/>
  <c r="E33" i="16"/>
  <c r="D33" i="16"/>
  <c r="C33" i="16"/>
  <c r="E24" i="26" s="1"/>
  <c r="B33" i="16"/>
  <c r="F24" i="26" s="1"/>
  <c r="M32" i="16"/>
  <c r="L32" i="16"/>
  <c r="K32" i="16"/>
  <c r="J32" i="16"/>
  <c r="I32" i="16"/>
  <c r="H32" i="16"/>
  <c r="G32" i="16"/>
  <c r="F32" i="16"/>
  <c r="E32" i="16"/>
  <c r="D32" i="16"/>
  <c r="D23" i="26" s="1"/>
  <c r="D26" i="26" s="1"/>
  <c r="D34" i="26" s="1"/>
  <c r="C32" i="16"/>
  <c r="E23" i="26" s="1"/>
  <c r="B32" i="16"/>
  <c r="M28" i="16"/>
  <c r="L28" i="16"/>
  <c r="K28" i="16"/>
  <c r="J28" i="16"/>
  <c r="I28" i="16"/>
  <c r="H28" i="16"/>
  <c r="G28" i="16"/>
  <c r="F28" i="16"/>
  <c r="E28" i="16"/>
  <c r="D28" i="16"/>
  <c r="D29" i="26" s="1"/>
  <c r="C28" i="16"/>
  <c r="E29" i="26" s="1"/>
  <c r="B28" i="16"/>
  <c r="M27" i="16"/>
  <c r="L27" i="16"/>
  <c r="K27" i="16"/>
  <c r="J27" i="16"/>
  <c r="I27" i="16"/>
  <c r="H27" i="16"/>
  <c r="G27" i="16"/>
  <c r="F27" i="16"/>
  <c r="E27" i="16"/>
  <c r="D27" i="16"/>
  <c r="D30" i="26" s="1"/>
  <c r="C27" i="16"/>
  <c r="E30" i="26" s="1"/>
  <c r="B27" i="16"/>
  <c r="F30" i="26" s="1"/>
  <c r="M23" i="16"/>
  <c r="L23" i="16"/>
  <c r="K23" i="16"/>
  <c r="J23" i="16"/>
  <c r="I23" i="16"/>
  <c r="H23" i="16"/>
  <c r="G23" i="16"/>
  <c r="F23" i="16"/>
  <c r="E23" i="16"/>
  <c r="D23" i="16"/>
  <c r="C23" i="16"/>
  <c r="M21" i="16"/>
  <c r="L21" i="16"/>
  <c r="K21" i="16"/>
  <c r="J21" i="16"/>
  <c r="I21" i="16"/>
  <c r="H21" i="16"/>
  <c r="G21" i="16"/>
  <c r="F21" i="16"/>
  <c r="E21" i="16"/>
  <c r="D21" i="16"/>
  <c r="D16" i="26" s="1"/>
  <c r="C21" i="16"/>
  <c r="E16" i="26" s="1"/>
  <c r="B21" i="16"/>
  <c r="F16" i="26" s="1"/>
  <c r="M17" i="16"/>
  <c r="L17" i="16"/>
  <c r="K17" i="16"/>
  <c r="J17" i="16"/>
  <c r="I17" i="16"/>
  <c r="H17" i="16"/>
  <c r="G17" i="16"/>
  <c r="F17" i="16"/>
  <c r="E17" i="16"/>
  <c r="D17" i="16"/>
  <c r="C17" i="16"/>
  <c r="B17" i="16"/>
  <c r="M15" i="16"/>
  <c r="L15" i="16"/>
  <c r="K15" i="16"/>
  <c r="J15" i="16"/>
  <c r="I15" i="16"/>
  <c r="H15" i="16"/>
  <c r="G15" i="16"/>
  <c r="F15" i="16"/>
  <c r="E15" i="16"/>
  <c r="D15" i="16"/>
  <c r="C15" i="16"/>
  <c r="B15" i="16"/>
  <c r="M14" i="16"/>
  <c r="L14" i="16"/>
  <c r="K14" i="16"/>
  <c r="J14" i="16"/>
  <c r="I14" i="16"/>
  <c r="H14" i="16"/>
  <c r="G14" i="16"/>
  <c r="F14" i="16"/>
  <c r="E14" i="16"/>
  <c r="D14" i="16"/>
  <c r="C14" i="16"/>
  <c r="B14" i="16"/>
  <c r="F13" i="26" s="1"/>
  <c r="C11" i="16"/>
  <c r="E8" i="26" s="1"/>
  <c r="D11" i="16"/>
  <c r="E11" i="16"/>
  <c r="F11" i="16"/>
  <c r="G11" i="16"/>
  <c r="H11" i="16"/>
  <c r="I11" i="16"/>
  <c r="J11" i="16"/>
  <c r="K11" i="16"/>
  <c r="L11" i="16"/>
  <c r="M11" i="16"/>
  <c r="B11" i="16"/>
  <c r="F8" i="26" s="1"/>
  <c r="C7" i="16"/>
  <c r="D7" i="16"/>
  <c r="E7" i="16"/>
  <c r="F7" i="16"/>
  <c r="G7" i="16"/>
  <c r="H7" i="16"/>
  <c r="I7" i="16"/>
  <c r="J7" i="16"/>
  <c r="K7" i="16"/>
  <c r="L7" i="16"/>
  <c r="M7" i="16"/>
  <c r="B7" i="16"/>
  <c r="M5" i="16"/>
  <c r="L5" i="16"/>
  <c r="K5" i="16"/>
  <c r="J5" i="16"/>
  <c r="I5" i="16"/>
  <c r="H5" i="16"/>
  <c r="G5" i="16"/>
  <c r="C81" i="22" s="1"/>
  <c r="C85" i="22" s="1"/>
  <c r="C90" i="22" s="1"/>
  <c r="F5" i="16"/>
  <c r="D81" i="22" s="1"/>
  <c r="E5" i="16"/>
  <c r="D5" i="16"/>
  <c r="C5" i="16"/>
  <c r="M13" i="17"/>
  <c r="L13" i="17"/>
  <c r="K13" i="17"/>
  <c r="J13" i="17"/>
  <c r="I13" i="17"/>
  <c r="H13" i="17"/>
  <c r="G13" i="17"/>
  <c r="E13" i="17"/>
  <c r="D69" i="16"/>
  <c r="E69" i="16"/>
  <c r="F69" i="16"/>
  <c r="G69" i="16"/>
  <c r="H69" i="16"/>
  <c r="I69" i="16"/>
  <c r="K69" i="16"/>
  <c r="B68" i="16"/>
  <c r="M76" i="16"/>
  <c r="L76" i="16"/>
  <c r="K76" i="16"/>
  <c r="J76" i="16"/>
  <c r="I76" i="16"/>
  <c r="H76" i="16"/>
  <c r="G76" i="16"/>
  <c r="F76" i="16"/>
  <c r="E76" i="16"/>
  <c r="D76" i="16"/>
  <c r="M68" i="16"/>
  <c r="J68" i="16"/>
  <c r="I68" i="16"/>
  <c r="H68" i="16"/>
  <c r="G68" i="16"/>
  <c r="F68" i="16"/>
  <c r="E68" i="16"/>
  <c r="D68" i="16"/>
  <c r="C68" i="16"/>
  <c r="C36" i="17"/>
  <c r="C31" i="17"/>
  <c r="D31" i="17"/>
  <c r="E31" i="17"/>
  <c r="F31" i="17"/>
  <c r="G31" i="17"/>
  <c r="H31" i="17"/>
  <c r="I31" i="17"/>
  <c r="J31" i="17"/>
  <c r="K31" i="17"/>
  <c r="L31" i="17"/>
  <c r="M31" i="17"/>
  <c r="C44" i="16"/>
  <c r="B57" i="16"/>
  <c r="D50" i="17"/>
  <c r="D56" i="16" s="1"/>
  <c r="E50" i="17"/>
  <c r="E56" i="16" s="1"/>
  <c r="F50" i="17"/>
  <c r="F56" i="16" s="1"/>
  <c r="G50" i="17"/>
  <c r="H50" i="17"/>
  <c r="I50" i="17"/>
  <c r="J50" i="17"/>
  <c r="L50" i="17"/>
  <c r="M50" i="17"/>
  <c r="M56" i="16" s="1"/>
  <c r="B56" i="16"/>
  <c r="C46" i="17"/>
  <c r="C52" i="16" s="1"/>
  <c r="D46" i="17"/>
  <c r="D52" i="16" s="1"/>
  <c r="E46" i="17"/>
  <c r="G46" i="17"/>
  <c r="H46" i="17"/>
  <c r="I46" i="17"/>
  <c r="J46" i="17"/>
  <c r="J52" i="16" s="1"/>
  <c r="K46" i="17"/>
  <c r="L46" i="17"/>
  <c r="M46" i="17"/>
  <c r="B52" i="16"/>
  <c r="AB38" i="17"/>
  <c r="B21" i="3" l="1"/>
  <c r="B22" i="3"/>
  <c r="B23" i="3"/>
  <c r="B19" i="3"/>
  <c r="B20" i="3"/>
  <c r="W41" i="26"/>
  <c r="X41" i="26" s="1"/>
  <c r="X61" i="26" s="1"/>
  <c r="Y39" i="26"/>
  <c r="C29" i="16"/>
  <c r="E17" i="4"/>
  <c r="E17" i="26"/>
  <c r="D17" i="4"/>
  <c r="D17" i="26"/>
  <c r="E35" i="26"/>
  <c r="E32" i="26"/>
  <c r="E14" i="4"/>
  <c r="E14" i="26"/>
  <c r="D32" i="26"/>
  <c r="D35" i="26"/>
  <c r="D36" i="26" s="1"/>
  <c r="D14" i="4"/>
  <c r="D14" i="26"/>
  <c r="D8" i="4"/>
  <c r="D7" i="4" s="1"/>
  <c r="D8" i="26"/>
  <c r="E12" i="26"/>
  <c r="E7" i="26"/>
  <c r="E13" i="4"/>
  <c r="E13" i="26"/>
  <c r="D13" i="4"/>
  <c r="D13" i="26"/>
  <c r="F14" i="4"/>
  <c r="F14" i="26"/>
  <c r="F7" i="26"/>
  <c r="F12" i="26"/>
  <c r="F32" i="26"/>
  <c r="F35" i="26"/>
  <c r="B26" i="16"/>
  <c r="B29" i="16" s="1"/>
  <c r="B59" i="16"/>
  <c r="C23" i="1" s="1"/>
  <c r="F23" i="4"/>
  <c r="F23" i="26"/>
  <c r="F26" i="26" s="1"/>
  <c r="F34" i="26" s="1"/>
  <c r="Y40" i="26"/>
  <c r="Y9" i="26"/>
  <c r="Y12" i="26" s="1"/>
  <c r="Y51" i="26" s="1"/>
  <c r="Z8" i="26"/>
  <c r="Z24" i="26"/>
  <c r="Z11" i="26"/>
  <c r="Z20" i="26" s="1"/>
  <c r="Z23" i="26"/>
  <c r="AA6" i="26"/>
  <c r="Z10" i="26"/>
  <c r="Z21" i="26"/>
  <c r="Z27" i="26"/>
  <c r="E46" i="16"/>
  <c r="F46" i="16"/>
  <c r="I46" i="16"/>
  <c r="E45" i="16"/>
  <c r="E58" i="16"/>
  <c r="J46" i="16"/>
  <c r="F45" i="16"/>
  <c r="G45" i="16"/>
  <c r="H45" i="16"/>
  <c r="H46" i="16"/>
  <c r="G46" i="16"/>
  <c r="D46" i="16"/>
  <c r="C46" i="16"/>
  <c r="C45" i="16"/>
  <c r="C58" i="16"/>
  <c r="C65" i="10"/>
  <c r="C24" i="1"/>
  <c r="B58" i="16"/>
  <c r="D85" i="22"/>
  <c r="D87" i="22" s="1"/>
  <c r="D82" i="22"/>
  <c r="E82" i="22"/>
  <c r="D45" i="16"/>
  <c r="D58" i="16"/>
  <c r="C87" i="22"/>
  <c r="Y10" i="4"/>
  <c r="Y27" i="4"/>
  <c r="C20" i="22"/>
  <c r="M20" i="22"/>
  <c r="H29" i="1"/>
  <c r="H30" i="1"/>
  <c r="H31" i="1"/>
  <c r="H20" i="22"/>
  <c r="J20" i="22"/>
  <c r="K20" i="22"/>
  <c r="L20" i="22"/>
  <c r="I20" i="22"/>
  <c r="E16" i="4"/>
  <c r="D20" i="22"/>
  <c r="D16" i="4"/>
  <c r="E20" i="22"/>
  <c r="F20" i="22"/>
  <c r="G20" i="22"/>
  <c r="E8" i="4"/>
  <c r="E7" i="4" s="1"/>
  <c r="C62" i="10"/>
  <c r="B18" i="3"/>
  <c r="H27" i="1" s="1"/>
  <c r="C37" i="17"/>
  <c r="H43" i="10"/>
  <c r="I43" i="10" s="1"/>
  <c r="D29" i="4"/>
  <c r="D30" i="4"/>
  <c r="E30" i="4"/>
  <c r="E29" i="4"/>
  <c r="F30" i="4"/>
  <c r="C61" i="10"/>
  <c r="F16" i="4"/>
  <c r="G46" i="4"/>
  <c r="F45" i="4"/>
  <c r="F46" i="4"/>
  <c r="F47" i="4"/>
  <c r="H16" i="16"/>
  <c r="L59" i="16"/>
  <c r="M59" i="16"/>
  <c r="I59" i="16"/>
  <c r="J59" i="16"/>
  <c r="K59" i="16"/>
  <c r="E23" i="4"/>
  <c r="E24" i="4"/>
  <c r="F24" i="4"/>
  <c r="C66" i="10"/>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D23" i="4"/>
  <c r="E52" i="16"/>
  <c r="C54" i="10"/>
  <c r="C55" i="10"/>
  <c r="D59" i="16"/>
  <c r="C59" i="16"/>
  <c r="G59" i="16"/>
  <c r="F59" i="16"/>
  <c r="E59" i="16"/>
  <c r="F13" i="4"/>
  <c r="C59" i="10"/>
  <c r="F8" i="4"/>
  <c r="F12" i="4" s="1"/>
  <c r="M13" i="3"/>
  <c r="L13" i="3"/>
  <c r="O24" i="3"/>
  <c r="N24" i="3"/>
  <c r="M24" i="3"/>
  <c r="L24" i="3"/>
  <c r="K24" i="3"/>
  <c r="N13" i="3"/>
  <c r="O13" i="3"/>
  <c r="C24" i="10"/>
  <c r="D13" i="17"/>
  <c r="D14" i="17" s="1"/>
  <c r="C13" i="17"/>
  <c r="C14" i="17" s="1"/>
  <c r="F17" i="4"/>
  <c r="E5" i="4"/>
  <c r="H59" i="16"/>
  <c r="E8" i="16"/>
  <c r="G8" i="16"/>
  <c r="M24" i="16"/>
  <c r="M25" i="16" s="1"/>
  <c r="L52" i="16"/>
  <c r="I16" i="16"/>
  <c r="L56" i="16"/>
  <c r="F52" i="16"/>
  <c r="L22" i="16"/>
  <c r="M52" i="16"/>
  <c r="K16" i="16"/>
  <c r="C16" i="16"/>
  <c r="E16" i="16"/>
  <c r="M16" i="16"/>
  <c r="F24" i="16"/>
  <c r="J24" i="16"/>
  <c r="H56" i="16"/>
  <c r="G24" i="16"/>
  <c r="M8" i="16"/>
  <c r="G22" i="16"/>
  <c r="C24" i="16"/>
  <c r="K24" i="16"/>
  <c r="I56" i="16"/>
  <c r="L8" i="16"/>
  <c r="D8" i="16"/>
  <c r="J56" i="16"/>
  <c r="I8" i="16"/>
  <c r="K8" i="16"/>
  <c r="C8" i="16"/>
  <c r="F8" i="16"/>
  <c r="G16" i="16"/>
  <c r="G52" i="16"/>
  <c r="G56" i="16"/>
  <c r="E22" i="16"/>
  <c r="E24" i="16"/>
  <c r="B16" i="16"/>
  <c r="H52" i="16"/>
  <c r="J16" i="16"/>
  <c r="I52" i="16"/>
  <c r="I12" i="16"/>
  <c r="J8" i="16"/>
  <c r="F12" i="16"/>
  <c r="B19" i="16"/>
  <c r="K52" i="16"/>
  <c r="C22" i="16"/>
  <c r="K22" i="16"/>
  <c r="D22" i="16"/>
  <c r="L24" i="16"/>
  <c r="L16" i="16"/>
  <c r="D12" i="16"/>
  <c r="H8" i="16"/>
  <c r="G12" i="16"/>
  <c r="D16" i="16"/>
  <c r="F22" i="16"/>
  <c r="D24" i="16"/>
  <c r="J12" i="16"/>
  <c r="F16" i="16"/>
  <c r="I22" i="16"/>
  <c r="H22" i="16"/>
  <c r="K12" i="16"/>
  <c r="C12" i="16"/>
  <c r="L12" i="16"/>
  <c r="J22" i="16"/>
  <c r="M12" i="16"/>
  <c r="M13" i="16" s="1"/>
  <c r="M22" i="16"/>
  <c r="E12" i="16"/>
  <c r="H24" i="16"/>
  <c r="I24" i="16"/>
  <c r="B2" i="3"/>
  <c r="C5" i="17"/>
  <c r="L46" i="1"/>
  <c r="M46" i="1" s="1"/>
  <c r="B54" i="1"/>
  <c r="B53" i="1" s="1"/>
  <c r="B52" i="1" s="1"/>
  <c r="B51" i="1" s="1"/>
  <c r="B50" i="1" s="1"/>
  <c r="H26" i="10"/>
  <c r="C12" i="19"/>
  <c r="C13" i="19"/>
  <c r="C14" i="19"/>
  <c r="C15" i="19"/>
  <c r="C16" i="19"/>
  <c r="C17" i="19"/>
  <c r="C18" i="19"/>
  <c r="C19" i="19"/>
  <c r="C20" i="19"/>
  <c r="C21" i="19"/>
  <c r="C22" i="19"/>
  <c r="C7" i="19"/>
  <c r="C9" i="19"/>
  <c r="C10" i="19"/>
  <c r="H12" i="10"/>
  <c r="H40" i="10"/>
  <c r="I40" i="10" s="1"/>
  <c r="M22" i="17"/>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E22" i="1" s="1"/>
  <c r="D13" i="3"/>
  <c r="B8" i="3" l="1"/>
  <c r="B7" i="3"/>
  <c r="B12" i="3"/>
  <c r="B9" i="3"/>
  <c r="B10" i="3"/>
  <c r="B11" i="3"/>
  <c r="B6" i="3"/>
  <c r="E15" i="26"/>
  <c r="W61" i="26"/>
  <c r="W62" i="26" s="1"/>
  <c r="Z39" i="26"/>
  <c r="D12" i="26"/>
  <c r="D15" i="26"/>
  <c r="D7" i="26"/>
  <c r="F36" i="26"/>
  <c r="D12" i="4"/>
  <c r="D15" i="4"/>
  <c r="G14" i="26"/>
  <c r="H14" i="26" s="1"/>
  <c r="B129" i="22"/>
  <c r="B130" i="22" s="1"/>
  <c r="C25" i="1"/>
  <c r="F15" i="26"/>
  <c r="AA8" i="26"/>
  <c r="AA27" i="26"/>
  <c r="AA11" i="26"/>
  <c r="AA20" i="26" s="1"/>
  <c r="AA23" i="26"/>
  <c r="AB6" i="26"/>
  <c r="AA10" i="26"/>
  <c r="AA24" i="26"/>
  <c r="AA21" i="26"/>
  <c r="Y41" i="26"/>
  <c r="Y61" i="26" s="1"/>
  <c r="Y62" i="26" s="1"/>
  <c r="X62" i="26"/>
  <c r="Z40" i="26"/>
  <c r="Z9" i="26"/>
  <c r="Z12" i="26" s="1"/>
  <c r="Z51" i="26" s="1"/>
  <c r="C25" i="10"/>
  <c r="H25" i="10" s="1"/>
  <c r="I25" i="10" s="1"/>
  <c r="F35" i="4"/>
  <c r="G266" i="22"/>
  <c r="G267" i="22"/>
  <c r="G268" i="22"/>
  <c r="E86" i="22"/>
  <c r="D86" i="22"/>
  <c r="D90" i="22"/>
  <c r="D91" i="22" s="1"/>
  <c r="Z10" i="4"/>
  <c r="Z27" i="4"/>
  <c r="Q20" i="22"/>
  <c r="E23" i="1"/>
  <c r="E24" i="1"/>
  <c r="C31" i="22"/>
  <c r="P20" i="22"/>
  <c r="O20" i="22"/>
  <c r="Z13" i="17"/>
  <c r="Z14" i="17" s="1"/>
  <c r="H22" i="1"/>
  <c r="H23" i="1"/>
  <c r="H24" i="1"/>
  <c r="H25" i="1"/>
  <c r="D5" i="17"/>
  <c r="D87" i="17" s="1"/>
  <c r="C87" i="17"/>
  <c r="E15" i="4"/>
  <c r="E12" i="4"/>
  <c r="C58" i="10"/>
  <c r="C22" i="10" s="1"/>
  <c r="C33" i="10"/>
  <c r="C47" i="10"/>
  <c r="H45" i="10"/>
  <c r="I45" i="10" s="1"/>
  <c r="E32" i="4"/>
  <c r="B24" i="3"/>
  <c r="H28" i="1"/>
  <c r="D32" i="4"/>
  <c r="D35" i="4"/>
  <c r="E35" i="4"/>
  <c r="B60" i="16"/>
  <c r="E26" i="1" s="1"/>
  <c r="F26" i="4"/>
  <c r="H13" i="16"/>
  <c r="G13" i="16"/>
  <c r="B61" i="16"/>
  <c r="D26" i="4"/>
  <c r="F15" i="4"/>
  <c r="B5" i="3"/>
  <c r="K13" i="3"/>
  <c r="M47" i="1"/>
  <c r="M55" i="1"/>
  <c r="M48" i="1"/>
  <c r="L50" i="1"/>
  <c r="L51" i="1"/>
  <c r="M50" i="1"/>
  <c r="L54" i="1"/>
  <c r="M51" i="1"/>
  <c r="L55" i="1"/>
  <c r="M52" i="1"/>
  <c r="M53" i="1"/>
  <c r="M54" i="1"/>
  <c r="L47" i="1"/>
  <c r="L53" i="1"/>
  <c r="L48" i="1"/>
  <c r="K22" i="1"/>
  <c r="K24" i="1"/>
  <c r="K30" i="1"/>
  <c r="M26" i="1" s="1"/>
  <c r="K25" i="1"/>
  <c r="K26" i="1" s="1"/>
  <c r="K23" i="1"/>
  <c r="E20" i="1"/>
  <c r="E21" i="1"/>
  <c r="L25" i="16"/>
  <c r="E25" i="16"/>
  <c r="I25" i="16"/>
  <c r="G25" i="16"/>
  <c r="D25" i="16"/>
  <c r="C13" i="16"/>
  <c r="F25" i="16"/>
  <c r="E13" i="16"/>
  <c r="J25" i="16"/>
  <c r="H18" i="16"/>
  <c r="E18" i="16"/>
  <c r="L18" i="16"/>
  <c r="D57" i="16"/>
  <c r="K18" i="16"/>
  <c r="B18" i="16"/>
  <c r="G57" i="16"/>
  <c r="C18" i="16"/>
  <c r="C43" i="16"/>
  <c r="J57" i="16"/>
  <c r="F18" i="16"/>
  <c r="E57" i="16"/>
  <c r="B81" i="16"/>
  <c r="B43" i="16"/>
  <c r="E25" i="1" s="1"/>
  <c r="K25" i="16"/>
  <c r="G18" i="16"/>
  <c r="B65" i="16"/>
  <c r="C74" i="10" s="1"/>
  <c r="H57" i="16"/>
  <c r="I18" i="16"/>
  <c r="B83" i="16"/>
  <c r="B82" i="16"/>
  <c r="J18" i="16"/>
  <c r="L57" i="16"/>
  <c r="M57" i="16"/>
  <c r="F57" i="16"/>
  <c r="I57" i="16"/>
  <c r="M18" i="16"/>
  <c r="D18" i="16"/>
  <c r="K13" i="16"/>
  <c r="F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H39" i="10"/>
  <c r="I39" i="10" s="1"/>
  <c r="B49" i="1"/>
  <c r="AA39" i="26" l="1"/>
  <c r="I14" i="26"/>
  <c r="J14" i="26" s="1"/>
  <c r="G15" i="26"/>
  <c r="G16" i="26" s="1"/>
  <c r="G17" i="26" s="1"/>
  <c r="AA9" i="26"/>
  <c r="AA12" i="26" s="1"/>
  <c r="AA51" i="26" s="1"/>
  <c r="AA40" i="26"/>
  <c r="Z41" i="26"/>
  <c r="AB11" i="26"/>
  <c r="AB20" i="26" s="1"/>
  <c r="AB10" i="26"/>
  <c r="AB24" i="26"/>
  <c r="AB23" i="26"/>
  <c r="AC6" i="26"/>
  <c r="AB21" i="26"/>
  <c r="AB27" i="26"/>
  <c r="AB8" i="26"/>
  <c r="M24" i="1"/>
  <c r="AA27" i="4"/>
  <c r="AA10" i="4"/>
  <c r="K27" i="1"/>
  <c r="E5" i="17"/>
  <c r="F5" i="17" s="1"/>
  <c r="C35" i="10"/>
  <c r="M40" i="1"/>
  <c r="H47" i="10"/>
  <c r="I47" i="10" s="1"/>
  <c r="H21" i="1"/>
  <c r="D34" i="4"/>
  <c r="D36" i="4" s="1"/>
  <c r="M32" i="1"/>
  <c r="B13" i="3"/>
  <c r="H33" i="10"/>
  <c r="I33" i="10" s="1"/>
  <c r="C73" i="10"/>
  <c r="C18" i="10" s="1"/>
  <c r="B34" i="16"/>
  <c r="M27" i="1"/>
  <c r="H24" i="10"/>
  <c r="I24" i="10" s="1"/>
  <c r="B35" i="16"/>
  <c r="G4" i="16"/>
  <c r="B48" i="1"/>
  <c r="AB39" i="26" l="1"/>
  <c r="G30" i="26"/>
  <c r="G19" i="26"/>
  <c r="G22" i="26" s="1"/>
  <c r="K14" i="26"/>
  <c r="L14" i="26" s="1"/>
  <c r="AA41" i="26"/>
  <c r="AA61" i="26" s="1"/>
  <c r="AB9" i="26"/>
  <c r="AB12" i="26" s="1"/>
  <c r="AB51" i="26" s="1"/>
  <c r="AB40" i="26"/>
  <c r="AC10" i="26"/>
  <c r="AC39" i="26" s="1"/>
  <c r="AC24" i="26"/>
  <c r="AC23" i="26"/>
  <c r="AC8" i="26"/>
  <c r="AD6" i="26"/>
  <c r="AC21" i="26"/>
  <c r="AC27" i="26"/>
  <c r="AC11" i="26"/>
  <c r="AC20" i="26" s="1"/>
  <c r="Z61" i="26"/>
  <c r="Z62" i="26" s="1"/>
  <c r="AB27" i="4"/>
  <c r="AB10" i="4"/>
  <c r="K28" i="1"/>
  <c r="C37" i="10"/>
  <c r="C17" i="10"/>
  <c r="H17" i="10" s="1"/>
  <c r="I17" i="10" s="1"/>
  <c r="H35" i="10"/>
  <c r="I35" i="10" s="1"/>
  <c r="H41" i="10"/>
  <c r="I41" i="10" s="1"/>
  <c r="C21" i="10"/>
  <c r="C20" i="10"/>
  <c r="H19" i="10"/>
  <c r="B36" i="16"/>
  <c r="H10" i="10"/>
  <c r="I10" i="10" s="1"/>
  <c r="H22" i="10"/>
  <c r="I22" i="10" s="1"/>
  <c r="G5" i="17"/>
  <c r="H4" i="16"/>
  <c r="B47" i="1"/>
  <c r="M14" i="26" l="1"/>
  <c r="N14" i="26" s="1"/>
  <c r="G35" i="26"/>
  <c r="G32" i="26"/>
  <c r="AB41" i="26"/>
  <c r="AB61" i="26" s="1"/>
  <c r="AB62" i="26" s="1"/>
  <c r="AA62" i="26"/>
  <c r="AC40" i="26"/>
  <c r="AC9" i="26"/>
  <c r="AD21" i="26"/>
  <c r="AD27" i="26"/>
  <c r="AD23" i="26"/>
  <c r="AD10" i="26"/>
  <c r="AD39" i="26" s="1"/>
  <c r="AD24" i="26"/>
  <c r="AD8" i="26"/>
  <c r="AE6" i="26"/>
  <c r="AD11" i="26"/>
  <c r="AD20" i="26" s="1"/>
  <c r="AC27" i="4"/>
  <c r="AC10" i="4"/>
  <c r="H18" i="10"/>
  <c r="I18" i="10" s="1"/>
  <c r="H37" i="10"/>
  <c r="I37" i="10" s="1"/>
  <c r="H20" i="10"/>
  <c r="I20" i="10" s="1"/>
  <c r="H21" i="10"/>
  <c r="I21" i="10" s="1"/>
  <c r="H5" i="17"/>
  <c r="I4" i="16"/>
  <c r="J4" i="16" s="1"/>
  <c r="B46" i="1"/>
  <c r="O14" i="26" l="1"/>
  <c r="P14" i="26" s="1"/>
  <c r="AC41" i="26"/>
  <c r="AC61" i="26" s="1"/>
  <c r="AC62" i="26" s="1"/>
  <c r="AE8" i="26"/>
  <c r="AF6" i="26"/>
  <c r="I57" i="26" s="1"/>
  <c r="AE24" i="26"/>
  <c r="AE23" i="26"/>
  <c r="AE10" i="26"/>
  <c r="AE39" i="26" s="1"/>
  <c r="AE11" i="26"/>
  <c r="AE20" i="26" s="1"/>
  <c r="AE21" i="26"/>
  <c r="AE27" i="26"/>
  <c r="AC12" i="26"/>
  <c r="AC51" i="26" s="1"/>
  <c r="AD9" i="26"/>
  <c r="AD12" i="26" s="1"/>
  <c r="AD51" i="26" s="1"/>
  <c r="AD40" i="26"/>
  <c r="AD10" i="4"/>
  <c r="AD27" i="4"/>
  <c r="H46" i="1" a="1"/>
  <c r="H46" i="1" s="1"/>
  <c r="I5" i="17"/>
  <c r="Q14" i="26" l="1"/>
  <c r="R14" i="26" s="1"/>
  <c r="AE40" i="26"/>
  <c r="AE9" i="26"/>
  <c r="AE12" i="26" s="1"/>
  <c r="AE51" i="26" s="1"/>
  <c r="AD41" i="26"/>
  <c r="AF10" i="26"/>
  <c r="AF39" i="26" s="1"/>
  <c r="AG39" i="26" s="1"/>
  <c r="AF21" i="26"/>
  <c r="AF24" i="26"/>
  <c r="AF27" i="26"/>
  <c r="AF11" i="26"/>
  <c r="AF20" i="26" s="1"/>
  <c r="AF23" i="26"/>
  <c r="AF8" i="26"/>
  <c r="AE10" i="4"/>
  <c r="AE27" i="4"/>
  <c r="J5" i="17"/>
  <c r="K4" i="16"/>
  <c r="AE41" i="26" l="1"/>
  <c r="AE61" i="26" s="1"/>
  <c r="S14" i="26"/>
  <c r="AG23" i="26"/>
  <c r="AD61" i="26"/>
  <c r="AD62" i="26" s="1"/>
  <c r="AF40" i="26"/>
  <c r="AF9" i="26"/>
  <c r="AG9" i="26" s="1"/>
  <c r="AF10" i="4"/>
  <c r="AF27" i="4"/>
  <c r="K5" i="17"/>
  <c r="L4" i="16"/>
  <c r="T14" i="26" l="1"/>
  <c r="U14" i="26" s="1"/>
  <c r="AH24" i="26"/>
  <c r="AE62" i="26"/>
  <c r="AF41" i="26"/>
  <c r="AG41" i="26" s="1"/>
  <c r="AG40" i="26"/>
  <c r="AF12" i="26"/>
  <c r="AF51" i="26" s="1"/>
  <c r="L5" i="17"/>
  <c r="M4" i="16"/>
  <c r="V14" i="26" l="1"/>
  <c r="W14" i="26" s="1"/>
  <c r="AF61" i="26"/>
  <c r="AF62" i="26" s="1"/>
  <c r="M5" i="17"/>
  <c r="B92" i="16" s="1"/>
  <c r="D92" i="16"/>
  <c r="E92" i="16"/>
  <c r="X14" i="26" l="1"/>
  <c r="M6" i="16"/>
  <c r="D34" i="16"/>
  <c r="K35" i="16"/>
  <c r="K36" i="16" s="1"/>
  <c r="I34" i="16"/>
  <c r="G9" i="16"/>
  <c r="G10" i="16" s="1"/>
  <c r="K19" i="16"/>
  <c r="I19" i="16"/>
  <c r="K9" i="16"/>
  <c r="K10" i="16" s="1"/>
  <c r="I9" i="16"/>
  <c r="I10" i="16" s="1"/>
  <c r="C34" i="16"/>
  <c r="H58" i="1"/>
  <c r="E34" i="16"/>
  <c r="C92" i="16"/>
  <c r="F26" i="16"/>
  <c r="I6" i="16"/>
  <c r="K26" i="16"/>
  <c r="K29" i="16" s="1"/>
  <c r="J26" i="16"/>
  <c r="I35" i="16"/>
  <c r="I36" i="16" s="1"/>
  <c r="K34" i="16"/>
  <c r="Y14" i="26" l="1"/>
  <c r="K20" i="16"/>
  <c r="L31" i="22"/>
  <c r="I20" i="16"/>
  <c r="J31" i="22"/>
  <c r="D61" i="16"/>
  <c r="K61" i="16"/>
  <c r="I61" i="16"/>
  <c r="L34" i="16"/>
  <c r="M34" i="16"/>
  <c r="M19" i="16"/>
  <c r="M20" i="16" s="1"/>
  <c r="L6" i="16"/>
  <c r="M9" i="16"/>
  <c r="M10" i="16" s="1"/>
  <c r="M29" i="16"/>
  <c r="M30" i="16" s="1"/>
  <c r="M31" i="16" s="1"/>
  <c r="E26" i="16"/>
  <c r="E29" i="16" s="1"/>
  <c r="M35" i="16"/>
  <c r="M36" i="16" s="1"/>
  <c r="L26" i="16"/>
  <c r="L29" i="16" s="1"/>
  <c r="H55" i="1"/>
  <c r="R49" i="1"/>
  <c r="C35" i="16"/>
  <c r="C36" i="16" s="1"/>
  <c r="L35" i="16"/>
  <c r="L36" i="16" s="1"/>
  <c r="D26" i="16"/>
  <c r="D29" i="16" s="1"/>
  <c r="J35" i="16"/>
  <c r="J36" i="16" s="1"/>
  <c r="H34" i="16"/>
  <c r="C61" i="16"/>
  <c r="J34" i="16"/>
  <c r="G19" i="16"/>
  <c r="H31" i="22" s="1"/>
  <c r="F35" i="16"/>
  <c r="F36" i="16" s="1"/>
  <c r="F29" i="16"/>
  <c r="G35" i="16"/>
  <c r="G36" i="16" s="1"/>
  <c r="J29" i="16"/>
  <c r="I26" i="16"/>
  <c r="I29" i="16" s="1"/>
  <c r="E9" i="16"/>
  <c r="E10" i="16" s="1"/>
  <c r="D6" i="16"/>
  <c r="C6" i="16"/>
  <c r="R54" i="1"/>
  <c r="R51" i="1"/>
  <c r="R50" i="1"/>
  <c r="J19" i="16"/>
  <c r="E35" i="16"/>
  <c r="E36" i="16" s="1"/>
  <c r="K31" i="1"/>
  <c r="F19" i="16"/>
  <c r="H19" i="16"/>
  <c r="C9" i="16"/>
  <c r="C10" i="16" s="1"/>
  <c r="C19" i="16"/>
  <c r="E19" i="16"/>
  <c r="D35" i="16"/>
  <c r="D36" i="16" s="1"/>
  <c r="G6" i="16"/>
  <c r="H9" i="16"/>
  <c r="H10" i="16" s="1"/>
  <c r="H6" i="16"/>
  <c r="J9" i="16"/>
  <c r="J10" i="16" s="1"/>
  <c r="J6" i="16"/>
  <c r="D19" i="16"/>
  <c r="H57" i="1"/>
  <c r="K6" i="16"/>
  <c r="L9" i="16"/>
  <c r="L10" i="16" s="1"/>
  <c r="G34" i="16"/>
  <c r="L19" i="16"/>
  <c r="D9" i="16"/>
  <c r="D10" i="16" s="1"/>
  <c r="G26" i="16"/>
  <c r="G29" i="16" s="1"/>
  <c r="H26" i="16"/>
  <c r="H29" i="16" s="1"/>
  <c r="E6" i="16"/>
  <c r="F9" i="16"/>
  <c r="F10" i="16" s="1"/>
  <c r="F6" i="16"/>
  <c r="R48" i="1"/>
  <c r="H35" i="16"/>
  <c r="F34" i="16"/>
  <c r="D5" i="4" l="1"/>
  <c r="D5" i="26"/>
  <c r="Z14" i="26"/>
  <c r="M29" i="1"/>
  <c r="F31" i="22"/>
  <c r="E129" i="22"/>
  <c r="E130" i="22" s="1"/>
  <c r="D31" i="22"/>
  <c r="C129" i="22"/>
  <c r="C130" i="22" s="1"/>
  <c r="G31" i="22"/>
  <c r="F129" i="22"/>
  <c r="F130" i="22" s="1"/>
  <c r="E31" i="22"/>
  <c r="D129" i="22"/>
  <c r="D130" i="22" s="1"/>
  <c r="E31" i="1"/>
  <c r="J20" i="16"/>
  <c r="K31" i="22"/>
  <c r="L20" i="16"/>
  <c r="M31" i="22"/>
  <c r="H20" i="16"/>
  <c r="I31" i="22"/>
  <c r="E46" i="1" a="1"/>
  <c r="E46" i="1" s="1"/>
  <c r="G20" i="16"/>
  <c r="F20" i="16"/>
  <c r="E20" i="16"/>
  <c r="D20" i="16"/>
  <c r="I46" i="1" a="1"/>
  <c r="S51" i="1" s="1"/>
  <c r="B30" i="16"/>
  <c r="B31" i="16" s="1"/>
  <c r="H32" i="10" s="1"/>
  <c r="H36" i="16"/>
  <c r="K29" i="1"/>
  <c r="C20" i="16"/>
  <c r="J61" i="16"/>
  <c r="M61" i="16"/>
  <c r="G61" i="16"/>
  <c r="F61" i="16"/>
  <c r="E61" i="16"/>
  <c r="L61" i="16"/>
  <c r="H61" i="16"/>
  <c r="C60" i="16"/>
  <c r="K30" i="16"/>
  <c r="K31" i="16" s="1"/>
  <c r="L30" i="16"/>
  <c r="L31" i="16" s="1"/>
  <c r="J30" i="16"/>
  <c r="J31" i="16" s="1"/>
  <c r="D30" i="16"/>
  <c r="D31" i="16" s="1"/>
  <c r="E30" i="16"/>
  <c r="E31" i="16" s="1"/>
  <c r="I30" i="16"/>
  <c r="I31" i="16" s="1"/>
  <c r="H30" i="16"/>
  <c r="H31" i="16" s="1"/>
  <c r="G30" i="16"/>
  <c r="G31" i="16" s="1"/>
  <c r="C30" i="16"/>
  <c r="C31" i="16" s="1"/>
  <c r="F30" i="16"/>
  <c r="F31" i="16" s="1"/>
  <c r="R53" i="1"/>
  <c r="R52" i="1"/>
  <c r="AA14" i="26" l="1"/>
  <c r="AB14" i="26" s="1"/>
  <c r="Q31" i="22"/>
  <c r="P31" i="22"/>
  <c r="O31" i="22"/>
  <c r="M31" i="1"/>
  <c r="S50" i="1"/>
  <c r="S49" i="1"/>
  <c r="I46" i="1"/>
  <c r="S54" i="1"/>
  <c r="S53" i="1"/>
  <c r="S52" i="1"/>
  <c r="S48" i="1"/>
  <c r="Q50" i="1"/>
  <c r="Q51" i="1"/>
  <c r="Q52" i="1"/>
  <c r="Q48" i="1"/>
  <c r="Q53" i="1"/>
  <c r="Q49" i="1"/>
  <c r="AC14" i="26" l="1"/>
  <c r="H56" i="1"/>
  <c r="M25" i="1"/>
  <c r="AD14" i="26" l="1"/>
  <c r="AE14" i="26" s="1"/>
  <c r="M28" i="1"/>
  <c r="AF14" i="26" l="1"/>
  <c r="F36" i="17"/>
  <c r="F37" i="17" s="1"/>
  <c r="J56" i="17"/>
  <c r="J36" i="17"/>
  <c r="J37" i="17" s="1"/>
  <c r="M44" i="16"/>
  <c r="M60" i="16" s="1"/>
  <c r="M36" i="17"/>
  <c r="M37" i="17" s="1"/>
  <c r="I44" i="16"/>
  <c r="I60" i="16" s="1"/>
  <c r="I36" i="17"/>
  <c r="I37" i="17" s="1"/>
  <c r="I43" i="16" s="1"/>
  <c r="E44" i="16"/>
  <c r="E60" i="16" s="1"/>
  <c r="E37" i="17"/>
  <c r="G36" i="17"/>
  <c r="G37" i="17" s="1"/>
  <c r="K36" i="17"/>
  <c r="K37" i="17" s="1"/>
  <c r="H56" i="17"/>
  <c r="H36" i="17"/>
  <c r="H37" i="17" s="1"/>
  <c r="L44" i="16"/>
  <c r="L60" i="16" s="1"/>
  <c r="L36" i="17"/>
  <c r="L37" i="17" s="1"/>
  <c r="L43" i="16" s="1"/>
  <c r="G56" i="17" l="1"/>
  <c r="G65" i="16" s="1"/>
  <c r="J44" i="16"/>
  <c r="J60" i="16" s="1"/>
  <c r="H65" i="16"/>
  <c r="K43" i="16"/>
  <c r="F43" i="16"/>
  <c r="J43" i="16"/>
  <c r="G43" i="16"/>
  <c r="M56" i="17"/>
  <c r="F56" i="17"/>
  <c r="K44" i="16"/>
  <c r="K60" i="16" s="1"/>
  <c r="F44" i="16"/>
  <c r="F60" i="16" s="1"/>
  <c r="G44" i="16"/>
  <c r="G60" i="16" s="1"/>
  <c r="H44" i="16"/>
  <c r="H60" i="16" s="1"/>
  <c r="L56" i="17"/>
  <c r="I56" i="17"/>
  <c r="M65" i="16" l="1"/>
  <c r="I65" i="16"/>
  <c r="M43" i="16"/>
  <c r="H43" i="16"/>
  <c r="E43" i="16"/>
  <c r="F65" i="16"/>
  <c r="J65" i="16"/>
  <c r="L65" i="16"/>
  <c r="E65" i="16"/>
  <c r="D36" i="17"/>
  <c r="D37" i="17" s="1"/>
  <c r="D56" i="17"/>
  <c r="D65" i="16" s="1"/>
  <c r="C56" i="17"/>
  <c r="C65" i="16" s="1"/>
  <c r="C57" i="16"/>
  <c r="C47" i="17"/>
  <c r="C50" i="17" s="1"/>
  <c r="D43" i="16" l="1"/>
  <c r="D44" i="16"/>
  <c r="D60" i="16" s="1"/>
  <c r="G46" i="1" s="1" a="1"/>
  <c r="G46" i="1" s="1"/>
  <c r="C56" i="16"/>
  <c r="C53" i="16"/>
  <c r="B69" i="16"/>
  <c r="L49" i="1" s="1"/>
  <c r="C69" i="16"/>
  <c r="M49" i="1" s="1"/>
  <c r="M56" i="1" s="1"/>
  <c r="C67" i="17"/>
  <c r="E25" i="4" l="1"/>
  <c r="E26" i="4" s="1"/>
  <c r="E34" i="4" s="1"/>
  <c r="E36" i="4" s="1"/>
  <c r="E25" i="26"/>
  <c r="K56" i="17"/>
  <c r="K57" i="16"/>
  <c r="K53" i="16"/>
  <c r="K56" i="16"/>
  <c r="G25" i="26" l="1"/>
  <c r="E26" i="26"/>
  <c r="E34" i="26" s="1"/>
  <c r="E36" i="26" s="1"/>
  <c r="K65" i="16"/>
  <c r="G26" i="26" l="1"/>
  <c r="G34" i="26" s="1"/>
  <c r="G36" i="26" s="1"/>
  <c r="G43" i="26" s="1"/>
  <c r="H13" i="26" s="1"/>
  <c r="H15" i="26" s="1"/>
  <c r="H16" i="26" s="1"/>
  <c r="H17" i="26" s="1"/>
  <c r="H25" i="26"/>
  <c r="H39" i="4"/>
  <c r="I25" i="26" l="1"/>
  <c r="H26" i="26"/>
  <c r="J25" i="26"/>
  <c r="J26" i="26" s="1"/>
  <c r="H30" i="26"/>
  <c r="H19" i="26"/>
  <c r="H22" i="26" s="1"/>
  <c r="H34" i="26" s="1"/>
  <c r="I39" i="4"/>
  <c r="H35" i="26" l="1"/>
  <c r="H36" i="26" s="1"/>
  <c r="H43" i="26" s="1"/>
  <c r="I13" i="26" s="1"/>
  <c r="I15" i="26" s="1"/>
  <c r="I16" i="26" s="1"/>
  <c r="I17" i="26" s="1"/>
  <c r="H32" i="26"/>
  <c r="K25" i="26"/>
  <c r="I26" i="26"/>
  <c r="J39" i="4"/>
  <c r="K39" i="4" s="1"/>
  <c r="K26" i="26" l="1"/>
  <c r="L25" i="26"/>
  <c r="I19" i="26"/>
  <c r="I22" i="26" s="1"/>
  <c r="I34" i="26" s="1"/>
  <c r="I30" i="26"/>
  <c r="L39" i="4"/>
  <c r="I35" i="26" l="1"/>
  <c r="I36" i="26" s="1"/>
  <c r="I43" i="26" s="1"/>
  <c r="I32" i="26"/>
  <c r="M25" i="26"/>
  <c r="N25" i="26" s="1"/>
  <c r="L26" i="26"/>
  <c r="M39" i="4"/>
  <c r="O25" i="26" l="1"/>
  <c r="N26" i="26"/>
  <c r="P25" i="26"/>
  <c r="P26" i="26" s="1"/>
  <c r="M26" i="26"/>
  <c r="I53" i="26"/>
  <c r="J13" i="26"/>
  <c r="J15" i="26" s="1"/>
  <c r="J16" i="26" s="1"/>
  <c r="J17" i="26" s="1"/>
  <c r="I55" i="26"/>
  <c r="N39" i="4"/>
  <c r="J30" i="26" l="1"/>
  <c r="J35" i="26" s="1"/>
  <c r="J19" i="26"/>
  <c r="J22" i="26" s="1"/>
  <c r="Q25" i="26"/>
  <c r="O26" i="26"/>
  <c r="O39" i="4"/>
  <c r="Q26" i="26" l="1"/>
  <c r="R25" i="26"/>
  <c r="P39" i="4"/>
  <c r="S25" i="26" l="1"/>
  <c r="R26" i="26"/>
  <c r="T25" i="26"/>
  <c r="T26" i="26" s="1"/>
  <c r="Q39" i="4"/>
  <c r="U25" i="26" l="1"/>
  <c r="V25" i="26" s="1"/>
  <c r="S26" i="26"/>
  <c r="R39" i="4"/>
  <c r="W25" i="26" l="1"/>
  <c r="W26" i="26" s="1"/>
  <c r="V26" i="26"/>
  <c r="X25" i="26"/>
  <c r="X26" i="26" s="1"/>
  <c r="U26" i="26"/>
  <c r="S39" i="4"/>
  <c r="Y25" i="26" l="1"/>
  <c r="T39" i="4"/>
  <c r="Z25" i="26" l="1"/>
  <c r="Y26" i="26"/>
  <c r="U39" i="4"/>
  <c r="AA25" i="26" l="1"/>
  <c r="Z26" i="26"/>
  <c r="V39" i="4"/>
  <c r="AA26" i="26" l="1"/>
  <c r="AB25" i="26"/>
  <c r="W39" i="4"/>
  <c r="AB26" i="26" l="1"/>
  <c r="AC25" i="26"/>
  <c r="X39" i="4"/>
  <c r="AC26" i="26" l="1"/>
  <c r="AD25" i="26"/>
  <c r="Y39" i="4"/>
  <c r="AE25" i="26" l="1"/>
  <c r="AE26" i="26" s="1"/>
  <c r="AD26" i="26"/>
  <c r="Z39" i="4"/>
  <c r="AF25" i="26" l="1"/>
  <c r="AF26" i="26" s="1"/>
  <c r="AA39" i="4"/>
  <c r="AB39" i="4" l="1"/>
  <c r="AC39" i="4" l="1"/>
  <c r="AD39" i="4" l="1"/>
  <c r="AE39" i="4" l="1"/>
  <c r="AF39" i="4" l="1"/>
  <c r="AG39" i="4" s="1"/>
  <c r="K63" i="17" l="1"/>
  <c r="K68" i="16"/>
  <c r="L63" i="17"/>
  <c r="L68" i="16"/>
  <c r="J69" i="16"/>
  <c r="L69" i="16"/>
  <c r="M69" i="16"/>
  <c r="G8" i="4" l="1"/>
  <c r="G12" i="4" s="1"/>
  <c r="G11" i="4"/>
  <c r="G20" i="4" s="1"/>
  <c r="G28" i="4" l="1"/>
  <c r="H20" i="4" l="1"/>
  <c r="H24" i="4"/>
  <c r="H21" i="4"/>
  <c r="H8" i="4"/>
  <c r="I11" i="4" l="1"/>
  <c r="I20" i="4" s="1"/>
  <c r="I24" i="4"/>
  <c r="I21" i="4"/>
  <c r="I8" i="4"/>
  <c r="J11" i="4" l="1"/>
  <c r="J20" i="4" s="1"/>
  <c r="J8" i="4"/>
  <c r="J24" i="4"/>
  <c r="J21" i="4"/>
  <c r="K21" i="4"/>
  <c r="H28" i="4"/>
  <c r="K24" i="4" l="1"/>
  <c r="K11" i="4"/>
  <c r="K20" i="4" s="1"/>
  <c r="K8" i="4"/>
  <c r="L21" i="4"/>
  <c r="I28" i="4" l="1"/>
  <c r="L24" i="4"/>
  <c r="M21" i="4"/>
  <c r="L11" i="4"/>
  <c r="L20" i="4" s="1"/>
  <c r="L8" i="4"/>
  <c r="M24" i="4" l="1"/>
  <c r="N21" i="4"/>
  <c r="M11" i="4"/>
  <c r="M20" i="4" s="1"/>
  <c r="M8" i="4"/>
  <c r="N24" i="4" l="1"/>
  <c r="O21" i="4"/>
  <c r="N11" i="4"/>
  <c r="N20" i="4" s="1"/>
  <c r="N8" i="4"/>
  <c r="O24" i="4" l="1"/>
  <c r="O11" i="4"/>
  <c r="O20" i="4" s="1"/>
  <c r="O8" i="4"/>
  <c r="P21" i="4"/>
  <c r="P24" i="4" l="1"/>
  <c r="Q21" i="4"/>
  <c r="P11" i="4"/>
  <c r="P20" i="4" s="1"/>
  <c r="P8" i="4"/>
  <c r="Q24" i="4" l="1"/>
  <c r="Q11" i="4"/>
  <c r="Q20" i="4" s="1"/>
  <c r="Q8" i="4"/>
  <c r="R21" i="4"/>
  <c r="R24" i="4" l="1"/>
  <c r="R11" i="4"/>
  <c r="R20" i="4" s="1"/>
  <c r="R8" i="4"/>
  <c r="S21" i="4"/>
  <c r="S24" i="4" l="1"/>
  <c r="T21" i="4"/>
  <c r="S8" i="4"/>
  <c r="S20" i="4"/>
  <c r="T24" i="4" l="1"/>
  <c r="U21" i="4"/>
  <c r="T11" i="4"/>
  <c r="T20" i="4" s="1"/>
  <c r="T8" i="4"/>
  <c r="U24" i="4" l="1"/>
  <c r="U11" i="4"/>
  <c r="U20" i="4" s="1"/>
  <c r="U8" i="4"/>
  <c r="V21" i="4"/>
  <c r="V24" i="4" l="1"/>
  <c r="W21" i="4"/>
  <c r="V11" i="4"/>
  <c r="V20" i="4" s="1"/>
  <c r="V8" i="4"/>
  <c r="W24" i="4" l="1"/>
  <c r="W8" i="4"/>
  <c r="W11" i="4"/>
  <c r="W20" i="4" s="1"/>
  <c r="X21" i="4"/>
  <c r="X24" i="4" l="1"/>
  <c r="X11" i="4"/>
  <c r="X20" i="4" s="1"/>
  <c r="X8" i="4"/>
  <c r="Y21" i="4"/>
  <c r="Y24" i="4" l="1"/>
  <c r="Y11" i="4"/>
  <c r="Y20" i="4" s="1"/>
  <c r="Y8" i="4"/>
  <c r="Z21" i="4"/>
  <c r="Z24" i="4" l="1"/>
  <c r="AA21" i="4"/>
  <c r="Z8" i="4"/>
  <c r="Z11" i="4"/>
  <c r="Z20" i="4" s="1"/>
  <c r="AA24" i="4" l="1"/>
  <c r="AB21" i="4"/>
  <c r="AA8" i="4"/>
  <c r="AA11" i="4"/>
  <c r="AA20" i="4" s="1"/>
  <c r="AB24" i="4" l="1"/>
  <c r="AC21" i="4"/>
  <c r="AB11" i="4"/>
  <c r="AB20" i="4" s="1"/>
  <c r="AB8" i="4"/>
  <c r="AC24" i="4" l="1"/>
  <c r="AD21" i="4"/>
  <c r="AC8" i="4"/>
  <c r="AC11" i="4"/>
  <c r="AC20" i="4" s="1"/>
  <c r="AD24" i="4" l="1"/>
  <c r="AD11" i="4"/>
  <c r="AD20" i="4" s="1"/>
  <c r="AD8" i="4"/>
  <c r="AE21" i="4"/>
  <c r="AE24" i="4" l="1"/>
  <c r="AF21" i="4"/>
  <c r="AE8" i="4"/>
  <c r="AE11" i="4"/>
  <c r="AE20" i="4" s="1"/>
  <c r="AF8" i="4" l="1"/>
  <c r="AF11" i="4"/>
  <c r="AF20" i="4" s="1"/>
  <c r="AF24" i="4"/>
  <c r="B5" i="16" l="1"/>
  <c r="C9" i="22"/>
  <c r="P9" i="22" s="1"/>
  <c r="C10" i="22"/>
  <c r="P10" i="22" s="1"/>
  <c r="C29" i="22"/>
  <c r="Q29" i="22" s="1"/>
  <c r="C27" i="22"/>
  <c r="O27" i="22" s="1"/>
  <c r="C28" i="22"/>
  <c r="Q28" i="22" s="1"/>
  <c r="C26" i="22"/>
  <c r="Q26" i="22" s="1"/>
  <c r="B12" i="16" l="1"/>
  <c r="B20" i="16"/>
  <c r="C46" i="1" a="1"/>
  <c r="N52" i="1" s="1"/>
  <c r="B46" i="16"/>
  <c r="B45" i="16"/>
  <c r="G14" i="4"/>
  <c r="H14" i="4" s="1"/>
  <c r="K23" i="4"/>
  <c r="L23" i="4"/>
  <c r="M23" i="4"/>
  <c r="N23" i="4"/>
  <c r="O23" i="4"/>
  <c r="P23" i="4"/>
  <c r="Q23" i="4"/>
  <c r="R23" i="4"/>
  <c r="S23" i="4"/>
  <c r="T23" i="4"/>
  <c r="U23" i="4"/>
  <c r="V23" i="4"/>
  <c r="W23" i="4"/>
  <c r="X23" i="4"/>
  <c r="Y23" i="4"/>
  <c r="Z23" i="4"/>
  <c r="AA23" i="4"/>
  <c r="AB23" i="4"/>
  <c r="AC23" i="4"/>
  <c r="AD23" i="4"/>
  <c r="AE23" i="4"/>
  <c r="AF23" i="4"/>
  <c r="P29" i="22"/>
  <c r="O10" i="22"/>
  <c r="F7" i="4"/>
  <c r="P26" i="22"/>
  <c r="Q10" i="22"/>
  <c r="F5" i="4"/>
  <c r="G21" i="4"/>
  <c r="G25" i="4"/>
  <c r="P27" i="22"/>
  <c r="Q27" i="22"/>
  <c r="O9" i="22"/>
  <c r="P28" i="22"/>
  <c r="B24" i="16"/>
  <c r="O28" i="22"/>
  <c r="M42" i="1"/>
  <c r="B6" i="16"/>
  <c r="B8" i="16"/>
  <c r="C56" i="10"/>
  <c r="E27" i="1"/>
  <c r="C57" i="10"/>
  <c r="C27" i="10" s="1"/>
  <c r="B22" i="16"/>
  <c r="B9" i="16"/>
  <c r="B10" i="16" s="1"/>
  <c r="O29" i="22"/>
  <c r="Q9" i="22"/>
  <c r="O26" i="22"/>
  <c r="C57" i="1" l="1"/>
  <c r="C58" i="1"/>
  <c r="N50" i="1"/>
  <c r="L57" i="1"/>
  <c r="L58" i="1" s="1"/>
  <c r="C46" i="1"/>
  <c r="N47" i="1" s="1"/>
  <c r="N53" i="1"/>
  <c r="N48" i="1"/>
  <c r="N49" i="1"/>
  <c r="N51" i="1"/>
  <c r="M57" i="1"/>
  <c r="M58" i="1" s="1"/>
  <c r="N54" i="1"/>
  <c r="C14" i="10"/>
  <c r="H14" i="10" s="1"/>
  <c r="I14" i="10" s="1"/>
  <c r="C30" i="10"/>
  <c r="I14" i="4"/>
  <c r="J14" i="4" s="1"/>
  <c r="K14" i="4" s="1"/>
  <c r="G15" i="4"/>
  <c r="G16" i="4" s="1"/>
  <c r="G17" i="4" s="1"/>
  <c r="G19" i="4" s="1"/>
  <c r="G22" i="4" s="1"/>
  <c r="G23" i="4"/>
  <c r="G40" i="4" s="1"/>
  <c r="H23" i="4"/>
  <c r="I23" i="4"/>
  <c r="J23" i="4"/>
  <c r="H25" i="4"/>
  <c r="C15" i="10"/>
  <c r="C31" i="10"/>
  <c r="C16" i="10"/>
  <c r="C28" i="10"/>
  <c r="C13" i="10"/>
  <c r="C11" i="10"/>
  <c r="C34" i="10"/>
  <c r="C36" i="10"/>
  <c r="C29" i="10"/>
  <c r="E29" i="1"/>
  <c r="B25" i="16"/>
  <c r="B13" i="16"/>
  <c r="D46" i="1" a="1"/>
  <c r="E28" i="1"/>
  <c r="C56" i="1" l="1"/>
  <c r="C55" i="1"/>
  <c r="N55" i="1" s="1"/>
  <c r="G30" i="4"/>
  <c r="G35" i="4" s="1"/>
  <c r="AG23" i="4"/>
  <c r="H9" i="4"/>
  <c r="H40" i="4"/>
  <c r="G26" i="4"/>
  <c r="L14" i="4"/>
  <c r="I25" i="4"/>
  <c r="H26" i="4"/>
  <c r="H29" i="10"/>
  <c r="I29" i="10" s="1"/>
  <c r="H27" i="10"/>
  <c r="I27" i="10" s="1"/>
  <c r="H36" i="10"/>
  <c r="I36" i="10" s="1"/>
  <c r="H34" i="10"/>
  <c r="I34" i="10" s="1"/>
  <c r="C50" i="10"/>
  <c r="H11" i="10"/>
  <c r="I11" i="10" s="1"/>
  <c r="H13" i="10"/>
  <c r="I13" i="10" s="1"/>
  <c r="H28" i="10"/>
  <c r="I28" i="10" s="1"/>
  <c r="H16" i="10"/>
  <c r="I16" i="10" s="1"/>
  <c r="H31" i="10"/>
  <c r="I31" i="10" s="1"/>
  <c r="H30" i="10"/>
  <c r="I30" i="10" s="1"/>
  <c r="H15" i="10"/>
  <c r="I15" i="10" s="1"/>
  <c r="O48" i="1"/>
  <c r="D58" i="1"/>
  <c r="D46" i="1"/>
  <c r="D57" i="1" s="1"/>
  <c r="O52" i="1"/>
  <c r="O53" i="1"/>
  <c r="O51" i="1"/>
  <c r="O49" i="1"/>
  <c r="O50" i="1"/>
  <c r="O54" i="1"/>
  <c r="I40" i="4" l="1"/>
  <c r="I9" i="4"/>
  <c r="I12" i="4" s="1"/>
  <c r="I51" i="4" s="1"/>
  <c r="H41" i="4"/>
  <c r="H12" i="4"/>
  <c r="M14" i="4"/>
  <c r="J25" i="4"/>
  <c r="I26" i="4"/>
  <c r="O47" i="1"/>
  <c r="D56" i="1" s="1"/>
  <c r="H50" i="10"/>
  <c r="I50" i="10" s="1"/>
  <c r="D55" i="1"/>
  <c r="O55" i="1" s="1"/>
  <c r="I41" i="4" l="1"/>
  <c r="I61" i="4" s="1"/>
  <c r="J40" i="4"/>
  <c r="J9" i="4"/>
  <c r="J12" i="4" s="1"/>
  <c r="N14" i="4"/>
  <c r="K25" i="4"/>
  <c r="K26" i="4" s="1"/>
  <c r="J26" i="4"/>
  <c r="K9" i="4" l="1"/>
  <c r="K12" i="4" s="1"/>
  <c r="K40" i="4"/>
  <c r="J41" i="4"/>
  <c r="J61" i="4" s="1"/>
  <c r="J62" i="4" s="1"/>
  <c r="O14" i="4"/>
  <c r="P14" i="4" s="1"/>
  <c r="L25" i="4"/>
  <c r="K41" i="4" l="1"/>
  <c r="K61" i="4" s="1"/>
  <c r="K62" i="4" s="1"/>
  <c r="L9" i="4"/>
  <c r="L12" i="4" s="1"/>
  <c r="L40" i="4"/>
  <c r="Q14" i="4"/>
  <c r="R14" i="4" s="1"/>
  <c r="L26" i="4"/>
  <c r="M25" i="4"/>
  <c r="M9" i="4" l="1"/>
  <c r="M12" i="4" s="1"/>
  <c r="M40" i="4"/>
  <c r="L41" i="4"/>
  <c r="L61" i="4" s="1"/>
  <c r="L62" i="4" s="1"/>
  <c r="M26" i="4"/>
  <c r="N25" i="4"/>
  <c r="O25" i="4" s="1"/>
  <c r="S14" i="4"/>
  <c r="T14" i="4" s="1"/>
  <c r="M41" i="4" l="1"/>
  <c r="M61" i="4" s="1"/>
  <c r="M62" i="4" s="1"/>
  <c r="N9" i="4"/>
  <c r="N12" i="4" s="1"/>
  <c r="N40" i="4"/>
  <c r="U14" i="4"/>
  <c r="V14" i="4" s="1"/>
  <c r="O26" i="4"/>
  <c r="N26" i="4"/>
  <c r="P25" i="4"/>
  <c r="N41" i="4" l="1"/>
  <c r="N61" i="4" s="1"/>
  <c r="N62" i="4" s="1"/>
  <c r="O9" i="4"/>
  <c r="O12" i="4" s="1"/>
  <c r="O40" i="4"/>
  <c r="W14" i="4"/>
  <c r="P26" i="4"/>
  <c r="Q25" i="4"/>
  <c r="R25" i="4" s="1"/>
  <c r="O41" i="4" l="1"/>
  <c r="O61" i="4" s="1"/>
  <c r="O62" i="4" s="1"/>
  <c r="P9" i="4"/>
  <c r="P12" i="4" s="1"/>
  <c r="P40" i="4"/>
  <c r="X14" i="4"/>
  <c r="Y14" i="4" s="1"/>
  <c r="Q26" i="4"/>
  <c r="R26" i="4"/>
  <c r="S25" i="4"/>
  <c r="T25" i="4" s="1"/>
  <c r="P41" i="4" l="1"/>
  <c r="P61" i="4" s="1"/>
  <c r="P62" i="4" s="1"/>
  <c r="Q9" i="4"/>
  <c r="Q12" i="4" s="1"/>
  <c r="Q40" i="4"/>
  <c r="Z14" i="4"/>
  <c r="AA14" i="4" s="1"/>
  <c r="U25" i="4"/>
  <c r="V25" i="4" s="1"/>
  <c r="W25" i="4" s="1"/>
  <c r="X25" i="4" s="1"/>
  <c r="S26" i="4"/>
  <c r="T26" i="4"/>
  <c r="U26" i="4" l="1"/>
  <c r="Q41" i="4"/>
  <c r="Q61" i="4" s="1"/>
  <c r="Q62" i="4" s="1"/>
  <c r="R9" i="4"/>
  <c r="R12" i="4" s="1"/>
  <c r="R40" i="4"/>
  <c r="AB14" i="4"/>
  <c r="X26" i="4"/>
  <c r="V26" i="4"/>
  <c r="Y25" i="4"/>
  <c r="Z25" i="4" s="1"/>
  <c r="W26" i="4"/>
  <c r="S9" i="4" l="1"/>
  <c r="S12" i="4" s="1"/>
  <c r="S40" i="4"/>
  <c r="R41" i="4"/>
  <c r="R61" i="4" s="1"/>
  <c r="R62" i="4" s="1"/>
  <c r="AA25" i="4"/>
  <c r="AA26" i="4" s="1"/>
  <c r="AC14" i="4"/>
  <c r="AD14" i="4" s="1"/>
  <c r="Z26" i="4"/>
  <c r="Y26" i="4"/>
  <c r="AB25" i="4" l="1"/>
  <c r="AC25" i="4" s="1"/>
  <c r="AC26" i="4" s="1"/>
  <c r="S41" i="4"/>
  <c r="S61" i="4" s="1"/>
  <c r="S62" i="4" s="1"/>
  <c r="T9" i="4"/>
  <c r="T12" i="4" s="1"/>
  <c r="T40" i="4"/>
  <c r="AE14" i="4"/>
  <c r="AF14" i="4" s="1"/>
  <c r="AB26" i="4" l="1"/>
  <c r="AD25" i="4"/>
  <c r="AD26" i="4" s="1"/>
  <c r="U9" i="4"/>
  <c r="U12" i="4" s="1"/>
  <c r="U40" i="4"/>
  <c r="T41" i="4"/>
  <c r="T61" i="4" s="1"/>
  <c r="T62" i="4" s="1"/>
  <c r="AE25" i="4" l="1"/>
  <c r="AE26" i="4" s="1"/>
  <c r="U41" i="4"/>
  <c r="U61" i="4" s="1"/>
  <c r="U62" i="4" s="1"/>
  <c r="V9" i="4"/>
  <c r="V12" i="4" s="1"/>
  <c r="V40" i="4"/>
  <c r="G73" i="22"/>
  <c r="G76" i="22" s="1"/>
  <c r="G71" i="22" s="1"/>
  <c r="AF25" i="4" l="1"/>
  <c r="AF26" i="4" s="1"/>
  <c r="V41" i="4"/>
  <c r="V61" i="4" s="1"/>
  <c r="V62" i="4" s="1"/>
  <c r="W9" i="4"/>
  <c r="W12" i="4" s="1"/>
  <c r="W40" i="4"/>
  <c r="G77" i="22"/>
  <c r="H73" i="22"/>
  <c r="G72" i="22"/>
  <c r="X9" i="4" l="1"/>
  <c r="X12" i="4" s="1"/>
  <c r="X40" i="4"/>
  <c r="W41" i="4"/>
  <c r="W61" i="4" s="1"/>
  <c r="W62" i="4" s="1"/>
  <c r="I73" i="22"/>
  <c r="H76" i="22"/>
  <c r="H72" i="22"/>
  <c r="X41" i="4" l="1"/>
  <c r="X61" i="4" s="1"/>
  <c r="X62" i="4" s="1"/>
  <c r="Y9" i="4"/>
  <c r="Y12" i="4" s="1"/>
  <c r="Y40" i="4"/>
  <c r="H77" i="22"/>
  <c r="H69" i="22" s="1"/>
  <c r="H71" i="22"/>
  <c r="J73" i="22"/>
  <c r="I76" i="22"/>
  <c r="I71" i="22" s="1"/>
  <c r="I72" i="22"/>
  <c r="Y41" i="4" l="1"/>
  <c r="Y61" i="4" s="1"/>
  <c r="Y62" i="4" s="1"/>
  <c r="Z9" i="4"/>
  <c r="Z12" i="4" s="1"/>
  <c r="Z40" i="4"/>
  <c r="I77" i="22"/>
  <c r="I69" i="22" s="1"/>
  <c r="K73" i="22"/>
  <c r="J72" i="22"/>
  <c r="J76" i="22"/>
  <c r="Z41" i="4" l="1"/>
  <c r="Z61" i="4" s="1"/>
  <c r="Z62" i="4" s="1"/>
  <c r="AA9" i="4"/>
  <c r="AA12" i="4" s="1"/>
  <c r="AA40" i="4"/>
  <c r="J77" i="22"/>
  <c r="J69" i="22" s="1"/>
  <c r="J71" i="22"/>
  <c r="L73" i="22"/>
  <c r="K72" i="22"/>
  <c r="K76" i="22"/>
  <c r="AA41" i="4" l="1"/>
  <c r="AA61" i="4" s="1"/>
  <c r="AA62" i="4" s="1"/>
  <c r="AB9" i="4"/>
  <c r="AB12" i="4" s="1"/>
  <c r="AB40" i="4"/>
  <c r="K77" i="22"/>
  <c r="K69" i="22" s="1"/>
  <c r="K71" i="22"/>
  <c r="L76" i="22"/>
  <c r="M73" i="22"/>
  <c r="L72" i="22"/>
  <c r="AB41" i="4" l="1"/>
  <c r="AB61" i="4" s="1"/>
  <c r="AB62" i="4" s="1"/>
  <c r="AC9" i="4"/>
  <c r="AC12" i="4" s="1"/>
  <c r="AC40" i="4"/>
  <c r="L77" i="22"/>
  <c r="L69" i="22" s="1"/>
  <c r="L71" i="22"/>
  <c r="N73" i="22"/>
  <c r="M76" i="22"/>
  <c r="M72" i="22"/>
  <c r="AD9" i="4" l="1"/>
  <c r="AD12" i="4" s="1"/>
  <c r="AD40" i="4"/>
  <c r="AC41" i="4"/>
  <c r="AC61" i="4" s="1"/>
  <c r="AC62" i="4" s="1"/>
  <c r="M77" i="22"/>
  <c r="M69" i="22" s="1"/>
  <c r="M71" i="22"/>
  <c r="N72" i="22"/>
  <c r="O73" i="22"/>
  <c r="N76" i="22"/>
  <c r="AD41" i="4" l="1"/>
  <c r="AD61" i="4" s="1"/>
  <c r="AD62" i="4" s="1"/>
  <c r="AE9" i="4"/>
  <c r="AE12" i="4" s="1"/>
  <c r="AE40" i="4"/>
  <c r="N77" i="22"/>
  <c r="N69" i="22" s="1"/>
  <c r="N71" i="22"/>
  <c r="P73" i="22"/>
  <c r="O72" i="22"/>
  <c r="O76" i="22"/>
  <c r="AE41" i="4" l="1"/>
  <c r="AE61" i="4" s="1"/>
  <c r="AE62" i="4" s="1"/>
  <c r="AF9" i="4"/>
  <c r="AF40" i="4"/>
  <c r="AG40" i="4" s="1"/>
  <c r="O77" i="22"/>
  <c r="O69" i="22" s="1"/>
  <c r="O71" i="22"/>
  <c r="P72" i="22"/>
  <c r="P76" i="22"/>
  <c r="AF41" i="4" l="1"/>
  <c r="AG9" i="4"/>
  <c r="AH24" i="4" s="1"/>
  <c r="AF12" i="4"/>
  <c r="P77" i="22"/>
  <c r="P69" i="22" s="1"/>
  <c r="P71" i="22"/>
  <c r="AG41" i="4" l="1"/>
  <c r="AF61" i="4"/>
  <c r="AF62" i="4" s="1"/>
  <c r="F269" i="22"/>
  <c r="J44" i="4" l="1"/>
  <c r="J44" i="26"/>
  <c r="G269" i="22"/>
  <c r="E269" i="22"/>
  <c r="E270" i="22"/>
  <c r="J28" i="26" l="1"/>
  <c r="J51" i="26"/>
  <c r="J28" i="4"/>
  <c r="J51" i="4"/>
  <c r="F270" i="22"/>
  <c r="K44" i="4" l="1"/>
  <c r="K28" i="4" s="1"/>
  <c r="K44" i="26"/>
  <c r="J32" i="26"/>
  <c r="J34" i="26"/>
  <c r="J36" i="26" s="1"/>
  <c r="J43" i="26" s="1"/>
  <c r="G270" i="22"/>
  <c r="E271" i="22"/>
  <c r="K13" i="26" l="1"/>
  <c r="K15" i="26" s="1"/>
  <c r="K16" i="26" s="1"/>
  <c r="K17" i="26" s="1"/>
  <c r="J53" i="26"/>
  <c r="J55" i="26"/>
  <c r="K28" i="26"/>
  <c r="K51" i="26"/>
  <c r="K51" i="4"/>
  <c r="F271" i="22"/>
  <c r="L44" i="4" l="1"/>
  <c r="L44" i="26"/>
  <c r="K30" i="26"/>
  <c r="K19" i="26"/>
  <c r="K22" i="26" s="1"/>
  <c r="K34" i="26" s="1"/>
  <c r="G271" i="22"/>
  <c r="L28" i="4"/>
  <c r="E272" i="22"/>
  <c r="K29" i="26" l="1"/>
  <c r="K35" i="26" s="1"/>
  <c r="K36" i="26" s="1"/>
  <c r="K43" i="26" s="1"/>
  <c r="L28" i="26"/>
  <c r="L51" i="26"/>
  <c r="L51" i="4"/>
  <c r="F272" i="22"/>
  <c r="K32" i="26" l="1"/>
  <c r="M44" i="4"/>
  <c r="M44" i="26"/>
  <c r="L13" i="26"/>
  <c r="L15" i="26" s="1"/>
  <c r="L16" i="26" s="1"/>
  <c r="L17" i="26" s="1"/>
  <c r="K55" i="26"/>
  <c r="K53" i="26"/>
  <c r="G272" i="22"/>
  <c r="M28" i="4"/>
  <c r="E273" i="22"/>
  <c r="F273" i="22"/>
  <c r="G273" i="22" s="1"/>
  <c r="L19" i="26" l="1"/>
  <c r="L22" i="26" s="1"/>
  <c r="L34" i="26" s="1"/>
  <c r="L29" i="26" s="1"/>
  <c r="L30" i="26"/>
  <c r="M28" i="26"/>
  <c r="M51" i="26"/>
  <c r="M51" i="4"/>
  <c r="E274" i="22"/>
  <c r="L35" i="26" l="1"/>
  <c r="L32" i="26"/>
  <c r="F274" i="22"/>
  <c r="L36" i="26" l="1"/>
  <c r="L43" i="26" s="1"/>
  <c r="N44" i="4"/>
  <c r="N44" i="26"/>
  <c r="G274" i="22"/>
  <c r="E275" i="22"/>
  <c r="N28" i="26" l="1"/>
  <c r="N51" i="26"/>
  <c r="L55" i="26"/>
  <c r="M13" i="26"/>
  <c r="M15" i="26" s="1"/>
  <c r="M16" i="26" s="1"/>
  <c r="M17" i="26" s="1"/>
  <c r="L53" i="26"/>
  <c r="N28" i="4"/>
  <c r="N51" i="4"/>
  <c r="F275" i="22"/>
  <c r="O44" i="4" l="1"/>
  <c r="O44" i="26"/>
  <c r="M19" i="26"/>
  <c r="M22" i="26" s="1"/>
  <c r="M34" i="26" s="1"/>
  <c r="M29" i="26" s="1"/>
  <c r="M30" i="26"/>
  <c r="G275" i="22"/>
  <c r="P28" i="4"/>
  <c r="P51" i="4"/>
  <c r="E276" i="22"/>
  <c r="F276" i="22"/>
  <c r="G276" i="22" s="1"/>
  <c r="P28" i="26" l="1"/>
  <c r="O28" i="26"/>
  <c r="O51" i="26"/>
  <c r="M35" i="26"/>
  <c r="M32" i="26"/>
  <c r="O28" i="4"/>
  <c r="O51" i="4"/>
  <c r="Q28" i="4"/>
  <c r="Q51" i="4"/>
  <c r="M36" i="26" l="1"/>
  <c r="M43" i="26" s="1"/>
  <c r="R28" i="4"/>
  <c r="R51" i="4"/>
  <c r="N13" i="26" l="1"/>
  <c r="N15" i="26" s="1"/>
  <c r="N16" i="26" s="1"/>
  <c r="N17" i="26" s="1"/>
  <c r="M53" i="26"/>
  <c r="M55" i="26"/>
  <c r="S28" i="4"/>
  <c r="S51" i="4"/>
  <c r="N30" i="26" l="1"/>
  <c r="N19" i="26"/>
  <c r="N22" i="26" s="1"/>
  <c r="N34" i="26" s="1"/>
  <c r="N29" i="26" s="1"/>
  <c r="T28" i="4"/>
  <c r="T51" i="4"/>
  <c r="N35" i="26" l="1"/>
  <c r="N32" i="26"/>
  <c r="U28" i="4"/>
  <c r="U51" i="4"/>
  <c r="N36" i="26" l="1"/>
  <c r="N43" i="26" s="1"/>
  <c r="V28" i="4"/>
  <c r="V51" i="4"/>
  <c r="N55" i="26" l="1"/>
  <c r="O13" i="26"/>
  <c r="O15" i="26" s="1"/>
  <c r="O16" i="26" s="1"/>
  <c r="O17" i="26" s="1"/>
  <c r="N53" i="26"/>
  <c r="W28" i="4"/>
  <c r="W51" i="4"/>
  <c r="O19" i="26" l="1"/>
  <c r="O22" i="26" s="1"/>
  <c r="O34" i="26" s="1"/>
  <c r="O29" i="26" s="1"/>
  <c r="O30" i="26"/>
  <c r="X28" i="4"/>
  <c r="X51" i="4"/>
  <c r="O35" i="26" l="1"/>
  <c r="O32" i="26"/>
  <c r="Y28" i="4"/>
  <c r="Y51" i="4"/>
  <c r="O36" i="26" l="1"/>
  <c r="O43" i="26" s="1"/>
  <c r="Z28" i="4"/>
  <c r="Z51" i="4"/>
  <c r="O55" i="26" l="1"/>
  <c r="O53" i="26"/>
  <c r="P13" i="26"/>
  <c r="P15" i="26" s="1"/>
  <c r="P16" i="26" s="1"/>
  <c r="P17" i="26" s="1"/>
  <c r="AA28" i="4"/>
  <c r="AA51" i="4"/>
  <c r="P30" i="26" l="1"/>
  <c r="P19" i="26"/>
  <c r="P22" i="26" s="1"/>
  <c r="P34" i="26" s="1"/>
  <c r="P29" i="26" s="1"/>
  <c r="AB28" i="4"/>
  <c r="AB51" i="4"/>
  <c r="P35" i="26" l="1"/>
  <c r="P36" i="26" s="1"/>
  <c r="P43" i="26" s="1"/>
  <c r="P32" i="26"/>
  <c r="AC28" i="4"/>
  <c r="AC51" i="4"/>
  <c r="P53" i="26" l="1"/>
  <c r="Q13" i="26"/>
  <c r="Q15" i="26" s="1"/>
  <c r="Q16" i="26" s="1"/>
  <c r="Q17" i="26" s="1"/>
  <c r="P55" i="26"/>
  <c r="AD28" i="4"/>
  <c r="AD51" i="4"/>
  <c r="Q30" i="26" l="1"/>
  <c r="Q19" i="26"/>
  <c r="Q22" i="26" s="1"/>
  <c r="Q34" i="26" s="1"/>
  <c r="Q29" i="26" s="1"/>
  <c r="AE28" i="4"/>
  <c r="AE51" i="4"/>
  <c r="Q35" i="26" l="1"/>
  <c r="Q36" i="26" s="1"/>
  <c r="Q43" i="26" s="1"/>
  <c r="Q32" i="26"/>
  <c r="AF28" i="4"/>
  <c r="AF51" i="4"/>
  <c r="Q55" i="26" l="1"/>
  <c r="R13" i="26"/>
  <c r="R15" i="26" s="1"/>
  <c r="R16" i="26" s="1"/>
  <c r="R17" i="26" s="1"/>
  <c r="Q53" i="26"/>
  <c r="B72" i="16"/>
  <c r="L52" i="1" s="1"/>
  <c r="L56" i="1" s="1"/>
  <c r="F31" i="4"/>
  <c r="G31" i="4" s="1"/>
  <c r="R30" i="26" l="1"/>
  <c r="R19" i="26"/>
  <c r="R22" i="26" s="1"/>
  <c r="R34" i="26" s="1"/>
  <c r="R29" i="26" s="1"/>
  <c r="G34" i="4"/>
  <c r="G36" i="4" s="1"/>
  <c r="G43" i="4" s="1"/>
  <c r="H13" i="4" s="1"/>
  <c r="H15" i="4" s="1"/>
  <c r="H16" i="4" s="1"/>
  <c r="H17" i="4" s="1"/>
  <c r="H19" i="4" s="1"/>
  <c r="H22" i="4" s="1"/>
  <c r="G32" i="4"/>
  <c r="F54" i="1"/>
  <c r="B76" i="16"/>
  <c r="H31" i="4"/>
  <c r="F32" i="4"/>
  <c r="F34" i="4"/>
  <c r="F36" i="4" s="1"/>
  <c r="R35" i="26" l="1"/>
  <c r="R36" i="26" s="1"/>
  <c r="R43" i="26" s="1"/>
  <c r="R32" i="26"/>
  <c r="H30" i="4"/>
  <c r="H32" i="4" s="1"/>
  <c r="H34" i="4"/>
  <c r="I31" i="4"/>
  <c r="Q54" i="1"/>
  <c r="F56" i="1" s="1"/>
  <c r="F55" i="1"/>
  <c r="F58" i="1"/>
  <c r="F57" i="1"/>
  <c r="H35" i="4" l="1"/>
  <c r="H36" i="4" s="1"/>
  <c r="H43" i="4" s="1"/>
  <c r="I13" i="4" s="1"/>
  <c r="I15" i="4" s="1"/>
  <c r="I16" i="4" s="1"/>
  <c r="I17" i="4" s="1"/>
  <c r="I19" i="4" s="1"/>
  <c r="I22" i="4" s="1"/>
  <c r="I34" i="4" s="1"/>
  <c r="R55" i="26"/>
  <c r="R53" i="26"/>
  <c r="S13" i="26"/>
  <c r="S15" i="26" s="1"/>
  <c r="S16" i="26" s="1"/>
  <c r="S17" i="26" s="1"/>
  <c r="J31" i="4"/>
  <c r="I30" i="4" l="1"/>
  <c r="I32" i="4" s="1"/>
  <c r="S30" i="26"/>
  <c r="S19" i="26"/>
  <c r="S22" i="26" s="1"/>
  <c r="S34" i="26" s="1"/>
  <c r="S29" i="26" s="1"/>
  <c r="K31" i="4"/>
  <c r="L31" i="4" s="1"/>
  <c r="I35" i="4" l="1"/>
  <c r="I36" i="4" s="1"/>
  <c r="I43" i="4" s="1"/>
  <c r="S32" i="26"/>
  <c r="S35" i="26"/>
  <c r="S36" i="26" s="1"/>
  <c r="S43" i="26" s="1"/>
  <c r="M31" i="4"/>
  <c r="N31" i="4" s="1"/>
  <c r="S55" i="26" l="1"/>
  <c r="T13" i="26"/>
  <c r="T15" i="26" s="1"/>
  <c r="T16" i="26" s="1"/>
  <c r="T17" i="26" s="1"/>
  <c r="S53" i="26"/>
  <c r="I53" i="4"/>
  <c r="I55" i="4"/>
  <c r="J13" i="4"/>
  <c r="J15" i="4" s="1"/>
  <c r="J16" i="4" s="1"/>
  <c r="J17" i="4" s="1"/>
  <c r="O31" i="4"/>
  <c r="T30" i="26" l="1"/>
  <c r="T19" i="26"/>
  <c r="T22" i="26" s="1"/>
  <c r="T34" i="26" s="1"/>
  <c r="T29" i="26" s="1"/>
  <c r="J30" i="4"/>
  <c r="J19" i="4"/>
  <c r="J22" i="4" s="1"/>
  <c r="J34" i="4" s="1"/>
  <c r="P31" i="4"/>
  <c r="Q31" i="4" s="1"/>
  <c r="T32" i="26" l="1"/>
  <c r="T35" i="26"/>
  <c r="T36" i="26" s="1"/>
  <c r="T43" i="26" s="1"/>
  <c r="R31" i="4"/>
  <c r="J35" i="4"/>
  <c r="J32" i="4"/>
  <c r="T53" i="26" l="1"/>
  <c r="T55" i="26"/>
  <c r="U13" i="26"/>
  <c r="U15" i="26" s="1"/>
  <c r="U16" i="26" s="1"/>
  <c r="U17" i="26" s="1"/>
  <c r="J36" i="4"/>
  <c r="S31" i="4"/>
  <c r="T31" i="4" s="1"/>
  <c r="U31" i="4" s="1"/>
  <c r="J43" i="4" l="1"/>
  <c r="K29" i="4" s="1"/>
  <c r="U19" i="26"/>
  <c r="U22" i="26" s="1"/>
  <c r="U34" i="26" s="1"/>
  <c r="U29" i="26" s="1"/>
  <c r="U30" i="26"/>
  <c r="V31" i="4"/>
  <c r="J53" i="4" l="1"/>
  <c r="J55" i="4"/>
  <c r="K13" i="4"/>
  <c r="K15" i="4" s="1"/>
  <c r="K16" i="4" s="1"/>
  <c r="K17" i="4" s="1"/>
  <c r="K30" i="4" s="1"/>
  <c r="U35" i="26"/>
  <c r="U36" i="26" s="1"/>
  <c r="U43" i="26" s="1"/>
  <c r="U32" i="26"/>
  <c r="W31" i="4"/>
  <c r="K19" i="4" l="1"/>
  <c r="K22" i="4" s="1"/>
  <c r="K34" i="4" s="1"/>
  <c r="U55" i="26"/>
  <c r="U53" i="26"/>
  <c r="V13" i="26"/>
  <c r="V15" i="26" s="1"/>
  <c r="V16" i="26" s="1"/>
  <c r="V17" i="26" s="1"/>
  <c r="X31" i="4"/>
  <c r="Y31" i="4" s="1"/>
  <c r="V19" i="26" l="1"/>
  <c r="V22" i="26" s="1"/>
  <c r="V34" i="26" s="1"/>
  <c r="V29" i="26" s="1"/>
  <c r="V30" i="26"/>
  <c r="K32" i="4"/>
  <c r="K35" i="4"/>
  <c r="Z31" i="4"/>
  <c r="AA31" i="4" s="1"/>
  <c r="V35" i="26" l="1"/>
  <c r="V36" i="26" s="1"/>
  <c r="V43" i="26" s="1"/>
  <c r="V32" i="26"/>
  <c r="K36" i="4"/>
  <c r="AB31" i="4"/>
  <c r="K43" i="4" l="1"/>
  <c r="L29" i="4" s="1"/>
  <c r="V55" i="26"/>
  <c r="W13" i="26"/>
  <c r="W15" i="26" s="1"/>
  <c r="W16" i="26" s="1"/>
  <c r="W17" i="26" s="1"/>
  <c r="V53" i="26"/>
  <c r="AC31" i="4"/>
  <c r="AD31" i="4" s="1"/>
  <c r="K53" i="4" l="1"/>
  <c r="K55" i="4"/>
  <c r="L13" i="4"/>
  <c r="L15" i="4" s="1"/>
  <c r="L16" i="4" s="1"/>
  <c r="L17" i="4" s="1"/>
  <c r="W19" i="26"/>
  <c r="W22" i="26" s="1"/>
  <c r="W34" i="26" s="1"/>
  <c r="W29" i="26" s="1"/>
  <c r="W30" i="26"/>
  <c r="L19" i="4"/>
  <c r="L22" i="4" s="1"/>
  <c r="L34" i="4" s="1"/>
  <c r="L30" i="4"/>
  <c r="AE31" i="4"/>
  <c r="AF31" i="4" s="1"/>
  <c r="W35" i="26" l="1"/>
  <c r="W36" i="26" s="1"/>
  <c r="W43" i="26" s="1"/>
  <c r="W32" i="26"/>
  <c r="W55" i="26" l="1"/>
  <c r="W53" i="26"/>
  <c r="X13" i="26"/>
  <c r="X15" i="26" s="1"/>
  <c r="X16" i="26" s="1"/>
  <c r="X17" i="26" s="1"/>
  <c r="L32" i="4"/>
  <c r="L35" i="4"/>
  <c r="X30" i="26" l="1"/>
  <c r="X19" i="26"/>
  <c r="X22" i="26" s="1"/>
  <c r="X34" i="26" s="1"/>
  <c r="X29" i="26" s="1"/>
  <c r="L36" i="4"/>
  <c r="L43" i="4" l="1"/>
  <c r="L53" i="4" s="1"/>
  <c r="X35" i="26"/>
  <c r="X36" i="26" s="1"/>
  <c r="X43" i="26" s="1"/>
  <c r="X32" i="26"/>
  <c r="M13" i="4"/>
  <c r="M15" i="4" s="1"/>
  <c r="M16" i="4" s="1"/>
  <c r="M17" i="4" s="1"/>
  <c r="L55" i="4"/>
  <c r="M29" i="4" l="1"/>
  <c r="X55" i="26"/>
  <c r="X53" i="26"/>
  <c r="Y13" i="26"/>
  <c r="Y15" i="26" s="1"/>
  <c r="Y16" i="26" s="1"/>
  <c r="Y17" i="26" s="1"/>
  <c r="M19" i="4"/>
  <c r="M22" i="4" s="1"/>
  <c r="M34" i="4" s="1"/>
  <c r="M30" i="4"/>
  <c r="Y19" i="26" l="1"/>
  <c r="Y22" i="26" s="1"/>
  <c r="Y34" i="26" s="1"/>
  <c r="Y29" i="26" s="1"/>
  <c r="Y30" i="26"/>
  <c r="Y32" i="26" l="1"/>
  <c r="Y35" i="26"/>
  <c r="Y36" i="26" s="1"/>
  <c r="Y43" i="26" s="1"/>
  <c r="M35" i="4"/>
  <c r="M36" i="4" s="1"/>
  <c r="M32" i="4"/>
  <c r="M43" i="4" l="1"/>
  <c r="N29" i="4" s="1"/>
  <c r="Y55" i="26"/>
  <c r="Z13" i="26"/>
  <c r="Z15" i="26" s="1"/>
  <c r="Z16" i="26" s="1"/>
  <c r="Z17" i="26" s="1"/>
  <c r="Y53" i="26"/>
  <c r="M55" i="4"/>
  <c r="N13" i="4"/>
  <c r="N15" i="4" s="1"/>
  <c r="N16" i="4" s="1"/>
  <c r="N17" i="4" s="1"/>
  <c r="M53" i="4" l="1"/>
  <c r="Z19" i="26"/>
  <c r="Z22" i="26" s="1"/>
  <c r="Z34" i="26" s="1"/>
  <c r="Z29" i="26" s="1"/>
  <c r="Z30" i="26"/>
  <c r="N30" i="4"/>
  <c r="N19" i="4"/>
  <c r="N22" i="4" s="1"/>
  <c r="N34" i="4" s="1"/>
  <c r="Z35" i="26" l="1"/>
  <c r="Z36" i="26" s="1"/>
  <c r="Z43" i="26" s="1"/>
  <c r="Z32" i="26"/>
  <c r="AA13" i="26" l="1"/>
  <c r="AA15" i="26" s="1"/>
  <c r="AA16" i="26" s="1"/>
  <c r="AA17" i="26" s="1"/>
  <c r="Z53" i="26"/>
  <c r="Z55" i="26"/>
  <c r="N32" i="4"/>
  <c r="N35" i="4"/>
  <c r="N36" i="4" s="1"/>
  <c r="N43" i="4" l="1"/>
  <c r="O13" i="4" s="1"/>
  <c r="O15" i="4" s="1"/>
  <c r="O16" i="4" s="1"/>
  <c r="O17" i="4" s="1"/>
  <c r="AA30" i="26"/>
  <c r="AA19" i="26"/>
  <c r="AA22" i="26" s="1"/>
  <c r="AA34" i="26" s="1"/>
  <c r="AA29" i="26" s="1"/>
  <c r="N55" i="4" l="1"/>
  <c r="O29" i="4"/>
  <c r="N53" i="4"/>
  <c r="AA35" i="26"/>
  <c r="AA36" i="26" s="1"/>
  <c r="AA43" i="26" s="1"/>
  <c r="AA32" i="26"/>
  <c r="O30" i="4"/>
  <c r="O19" i="4"/>
  <c r="O22" i="4" s="1"/>
  <c r="O34" i="4" s="1"/>
  <c r="AB13" i="26" l="1"/>
  <c r="AB15" i="26" s="1"/>
  <c r="AB16" i="26" s="1"/>
  <c r="AB17" i="26" s="1"/>
  <c r="AA55" i="26"/>
  <c r="AA53" i="26"/>
  <c r="AB19" i="26" l="1"/>
  <c r="AB22" i="26" s="1"/>
  <c r="AB34" i="26" s="1"/>
  <c r="AB29" i="26" s="1"/>
  <c r="AB30" i="26"/>
  <c r="O35" i="4"/>
  <c r="O36" i="4" s="1"/>
  <c r="O32" i="4"/>
  <c r="O43" i="4" l="1"/>
  <c r="P29" i="4" s="1"/>
  <c r="AB35" i="26"/>
  <c r="AB36" i="26" s="1"/>
  <c r="AB43" i="26" s="1"/>
  <c r="AB32" i="26"/>
  <c r="P13" i="4"/>
  <c r="P15" i="4" s="1"/>
  <c r="P16" i="4" s="1"/>
  <c r="P17" i="4" s="1"/>
  <c r="O53" i="4"/>
  <c r="O55" i="4"/>
  <c r="AB53" i="26" l="1"/>
  <c r="AB55" i="26"/>
  <c r="AC13" i="26"/>
  <c r="AC15" i="26" s="1"/>
  <c r="AC16" i="26" s="1"/>
  <c r="AC17" i="26" s="1"/>
  <c r="P30" i="4"/>
  <c r="P19" i="4"/>
  <c r="P22" i="4" s="1"/>
  <c r="P34" i="4" s="1"/>
  <c r="AC30" i="26" l="1"/>
  <c r="AC19" i="26"/>
  <c r="AC22" i="26" s="1"/>
  <c r="AC34" i="26" s="1"/>
  <c r="AC29" i="26" s="1"/>
  <c r="AC35" i="26" l="1"/>
  <c r="AC36" i="26" s="1"/>
  <c r="AC43" i="26" s="1"/>
  <c r="AC32" i="26"/>
  <c r="P32" i="4"/>
  <c r="P35" i="4"/>
  <c r="P36" i="4" s="1"/>
  <c r="P43" i="4" l="1"/>
  <c r="Q29" i="4" s="1"/>
  <c r="AC53" i="26"/>
  <c r="AC55" i="26"/>
  <c r="AD13" i="26"/>
  <c r="AD15" i="26" s="1"/>
  <c r="AD16" i="26" s="1"/>
  <c r="AD17" i="26" s="1"/>
  <c r="P55" i="4"/>
  <c r="Q13" i="4"/>
  <c r="Q15" i="4" s="1"/>
  <c r="Q16" i="4" s="1"/>
  <c r="Q17" i="4" s="1"/>
  <c r="P53" i="4" l="1"/>
  <c r="AD30" i="26"/>
  <c r="AD19" i="26"/>
  <c r="AD22" i="26" s="1"/>
  <c r="AD34" i="26" s="1"/>
  <c r="AD29" i="26" s="1"/>
  <c r="Q19" i="4"/>
  <c r="Q22" i="4" s="1"/>
  <c r="Q34" i="4" s="1"/>
  <c r="Q30" i="4"/>
  <c r="AD32" i="26" l="1"/>
  <c r="AD35" i="26"/>
  <c r="AD36" i="26" s="1"/>
  <c r="AD43" i="26" s="1"/>
  <c r="AE13" i="26" l="1"/>
  <c r="AE15" i="26" s="1"/>
  <c r="AE16" i="26" s="1"/>
  <c r="AE17" i="26" s="1"/>
  <c r="AD53" i="26"/>
  <c r="AD55" i="26"/>
  <c r="Q32" i="4"/>
  <c r="Q35" i="4"/>
  <c r="Q36" i="4" s="1"/>
  <c r="Q43" i="4" l="1"/>
  <c r="R29" i="4" s="1"/>
  <c r="AE19" i="26"/>
  <c r="AE22" i="26" s="1"/>
  <c r="AE34" i="26" s="1"/>
  <c r="AE29" i="26" s="1"/>
  <c r="AE30" i="26"/>
  <c r="Q55" i="4"/>
  <c r="R13" i="4"/>
  <c r="R15" i="4" s="1"/>
  <c r="R16" i="4" s="1"/>
  <c r="R17" i="4" s="1"/>
  <c r="Q53" i="4"/>
  <c r="AE32" i="26" l="1"/>
  <c r="AE35" i="26"/>
  <c r="AE36" i="26" s="1"/>
  <c r="AE43" i="26" s="1"/>
  <c r="R30" i="4"/>
  <c r="R19" i="4"/>
  <c r="R22" i="4" s="1"/>
  <c r="R34" i="4" s="1"/>
  <c r="AE53" i="26" l="1"/>
  <c r="AE55" i="26"/>
  <c r="AF13" i="26"/>
  <c r="AF15" i="26" s="1"/>
  <c r="AF16" i="26" s="1"/>
  <c r="AF17" i="26" s="1"/>
  <c r="AF30" i="26" l="1"/>
  <c r="AF19" i="26"/>
  <c r="AF22" i="26" s="1"/>
  <c r="AF34" i="26" s="1"/>
  <c r="R35" i="4"/>
  <c r="R36" i="4" s="1"/>
  <c r="R32" i="4"/>
  <c r="R43" i="4" l="1"/>
  <c r="S13" i="4" s="1"/>
  <c r="S15" i="4" s="1"/>
  <c r="S16" i="4" s="1"/>
  <c r="S17" i="4" s="1"/>
  <c r="D71" i="26"/>
  <c r="AF29" i="26"/>
  <c r="R55" i="4"/>
  <c r="S29" i="4" l="1"/>
  <c r="R53" i="4"/>
  <c r="AF35" i="26"/>
  <c r="AF32" i="26"/>
  <c r="S30" i="4"/>
  <c r="S19" i="4"/>
  <c r="S22" i="4" s="1"/>
  <c r="S34" i="4" s="1"/>
  <c r="AF36" i="26" l="1"/>
  <c r="AF43" i="26" s="1"/>
  <c r="AF55" i="26" l="1"/>
  <c r="AF53" i="26"/>
  <c r="D77" i="26"/>
  <c r="D70" i="26"/>
  <c r="D78" i="26"/>
  <c r="S35" i="4"/>
  <c r="S36" i="4" s="1"/>
  <c r="S32" i="4"/>
  <c r="S43" i="4" l="1"/>
  <c r="T13" i="4" s="1"/>
  <c r="T15" i="4" s="1"/>
  <c r="T16" i="4" s="1"/>
  <c r="T17" i="4" s="1"/>
  <c r="D72" i="26"/>
  <c r="T29" i="4" l="1"/>
  <c r="S55" i="4"/>
  <c r="S53" i="4"/>
  <c r="D75" i="26"/>
  <c r="E71" i="26"/>
  <c r="E70" i="26"/>
  <c r="T30" i="4"/>
  <c r="T19" i="4"/>
  <c r="T22" i="4" s="1"/>
  <c r="T34" i="4" s="1"/>
  <c r="D80" i="26" l="1"/>
  <c r="D74" i="26"/>
  <c r="E78" i="26"/>
  <c r="E77" i="26"/>
  <c r="T32" i="4" l="1"/>
  <c r="T35" i="4"/>
  <c r="T36" i="4" s="1"/>
  <c r="T43" i="4" l="1"/>
  <c r="U29" i="4" s="1"/>
  <c r="T55" i="4"/>
  <c r="T53" i="4"/>
  <c r="U13" i="4" l="1"/>
  <c r="U15" i="4" s="1"/>
  <c r="U16" i="4" s="1"/>
  <c r="U17" i="4" s="1"/>
  <c r="U19" i="4" s="1"/>
  <c r="U22" i="4" s="1"/>
  <c r="U34" i="4" s="1"/>
  <c r="U30" i="4" l="1"/>
  <c r="U32" i="4"/>
  <c r="U35" i="4"/>
  <c r="U36" i="4" s="1"/>
  <c r="U43" i="4" l="1"/>
  <c r="V29" i="4" s="1"/>
  <c r="U53" i="4" l="1"/>
  <c r="U55" i="4"/>
  <c r="V13" i="4"/>
  <c r="V15" i="4" s="1"/>
  <c r="V16" i="4" s="1"/>
  <c r="V17" i="4" s="1"/>
  <c r="V19" i="4" s="1"/>
  <c r="V22" i="4" s="1"/>
  <c r="V34" i="4" s="1"/>
  <c r="V30" i="4" l="1"/>
  <c r="V32" i="4"/>
  <c r="V35" i="4"/>
  <c r="V36" i="4" s="1"/>
  <c r="V43" i="4" l="1"/>
  <c r="W29" i="4" s="1"/>
  <c r="V53" i="4"/>
  <c r="W13" i="4" l="1"/>
  <c r="W15" i="4" s="1"/>
  <c r="W16" i="4" s="1"/>
  <c r="W17" i="4" s="1"/>
  <c r="W30" i="4" s="1"/>
  <c r="V55" i="4"/>
  <c r="W19" i="4" l="1"/>
  <c r="W22" i="4" s="1"/>
  <c r="W34" i="4" s="1"/>
  <c r="W35" i="4"/>
  <c r="W32" i="4"/>
  <c r="W36" i="4" l="1"/>
  <c r="W43" i="4" s="1"/>
  <c r="X29" i="4" l="1"/>
  <c r="W55" i="4"/>
  <c r="W53" i="4"/>
  <c r="X13" i="4"/>
  <c r="X15" i="4" s="1"/>
  <c r="X16" i="4" s="1"/>
  <c r="X17" i="4" s="1"/>
  <c r="X30" i="4" s="1"/>
  <c r="X19" i="4" l="1"/>
  <c r="X22" i="4" s="1"/>
  <c r="X34" i="4" s="1"/>
  <c r="X32" i="4"/>
  <c r="X35" i="4"/>
  <c r="X36" i="4" s="1"/>
  <c r="X43" i="4" l="1"/>
  <c r="Y13" i="4" s="1"/>
  <c r="Y15" i="4" s="1"/>
  <c r="Y16" i="4" s="1"/>
  <c r="Y17" i="4" s="1"/>
  <c r="Y29" i="4" l="1"/>
  <c r="X55" i="4"/>
  <c r="X53" i="4"/>
  <c r="Y30" i="4"/>
  <c r="Y19" i="4"/>
  <c r="Y22" i="4" s="1"/>
  <c r="Y34" i="4" s="1"/>
  <c r="Y35" i="4" l="1"/>
  <c r="Y36" i="4" s="1"/>
  <c r="Y32" i="4"/>
  <c r="Y43" i="4" l="1"/>
  <c r="Z29" i="4" s="1"/>
  <c r="Y55" i="4"/>
  <c r="Y53" i="4"/>
  <c r="Z13" i="4"/>
  <c r="Z15" i="4" s="1"/>
  <c r="Z16" i="4" s="1"/>
  <c r="Z17" i="4" s="1"/>
  <c r="Z30" i="4" l="1"/>
  <c r="Z19" i="4"/>
  <c r="Z22" i="4" s="1"/>
  <c r="Z34" i="4" s="1"/>
  <c r="Z35" i="4" l="1"/>
  <c r="Z36" i="4" s="1"/>
  <c r="Z32" i="4"/>
  <c r="Z43" i="4" l="1"/>
  <c r="AA29" i="4" s="1"/>
  <c r="Z55" i="4"/>
  <c r="Z53" i="4"/>
  <c r="AA13" i="4" l="1"/>
  <c r="AA15" i="4" s="1"/>
  <c r="AA16" i="4" s="1"/>
  <c r="AA17" i="4" s="1"/>
  <c r="AA30" i="4" s="1"/>
  <c r="AA19" i="4" l="1"/>
  <c r="AA22" i="4" s="1"/>
  <c r="AA34" i="4" s="1"/>
  <c r="AA35" i="4"/>
  <c r="AA32" i="4"/>
  <c r="AA36" i="4" l="1"/>
  <c r="AA43" i="4"/>
  <c r="AB13" i="4" s="1"/>
  <c r="AB15" i="4" s="1"/>
  <c r="AB16" i="4" s="1"/>
  <c r="AB17" i="4" s="1"/>
  <c r="AB29" i="4" l="1"/>
  <c r="AA53" i="4"/>
  <c r="AA55" i="4"/>
  <c r="AB30" i="4"/>
  <c r="AB19" i="4"/>
  <c r="AB22" i="4" s="1"/>
  <c r="AB34" i="4" s="1"/>
  <c r="AB32" i="4" l="1"/>
  <c r="AB35" i="4"/>
  <c r="AB36" i="4" s="1"/>
  <c r="AB43" i="4" l="1"/>
  <c r="AC29" i="4" s="1"/>
  <c r="AB53" i="4"/>
  <c r="AC13" i="4"/>
  <c r="AC15" i="4" s="1"/>
  <c r="AC16" i="4" s="1"/>
  <c r="AC17" i="4" s="1"/>
  <c r="AB55" i="4"/>
  <c r="AC19" i="4" l="1"/>
  <c r="AC22" i="4" s="1"/>
  <c r="AC34" i="4" s="1"/>
  <c r="AC30" i="4"/>
  <c r="AC35" i="4" l="1"/>
  <c r="AC36" i="4" s="1"/>
  <c r="AC32" i="4"/>
  <c r="AC43" i="4" l="1"/>
  <c r="AD29" i="4" s="1"/>
  <c r="AD13" i="4"/>
  <c r="AD15" i="4" s="1"/>
  <c r="AD16" i="4" s="1"/>
  <c r="AD17" i="4" s="1"/>
  <c r="AC53" i="4"/>
  <c r="AC55" i="4" l="1"/>
  <c r="AD30" i="4"/>
  <c r="AD19" i="4"/>
  <c r="AD22" i="4" s="1"/>
  <c r="AD34" i="4" s="1"/>
  <c r="AD35" i="4" l="1"/>
  <c r="AD36" i="4" s="1"/>
  <c r="AD32" i="4"/>
  <c r="AD43" i="4" l="1"/>
  <c r="AD55" i="4" s="1"/>
  <c r="AD53" i="4"/>
  <c r="AE29" i="4" l="1"/>
  <c r="AE13" i="4"/>
  <c r="AE15" i="4" s="1"/>
  <c r="AE16" i="4" s="1"/>
  <c r="AE17" i="4" s="1"/>
  <c r="AE30" i="4" s="1"/>
  <c r="AE19" i="4" l="1"/>
  <c r="AE22" i="4" s="1"/>
  <c r="AE34" i="4" s="1"/>
  <c r="AE35" i="4"/>
  <c r="AE36" i="4" s="1"/>
  <c r="AE32" i="4"/>
  <c r="AE43" i="4" l="1"/>
  <c r="AF29" i="4" s="1"/>
  <c r="AE53" i="4"/>
  <c r="AF13" i="4"/>
  <c r="AF15" i="4" s="1"/>
  <c r="AF16" i="4" s="1"/>
  <c r="AF17" i="4" s="1"/>
  <c r="AE55" i="4" l="1"/>
  <c r="AF30" i="4"/>
  <c r="AF19" i="4"/>
  <c r="AF22" i="4" s="1"/>
  <c r="AF34" i="4" s="1"/>
  <c r="D71" i="4" l="1"/>
  <c r="AF32" i="4" l="1"/>
  <c r="AF35" i="4"/>
  <c r="AF36" i="4" l="1"/>
  <c r="AF43" i="4" s="1"/>
  <c r="D70" i="4" s="1"/>
  <c r="AF55" i="4" l="1"/>
  <c r="AF53" i="4"/>
  <c r="D72" i="4"/>
  <c r="D77" i="4"/>
  <c r="D78" i="4"/>
  <c r="D75" i="4" l="1"/>
  <c r="E77" i="4" s="1"/>
  <c r="E71" i="4"/>
  <c r="E70" i="4"/>
  <c r="D74" i="4" l="1"/>
  <c r="J42" i="1" s="1"/>
  <c r="H40" i="1"/>
  <c r="D80" i="4"/>
  <c r="E78" i="4"/>
  <c r="E121" i="2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José Ricardo Ramos Duro Godinho</author>
    <author>tc={BE0DA439-60BC-4872-B837-0AC68F67A40A}</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J6" authorId="3" shapeId="0" xr:uid="{33AC1534-F225-4D4F-AB2F-5B1D3DC5F3E7}">
      <text>
        <r>
          <rPr>
            <sz val="10"/>
            <rFont val="Arial"/>
            <family val="2"/>
          </rPr>
          <t>José Ricardo Ramos Duro Godinho:
Executive chairman and director</t>
        </r>
      </text>
    </comment>
    <comment ref="J7" authorId="4" shapeId="0" xr:uid="{BE0DA439-60BC-4872-B837-0AC68F67A40A}">
      <text>
        <t>[Threaded comment]
Your version of Excel allows you to read this threaded comment; however, any edits to it will get removed if the file is opened in a newer version of Excel. Learn more: https://go.microsoft.com/fwlink/?linkid=870924
Comment:
    All the remaining board members are considered independent and received around* 200k each for their work for PayloCity</t>
      </text>
    </comment>
    <comment ref="D45" authorId="5"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Maria Pilar Barrocal Fortunato</author>
  </authors>
  <commentList>
    <comment ref="E63" authorId="0" shapeId="0" xr:uid="{126FACA7-B0FE-439B-9365-27BB3E45C9BE}">
      <text>
        <r>
          <rPr>
            <b/>
            <sz val="9"/>
            <color indexed="81"/>
            <rFont val="Tahoma"/>
            <family val="2"/>
          </rPr>
          <t>Maria Pilar Barrocal Fortunato:</t>
        </r>
        <r>
          <rPr>
            <sz val="9"/>
            <color indexed="81"/>
            <rFont val="Tahoma"/>
            <family val="2"/>
          </rPr>
          <t xml:space="preserve">
capitaliza- vai para os ativos e é amortizdo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tc={B1D3E7FA-AF42-4924-B5CC-6F47A7AA87B5}</author>
  </authors>
  <commentList>
    <comment ref="A51" authorId="0" shapeId="0" xr:uid="{B1D3E7FA-AF42-4924-B5CC-6F47A7AA87B5}">
      <text>
        <t xml:space="preserve">[Threaded comment]
Your version of Excel allows you to read this threaded comment; however, any edits to it will get removed if the file is opened in a newer version of Excel. Learn more: https://go.microsoft.com/fwlink/?linkid=870924
Comment:
    Accrued expenses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Damião Ribeiro</author>
    <author>Damião Carvalho Perdigão Gonçalves Ribeiro</author>
    <author>tc={DB908F0E-0221-4771-A929-C4BB13E696BE}</author>
  </authors>
  <commentList>
    <comment ref="O23" authorId="0" shapeId="0" xr:uid="{4933DAFF-721E-4DD7-9652-E02D2A561EE8}">
      <text>
        <r>
          <rPr>
            <b/>
            <sz val="9"/>
            <color indexed="81"/>
            <rFont val="Tahoma"/>
            <family val="2"/>
          </rPr>
          <t>Damião Ribeiro:</t>
        </r>
        <r>
          <rPr>
            <sz val="9"/>
            <color indexed="81"/>
            <rFont val="Tahoma"/>
            <family val="2"/>
          </rPr>
          <t xml:space="preserve">
Average YoY Growth (Gross PPE)</t>
        </r>
      </text>
    </comment>
    <comment ref="P23" authorId="1" shapeId="0" xr:uid="{6E478CFC-98B1-491D-B9A2-4B23F33AC43B}">
      <text>
        <r>
          <rPr>
            <sz val="10"/>
            <rFont val="Arial"/>
            <family val="2"/>
          </rPr>
          <t>Damião Carvalho Perdigão Gonçalves Ribeiro:
Average YoY Growth (Gross PPE)</t>
        </r>
      </text>
    </comment>
    <comment ref="Q23" authorId="1" shapeId="0" xr:uid="{1EA63F23-E7A6-4972-8A14-A15EA6172957}">
      <text>
        <r>
          <rPr>
            <sz val="10"/>
            <rFont val="Arial"/>
            <family val="2"/>
          </rPr>
          <t>Damião Carvalho Perdigão Gonçalves Ribeiro:
Average YoY Growth (Gross PPE)</t>
        </r>
      </text>
    </comment>
    <comment ref="O25" authorId="0" shapeId="0" xr:uid="{07A694DB-1205-411E-9BB0-027D86C87314}">
      <text>
        <r>
          <rPr>
            <b/>
            <sz val="9"/>
            <color indexed="81"/>
            <rFont val="Tahoma"/>
            <family val="2"/>
          </rPr>
          <t>Damião Ribeiro:</t>
        </r>
        <r>
          <rPr>
            <sz val="9"/>
            <color indexed="81"/>
            <rFont val="Tahoma"/>
            <family val="2"/>
          </rPr>
          <t xml:space="preserve">
Average YoY Growth (Gross IA)</t>
        </r>
      </text>
    </comment>
    <comment ref="P25" authorId="1" shapeId="0" xr:uid="{73CD9603-F085-467F-BBA9-49CE7A829CFD}">
      <text>
        <r>
          <rPr>
            <sz val="10"/>
            <rFont val="Arial"/>
            <family val="2"/>
          </rPr>
          <t>Damião Carvalho Perdigão Gonçalves Ribeiro:
Average YoY Growth (Gross IA)</t>
        </r>
      </text>
    </comment>
    <comment ref="Q25" authorId="1" shapeId="0" xr:uid="{87DB85B0-C8E7-4E44-A787-C670A9DA7EB6}">
      <text>
        <r>
          <rPr>
            <sz val="10"/>
            <rFont val="Arial"/>
            <family val="2"/>
          </rPr>
          <t>Damião Carvalho Perdigão Gonçalves Ribeiro:
Average YoY Growth (Gross IA)</t>
        </r>
      </text>
    </comment>
    <comment ref="F75" authorId="2" shapeId="0" xr:uid="{DB908F0E-0221-4771-A929-C4BB13E696BE}">
      <text>
        <t>[Threaded comment]
Your version of Excel allows you to read this threaded comment; however, any edits to it will get removed if the file is opened in a newer version of Excel. Learn more: https://go.microsoft.com/fwlink/?linkid=870924
Comment:
    Based on reports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tc={A25158AA-C998-4F32-9A19-5EAF1340F752}</author>
  </authors>
  <commentList>
    <comment ref="K29" authorId="0" shapeId="0" xr:uid="{A25158AA-C998-4F32-9A19-5EAF1340F752}">
      <text>
        <t>[Threaded comment]
Your version of Excel allows you to read this threaded comment; however, any edits to it will get removed if the file is opened in a newer version of Excel. Learn more: https://go.microsoft.com/fwlink/?linkid=870924
Comment:
    FORMULA: If (Ending Cash poistion of last year + cash before shareholder returns) is more then 45%, then return all the excess cash unitll it reaches that level. If it's below 45%, then do buybacks in 10% of net sales.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tc={4F1B9CCB-B3FA-43DD-BA1D-B4B313F984B1}</author>
    <author>tc={85E545C8-D066-4168-AF0C-7CF1FB152F7B}</author>
    <author>tc={14E7DF74-537F-4E6A-9D59-E644724CE7AD}</author>
  </authors>
  <commentList>
    <comment ref="K29" authorId="0" shapeId="0" xr:uid="{4F1B9CCB-B3FA-43DD-BA1D-B4B313F984B1}">
      <text>
        <t>[Threaded comment]
Your version of Excel allows you to read this threaded comment; however, any edits to it will get removed if the file is opened in a newer version of Excel. Learn more: https://go.microsoft.com/fwlink/?linkid=870924
Comment:
    Formual: Excess Cash + 0,1 Ending cash position of last period</t>
      </text>
    </comment>
    <comment ref="P29" authorId="1" shapeId="0" xr:uid="{85E545C8-D066-4168-AF0C-7CF1FB152F7B}">
      <text>
        <t>[Threaded comment]
Your version of Excel allows you to read this threaded comment; however, any edits to it will get removed if the file is opened in a newer version of Excel. Learn more: https://go.microsoft.com/fwlink/?linkid=870924
Comment:
    Increase in returns (excess cash + 0,2 last period ending cash balance)</t>
      </text>
    </comment>
    <comment ref="V29" authorId="2" shapeId="0" xr:uid="{14E7DF74-537F-4E6A-9D59-E644724CE7AD}">
      <text>
        <t>[Threaded comment]
Your version of Excel allows you to read this threaded comment; however, any edits to it will get removed if the file is opened in a newer version of Excel. Learn more: https://go.microsoft.com/fwlink/?linkid=870924
Comment:
    Increase in buybacks (excess cash + 35% ending cash position of last period)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5">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<sst xmlns="http://schemas.openxmlformats.org/spreadsheetml/2006/main" count="2456" uniqueCount="1216">
  <si>
    <t>1st of August 2024</t>
  </si>
  <si>
    <t>Team 1</t>
  </si>
  <si>
    <t>1st of November 2024</t>
  </si>
  <si>
    <t xml:space="preserve">SIC: </t>
  </si>
  <si>
    <t>COMPANY DESCRIPTION</t>
  </si>
  <si>
    <t xml:space="preserve">
</t>
  </si>
  <si>
    <t>Paylocity is a cloud-based provider of payroll and human capital management (HCM) software solutions for medium-sized organizations. Founded in 1997, Paylocity offers a comprehensive suite of products that includes payroll, benefits administration, time tracking, talent management, and workforce analytics. Known for its user-friendly platform, Paylocity integrates advanced technology with a focus on automation and customization to help businesses streamline HR and payroll processes. With a strong emphasis on customer service and innovation, the company is a major player in the U.S. HR tech market, consistently achieving high client retention rates.</t>
  </si>
  <si>
    <t>Name, Age and Tenure</t>
  </si>
  <si>
    <t>Gender</t>
  </si>
  <si>
    <t>Executive?</t>
  </si>
  <si>
    <t>Other roles</t>
  </si>
  <si>
    <t>Toby Williams, 51y/o, 7 y</t>
  </si>
  <si>
    <t>M</t>
  </si>
  <si>
    <t>Y</t>
  </si>
  <si>
    <t>CEO of Paylocity (since August 2024)</t>
  </si>
  <si>
    <t>Steve Beauchamp, 52y/o, 17y</t>
  </si>
  <si>
    <t>Former CEO of Paylocity* - now President of the board</t>
  </si>
  <si>
    <t>Linda Breard, 55, 4y</t>
  </si>
  <si>
    <t>F</t>
  </si>
  <si>
    <t>N</t>
  </si>
  <si>
    <t>Insight Enterprises Inc., PotlatchDeltic Corporation</t>
  </si>
  <si>
    <t>Virginia Breen, 60y/o, 11y</t>
  </si>
  <si>
    <t>Craig Conway, 70y/o, 7m</t>
  </si>
  <si>
    <t>Salesforce, Inc.; Nutanix. Inc.</t>
  </si>
  <si>
    <t>Jeffrey Diehl, 54y/o, 16y</t>
  </si>
  <si>
    <t>Robin Pederson, 65y/o , 4y</t>
  </si>
  <si>
    <t>Andres Reiner,  53y/o, 10y</t>
  </si>
  <si>
    <t>PROS Holdings, Inc.</t>
  </si>
  <si>
    <t>Ken Robinson, 69y/o, 4y</t>
  </si>
  <si>
    <t>Abercrombie &amp; Fitch Co.; Occidental Petroleum Company</t>
  </si>
  <si>
    <t>Steve Sarowitz, 58y/o, 28y</t>
  </si>
  <si>
    <t>Founder and owner of 17.2% of the company</t>
  </si>
  <si>
    <t>Ronald Waters, 72y/o, 10y</t>
  </si>
  <si>
    <t>COMPANY OVERVIEW</t>
  </si>
  <si>
    <t>Stock</t>
  </si>
  <si>
    <t>Liquidity and Solvency</t>
  </si>
  <si>
    <t>Segments</t>
  </si>
  <si>
    <t>Multiples</t>
  </si>
  <si>
    <t>Last Price</t>
  </si>
  <si>
    <t>Total Assets</t>
  </si>
  <si>
    <t>Regions</t>
  </si>
  <si>
    <t>% Sales</t>
  </si>
  <si>
    <t>Reporting Year</t>
  </si>
  <si>
    <t>Float</t>
  </si>
  <si>
    <t>Outstanding Shares</t>
  </si>
  <si>
    <t>Total Liabilities</t>
  </si>
  <si>
    <t>United States of America</t>
  </si>
  <si>
    <t>End of Year</t>
  </si>
  <si>
    <t>Insiders Own</t>
  </si>
  <si>
    <t>Market Cap.</t>
  </si>
  <si>
    <t>Cash/Share</t>
  </si>
  <si>
    <t>-</t>
  </si>
  <si>
    <t>EBITDA</t>
  </si>
  <si>
    <t>b (Yahoo)</t>
  </si>
  <si>
    <t>+Total Debt</t>
  </si>
  <si>
    <t>EBITDA/Net Financial Cost (NFC)</t>
  </si>
  <si>
    <t>Depreciation &amp; Amortization</t>
  </si>
  <si>
    <t>Score (S&amp;P)</t>
  </si>
  <si>
    <t>N/A</t>
  </si>
  <si>
    <t>-Cash</t>
  </si>
  <si>
    <t>Debt/EBITDA</t>
  </si>
  <si>
    <t>EBIT</t>
  </si>
  <si>
    <t>Price/Book Value</t>
  </si>
  <si>
    <t>=Enterprise Value</t>
  </si>
  <si>
    <t>"Others Assets"/Asset</t>
  </si>
  <si>
    <t>Net Income</t>
  </si>
  <si>
    <t>NCF(3y avg)/Asset</t>
  </si>
  <si>
    <t>Holdings (nac/int'l)</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</si>
  <si>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</si>
  <si>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</si>
  <si>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</si>
  <si>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</si>
  <si>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</si>
  <si>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</si>
  <si>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</si>
  <si>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</si>
  <si>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</si>
  <si>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</si>
  <si>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</si>
  <si>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</si>
  <si>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</si>
  <si>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</si>
  <si>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</si>
  <si>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</si>
  <si>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</si>
  <si>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</si>
  <si>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</si>
  <si>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</si>
  <si>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</si>
  <si>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</si>
  <si>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</si>
  <si>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</si>
  <si>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</si>
  <si>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</si>
  <si>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</si>
  <si>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</si>
  <si>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</si>
  <si>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</si>
  <si>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</si>
  <si>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BUY</t>
  </si>
  <si>
    <t>Check DCF</t>
  </si>
  <si>
    <t>Major player on the market</t>
  </si>
  <si>
    <t>The company's name is strong in the US market</t>
  </si>
  <si>
    <t>Quality product with high retention rate</t>
  </si>
  <si>
    <t>The quality of the software the company offers can be evaluated by the 92% retention rate it shows on it's annual report.</t>
  </si>
  <si>
    <t>Strong Financial perfomance</t>
  </si>
  <si>
    <t>Growing revenue with robust cash flow from operations, supporting long-term growth</t>
  </si>
  <si>
    <t>Risks of Investment</t>
  </si>
  <si>
    <t>Price Target</t>
  </si>
  <si>
    <t>Valuation</t>
  </si>
  <si>
    <t>Risk</t>
  </si>
  <si>
    <t>Discount Rate</t>
  </si>
  <si>
    <t>Price M. Upside</t>
  </si>
  <si>
    <t>High competition</t>
  </si>
  <si>
    <t>Extremely competitive market with strong competition</t>
  </si>
  <si>
    <t>Lack of transparency</t>
  </si>
  <si>
    <t>The company shows little transparency about it's segments of revenue which limits our comprehension of it's growth</t>
  </si>
  <si>
    <t>Upside</t>
  </si>
  <si>
    <t>EV M. Upside</t>
  </si>
  <si>
    <t>Dependence on US</t>
  </si>
  <si>
    <t>Heavy reliance on the US market exposes the company to regional economic risks</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</si>
  <si>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</si>
  <si>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</si>
  <si>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</si>
  <si>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</si>
  <si>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</si>
  <si>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</si>
  <si>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</si>
  <si>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</si>
  <si>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</si>
  <si>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</si>
  <si>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</si>
  <si>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</si>
  <si>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</si>
  <si>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</si>
  <si>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</si>
  <si>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</si>
  <si>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</si>
  <si>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</si>
  <si>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</si>
  <si>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</si>
  <si>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</si>
  <si>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</si>
  <si>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</si>
  <si>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</si>
  <si>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</si>
  <si>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</si>
  <si>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</si>
  <si>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</si>
  <si>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Name</t>
  </si>
  <si>
    <t>% Stake</t>
  </si>
  <si>
    <t>- Extremely solid revenue growth since 2012
- High client retention (92% revenue retention)
- Innovative features and technological edge that give the company a competitive advandage</t>
  </si>
  <si>
    <t>- Extremely high reliance on the US market.
- Lack of transparency disclosing revenue information for each segment, as the company reports operations as a single segment.
- HCM and payroll software market is highly competitive.</t>
  </si>
  <si>
    <t>Steven Sarowitz</t>
  </si>
  <si>
    <t>T. Rowe Price international Ltd.</t>
  </si>
  <si>
    <t>T. Rowe Price Associates, Inc. (inves. management)</t>
  </si>
  <si>
    <t>Vanguard Fiduciary Trust Co.</t>
  </si>
  <si>
    <t>T. Rowe Price Investment Management, Inc.</t>
  </si>
  <si>
    <t>Opportunities</t>
  </si>
  <si>
    <t>Risks</t>
  </si>
  <si>
    <t>Expansion to another markets.
Increased quality in AI tools and automation.</t>
  </si>
  <si>
    <t>Vulnerabilities to cybersecurity attacks.
Dependency on the U.S. market, which could drastically effect the revenue of the company in case of a recession on the country.</t>
  </si>
  <si>
    <t>TOTAL</t>
  </si>
  <si>
    <t>NOTES</t>
  </si>
  <si>
    <t>STOCK PERFORMANCE (5 years)</t>
  </si>
  <si>
    <t>Paylocity is an organization established in the United States of America (USA). For individuals located outside the United States, your personal information will likely be transferred to, stored, and processed in the USA or other countries outside of where you live. When we conduct such transfers, we rely on various legal bases to lawfully transfer personal information, including the European Union Commission-approved Standard Contractual Clauses (SCCs) and the United Kingdom’s International Data Transfer Agreement (IDTA).</t>
  </si>
  <si>
    <t>Products</t>
  </si>
  <si>
    <t>Nominal value</t>
  </si>
  <si>
    <t>YoY Growth</t>
  </si>
  <si>
    <t>Weight</t>
  </si>
  <si>
    <t>Region</t>
  </si>
  <si>
    <t>Category</t>
  </si>
  <si>
    <t>Cloud-based software Solution</t>
  </si>
  <si>
    <t>Description</t>
  </si>
  <si>
    <t>Graphs</t>
  </si>
  <si>
    <t>Cloud-based Software Solution</t>
  </si>
  <si>
    <t>Combines all of the company segments, HCM (Human Capital Management and Payroll solutions.</t>
  </si>
  <si>
    <t>Industry</t>
  </si>
  <si>
    <t>Graphs (Industry Forecasts)</t>
  </si>
  <si>
    <t>Drivers</t>
  </si>
  <si>
    <t>Remote and Hybrid work trends</t>
  </si>
  <si>
    <t>The increase in Remote and Hybrid work enviroments creates an increase in demand of workforce management tools in order to increase efficiency.</t>
  </si>
  <si>
    <t>Digital transformation and Cloud Adoption</t>
  </si>
  <si>
    <t>Companies are shifting away from traditional, on-premise HR and payroll systems and we can see the increase towards cloud-based solutions, focused on increasing flexibility and reducing costs.</t>
  </si>
  <si>
    <t>Sales forecast</t>
  </si>
  <si>
    <t>Source</t>
  </si>
  <si>
    <t>Market Growth CAGR</t>
  </si>
  <si>
    <t>Period</t>
  </si>
  <si>
    <t>Fortune Business Insights</t>
  </si>
  <si>
    <t>2024-2032</t>
  </si>
  <si>
    <t>Precedence Research</t>
  </si>
  <si>
    <t>2024-2034</t>
  </si>
  <si>
    <t>Mordor Intelligence</t>
  </si>
  <si>
    <t>2024-2028</t>
  </si>
  <si>
    <t>Average</t>
  </si>
  <si>
    <t>Company's Strategy / Extra Notes</t>
  </si>
  <si>
    <t>The company reports all segments as a single unit, so we cannot obtain reliable information about the growth or contribution of individual segments to the company.</t>
  </si>
  <si>
    <t>5 forces of Porter</t>
  </si>
  <si>
    <t>Very low</t>
  </si>
  <si>
    <t>Low</t>
  </si>
  <si>
    <t>Medium</t>
  </si>
  <si>
    <t>Strong</t>
  </si>
  <si>
    <t>Very strong</t>
  </si>
  <si>
    <t>Threat of New Entrants</t>
  </si>
  <si>
    <t>The market is accessible, even though it requires significant starting capital and there are numerous regulations to comply with.</t>
  </si>
  <si>
    <t>Threat of Substitutes</t>
  </si>
  <si>
    <t>Companies can make their own softwares or find different ways to organize themselfs, but that would be less efficient and thus not worthy</t>
  </si>
  <si>
    <t>Rivalry among existing companies</t>
  </si>
  <si>
    <t>ADP, Paycom, Workday and ultimate Software also have a significant market share and recognition, making differentiation (by price or quality or client support) essential</t>
  </si>
  <si>
    <t>Bargaining power of Suppliers</t>
  </si>
  <si>
    <t>There's a lot of could-services (and more coming every year) that could supply the company, giving the company all the bargaining power</t>
  </si>
  <si>
    <t>Bargaining power of buyers</t>
  </si>
  <si>
    <t>Buyers are able to chance the service to another company easily, but that would have a cost in time and money for it to happen (92% retention might come from that too)</t>
  </si>
  <si>
    <t>Invertir</t>
  </si>
  <si>
    <t>NO invertir</t>
  </si>
  <si>
    <t>Mantener sin elevar posición</t>
  </si>
  <si>
    <t>Mantener (y seguir comprando)</t>
  </si>
  <si>
    <t>Liquidar</t>
  </si>
  <si>
    <t>PENDIENTE</t>
  </si>
  <si>
    <t>Peer Logo</t>
  </si>
  <si>
    <t>Peer Name</t>
  </si>
  <si>
    <t>Paycom Software Inc</t>
  </si>
  <si>
    <t>Paycom Software, Inc. is an American online payroll and human resource software provider, founded in 1998, by Chad Richison, based in Oklahoma with offices throughout the United States. It is one of the first fully online payroll providers. It has been recognized by Fortune and Forbes as one of the fastest-growing publicly traded companies in the world, and as one of the World's Most Innovative Enterprise Companies by Fast Company in 2022.</t>
  </si>
  <si>
    <t>Paychex Inc</t>
  </si>
  <si>
    <t>Paychex, Inc. is an American company, founded in 1971 by Tom Golisano, that provides human resources, payroll, and employee benefits outsourcing services for small- to medium-sized businesses. It is headquartered in Rochester, New York. The company has more than 100 offices serving approximately 740,000 payroll clients in the U.S. and Europe. Paychex is ranked 681st on the Fortune 500 list of largest corporations by revenue.</t>
  </si>
  <si>
    <t>Automatic Data Processing Inc</t>
  </si>
  <si>
    <t>Automatic Data Processing, Inc., founded in 1949 by Henry Taub, headquartered in Roseland, New Jersey, is an American provider of human resources management software and services. It operates in two segments, Employer Services and Professional Employer Organization (PEO). The Employer Services segment offers strategic, cloud-based platforms, and human resources (HR) outsourcing solutions, the PEO Services segment provides HR and employment administration outsourcing solutions under ADP TotalSource name to businesses through a co-employment model.</t>
  </si>
  <si>
    <t>Paycor HCM Inc</t>
  </si>
  <si>
    <t>Paycor HCM, Inc. founded in 1990, headquartered in Cincinnati, Ohio, together with its subsidiaries, engages in the provision of human capital management (HCM) solutions for small and medium-sized businesses primarily in the United States. 
It offers a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and much more.</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</si>
  <si>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</si>
  <si>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</si>
  <si>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</si>
  <si>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</si>
  <si>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</si>
  <si>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</si>
  <si>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</si>
  <si>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</si>
  <si>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</si>
  <si>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</si>
  <si>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</si>
  <si>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</si>
  <si>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</si>
  <si>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</si>
  <si>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</si>
  <si>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</si>
  <si>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</si>
  <si>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</si>
  <si>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</si>
  <si>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</si>
  <si>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</si>
  <si>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</si>
  <si>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</si>
  <si>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</si>
  <si>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</si>
  <si>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</si>
  <si>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</si>
  <si>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</si>
  <si>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</si>
  <si>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</si>
  <si>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</si>
  <si>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</si>
  <si>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</si>
  <si>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EV/EBITDA Multiples</t>
  </si>
  <si>
    <t>Stock Info</t>
  </si>
  <si>
    <t>PCTY</t>
  </si>
  <si>
    <t>Paycom</t>
  </si>
  <si>
    <r>
      <t xml:space="preserve">b </t>
    </r>
    <r>
      <rPr>
        <b/>
        <sz val="10"/>
        <rFont val="Arial"/>
        <family val="2"/>
      </rPr>
      <t>(Yahoo)</t>
    </r>
  </si>
  <si>
    <t>Pychex</t>
  </si>
  <si>
    <t>Dividend Yield (yahoo finance)</t>
  </si>
  <si>
    <t>ADP</t>
  </si>
  <si>
    <t>Stock Performance</t>
  </si>
  <si>
    <t>Paycor</t>
  </si>
  <si>
    <t>1y</t>
  </si>
  <si>
    <t>3y</t>
  </si>
  <si>
    <t>Current Price</t>
  </si>
  <si>
    <t>EV/FCF Multiples</t>
  </si>
  <si>
    <t>Average Target Price</t>
  </si>
  <si>
    <t>Upside/Downside</t>
  </si>
  <si>
    <t>Extra</t>
  </si>
  <si>
    <t>Paychex</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</si>
  <si>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</si>
  <si>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</si>
  <si>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</si>
  <si>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</si>
  <si>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</si>
  <si>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</si>
  <si>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</si>
  <si>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</si>
  <si>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</si>
  <si>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</si>
  <si>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</si>
  <si>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</si>
  <si>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</si>
  <si>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</si>
  <si>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</si>
  <si>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</si>
  <si>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</si>
  <si>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</si>
  <si>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</si>
  <si>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</si>
  <si>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</si>
  <si>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WACC Benchmark</t>
  </si>
  <si>
    <t>Paycheck</t>
  </si>
  <si>
    <t>Automatic Data Processing</t>
  </si>
  <si>
    <t>Dayforce</t>
  </si>
  <si>
    <t xml:space="preserve">Paycom </t>
  </si>
  <si>
    <t>KPIs BENCHMARK</t>
  </si>
  <si>
    <t>PayCom</t>
  </si>
  <si>
    <t>Revenue</t>
  </si>
  <si>
    <t>Yoy growth</t>
  </si>
  <si>
    <t xml:space="preserve">Client Count </t>
  </si>
  <si>
    <t>Client Count (thousands)</t>
  </si>
  <si>
    <t>Sales per costumer</t>
  </si>
  <si>
    <t>Client Lifespan value</t>
  </si>
  <si>
    <t>Sales and Marketing Expense</t>
  </si>
  <si>
    <t>Costumer acquisition cost</t>
  </si>
  <si>
    <t>Discounted Costumer Lifetime value</t>
  </si>
  <si>
    <t>Net Present Value per costumer</t>
  </si>
  <si>
    <t>Average costumer lifetime (years)</t>
  </si>
  <si>
    <t>WACC</t>
  </si>
  <si>
    <t>Paylocity</t>
  </si>
  <si>
    <t>PayChex</t>
  </si>
  <si>
    <t>Client Count</t>
  </si>
  <si>
    <r>
      <t xml:space="preserve">NOTE: </t>
    </r>
    <r>
      <rPr>
        <sz val="10"/>
        <rFont val="Arial"/>
        <family val="2"/>
      </rPr>
      <t>fore more detail on the methodology and take-aways, see the same graph in the assumptions, on the Revenues forecast part</t>
    </r>
  </si>
  <si>
    <t>P/L</t>
  </si>
  <si>
    <t>3Y Average</t>
  </si>
  <si>
    <t>12 Months Ended</t>
  </si>
  <si>
    <t>Revenues</t>
  </si>
  <si>
    <t>May 31, 2024</t>
  </si>
  <si>
    <t>May 31, 2023</t>
  </si>
  <si>
    <t>May 31, 2022</t>
  </si>
  <si>
    <t>Operating expenses</t>
  </si>
  <si>
    <t>Revenue:</t>
  </si>
  <si>
    <t>RD</t>
  </si>
  <si>
    <t>Total service revenue</t>
  </si>
  <si>
    <t xml:space="preserve"> $ 5 132</t>
  </si>
  <si>
    <t xml:space="preserve"> $ 4 907,3</t>
  </si>
  <si>
    <t xml:space="preserve"> $ 4 554</t>
  </si>
  <si>
    <t>DA</t>
  </si>
  <si>
    <t>Interest on funds held for clients</t>
  </si>
  <si>
    <t>TOTAL COSTS OF REVENUES</t>
  </si>
  <si>
    <t>Total revenue</t>
  </si>
  <si>
    <t>Gross Income</t>
  </si>
  <si>
    <t>Margin</t>
  </si>
  <si>
    <t>Cost of service revenue</t>
  </si>
  <si>
    <t>SG&amp;A</t>
  </si>
  <si>
    <t>Selling, general and administrative expenses</t>
  </si>
  <si>
    <t>TOTAL EXPENSES</t>
  </si>
  <si>
    <t>Total expenses</t>
  </si>
  <si>
    <t>Other (income)/expense, net</t>
  </si>
  <si>
    <t>Operating income</t>
  </si>
  <si>
    <t>Other income/(expense), net</t>
  </si>
  <si>
    <t>Interest expense</t>
  </si>
  <si>
    <t>Income before income taxes</t>
  </si>
  <si>
    <t>EBT</t>
  </si>
  <si>
    <t>Income taxes</t>
  </si>
  <si>
    <t>Provision for income taxes</t>
  </si>
  <si>
    <t>Net income</t>
  </si>
  <si>
    <t>NET EARNINGS</t>
  </si>
  <si>
    <t>Margins</t>
  </si>
  <si>
    <t>Gross Margin</t>
  </si>
  <si>
    <t>Other comprehensive Income (loss), net of tax</t>
  </si>
  <si>
    <t>Comprehensive income</t>
  </si>
  <si>
    <t xml:space="preserve"> $ 1 705,2</t>
  </si>
  <si>
    <t xml:space="preserve"> $ 1 531,3</t>
  </si>
  <si>
    <t xml:space="preserve"> $ 1 207,1</t>
  </si>
  <si>
    <t>Basic earnings per share</t>
  </si>
  <si>
    <t xml:space="preserve"> $ 4,69</t>
  </si>
  <si>
    <t xml:space="preserve"> $ 4,32</t>
  </si>
  <si>
    <t xml:space="preserve"> $ 3,86</t>
  </si>
  <si>
    <t>BASIC EARNINGS PER SHARE (in dollars per share)</t>
  </si>
  <si>
    <t xml:space="preserve"> $ 6,10</t>
  </si>
  <si>
    <t xml:space="preserve"> $ 5,73</t>
  </si>
  <si>
    <t xml:space="preserve"> $ 5,27</t>
  </si>
  <si>
    <t>Diluted earnings per share</t>
  </si>
  <si>
    <t xml:space="preserve"> $ 4,67</t>
  </si>
  <si>
    <t xml:space="preserve"> $ 4,3</t>
  </si>
  <si>
    <t xml:space="preserve"> $ 3,84</t>
  </si>
  <si>
    <t>DILUTED EARNINGS PER SHARE (in dollars per share)</t>
  </si>
  <si>
    <t xml:space="preserve"> $ 6,07</t>
  </si>
  <si>
    <t xml:space="preserve"> $ 5,70</t>
  </si>
  <si>
    <t xml:space="preserve"> $ 5,24</t>
  </si>
  <si>
    <t>Weighted-average common shares outstanding</t>
  </si>
  <si>
    <t>Basic weighted average shares outstanding (in shares)</t>
  </si>
  <si>
    <t>Weighted-average common shares outstanding, assuming dilution</t>
  </si>
  <si>
    <t>Diluted weighted average shares outstanding (in shares)</t>
  </si>
  <si>
    <t>Management Solutions [Member]</t>
  </si>
  <si>
    <t>Revenues, Other Than Interest on Funds Held For Clients and PEO Revenues</t>
  </si>
  <si>
    <t>Revenues, other than interest on funds held for clients and PEO revenues</t>
  </si>
  <si>
    <t>REVENUES:</t>
  </si>
  <si>
    <t xml:space="preserve"> $ 3 866,4</t>
  </si>
  <si>
    <t xml:space="preserve"> $ 3 730,5</t>
  </si>
  <si>
    <t xml:space="preserve"> $ 3 442,7</t>
  </si>
  <si>
    <t>PEO And Insurance Solutions [Member]</t>
  </si>
  <si>
    <t xml:space="preserve"> $ 9 768,6</t>
  </si>
  <si>
    <t xml:space="preserve"> $ 9 538,1</t>
  </si>
  <si>
    <t xml:space="preserve"> $ 9 375,8</t>
  </si>
  <si>
    <t>Interest on Funds Held for Clients</t>
  </si>
  <si>
    <t xml:space="preserve"> $ 1 265,6</t>
  </si>
  <si>
    <t xml:space="preserve"> $ 1 176,8</t>
  </si>
  <si>
    <t xml:space="preserve"> $ 1 111,3</t>
  </si>
  <si>
    <t>PEO Revenues</t>
  </si>
  <si>
    <t>[1]</t>
  </si>
  <si>
    <t xml:space="preserve"> $ 4 814,4</t>
  </si>
  <si>
    <t xml:space="preserve"> $ 4 506,5</t>
  </si>
  <si>
    <t xml:space="preserve"> $ 4 172,5</t>
  </si>
  <si>
    <t>BS - US$ millions</t>
  </si>
  <si>
    <t>3Y Average Payout</t>
  </si>
  <si>
    <t>Consolidated Balance Sheets - USD ($) $ in Millions</t>
  </si>
  <si>
    <t>Current assets:</t>
  </si>
  <si>
    <t>Cash and cash equivalents</t>
  </si>
  <si>
    <t>Accounts receivable, net of allowance for doubtful accounts of $52.2 and $53.0, respectively</t>
  </si>
  <si>
    <t>Accounts receivable, net of allowance for doubtful accounts of $53.0 and $56.8, respectively</t>
  </si>
  <si>
    <t>Other current assets</t>
  </si>
  <si>
    <t>Total current assets before funds held for clients</t>
  </si>
  <si>
    <t>Funds held for clients</t>
  </si>
  <si>
    <t>Total current assets</t>
  </si>
  <si>
    <t>Long-term receivables, net of allowance for doubtful accounts of $0.1 and $0.1, respectively</t>
  </si>
  <si>
    <t>Property, plant and equipment, net</t>
  </si>
  <si>
    <t>Operating lease right-of-use asset</t>
  </si>
  <si>
    <t>Deferred contract costs</t>
  </si>
  <si>
    <t>Other assets</t>
  </si>
  <si>
    <t>Goodwill</t>
  </si>
  <si>
    <t>Intangible assets, net</t>
  </si>
  <si>
    <t>Total assets</t>
  </si>
  <si>
    <t>Current liabilities:</t>
  </si>
  <si>
    <t>Accounts payable</t>
  </si>
  <si>
    <t>Accrued expenses and other current liabilities</t>
  </si>
  <si>
    <t>Accrued payroll and payroll-related expenses</t>
  </si>
  <si>
    <t>Dividends payable</t>
  </si>
  <si>
    <t>Short-term deferred revenues</t>
  </si>
  <si>
    <t>Obligations under reverse repurchase agreements</t>
  </si>
  <si>
    <t>Income taxes payable</t>
  </si>
  <si>
    <t>Short-term debt</t>
  </si>
  <si>
    <t>Total current liabilities before client funds obligations</t>
  </si>
  <si>
    <t>Client funds obligations</t>
  </si>
  <si>
    <t>Total current liabilities</t>
  </si>
  <si>
    <t>Long-term debt</t>
  </si>
  <si>
    <t>Operating lease liabilities</t>
  </si>
  <si>
    <t>Other liabilities</t>
  </si>
  <si>
    <t>Deferred income taxes</t>
  </si>
  <si>
    <t>Long-term deferred revenues</t>
  </si>
  <si>
    <t>Total liabilities</t>
  </si>
  <si>
    <t>Commitments and Contingencies (Note 12)</t>
  </si>
  <si>
    <t xml:space="preserve"> </t>
  </si>
  <si>
    <t>Stockholders' equity:</t>
  </si>
  <si>
    <t>Preferred stock, $1.00 par value: Authorized, 0.3 shares; issued, none</t>
  </si>
  <si>
    <t>Common stock, $0.10 par value: authorized,1,000.0 shares; issued, 638.7 shares at June 30, 2024 and June 30, 2023; outstanding, 408.1 and 412.1 shares at June 30, 2024 and June 30, 2023, respectively</t>
  </si>
  <si>
    <t>Common stock, $0.10 par value: authorized,1,000.0 shares; issued, 638.7 shares at June 30, 2023 and June 30, 2022; outstanding, 412.1 and 416.1 shares at June 30, 2023 and June 30, 2022, respectively</t>
  </si>
  <si>
    <t>Capital in excess of par value</t>
  </si>
  <si>
    <t>Retained earnings</t>
  </si>
  <si>
    <t>Treasury stock - at cost: 230.6 and 226.6 shares at June 30, 2024 and June 30, 2023, respectively</t>
  </si>
  <si>
    <t>Treasury stock - at cost: 226.6 and 222.7 shares at June 30, 2023 and June 30, 2022, respectively</t>
  </si>
  <si>
    <t>Accumulated other comprehensive (loss)/income</t>
  </si>
  <si>
    <t>Total stockholders’ equity</t>
  </si>
  <si>
    <t>Total liabilities and stockholders’ equity</t>
  </si>
  <si>
    <t>Retantion Rate</t>
  </si>
  <si>
    <t>Cash Flows</t>
  </si>
  <si>
    <t xml:space="preserve"> $ 2 948,9</t>
  </si>
  <si>
    <t>Cash Flows from Operating Activities:</t>
  </si>
  <si>
    <t>Net earnings</t>
  </si>
  <si>
    <t xml:space="preserve"> $ 3 752</t>
  </si>
  <si>
    <t xml:space="preserve"> $ 3 412</t>
  </si>
  <si>
    <t>Non-cash items adjustments</t>
  </si>
  <si>
    <t>Depreciation and amortization</t>
  </si>
  <si>
    <t>Amortization of deferred contract costs</t>
  </si>
  <si>
    <t>Stock-based compensation expense</t>
  </si>
  <si>
    <t>Bad debt expense</t>
  </si>
  <si>
    <t>Net pension income</t>
  </si>
  <si>
    <t>Net accretion of discounts and amortization of premiums on available-for-sale securities</t>
  </si>
  <si>
    <t>Other</t>
  </si>
  <si>
    <t>Changes in operating assets and liabilities:</t>
  </si>
  <si>
    <t>(Increase)/Decrease in accounts receivable</t>
  </si>
  <si>
    <t>Increase in deferred contract costs</t>
  </si>
  <si>
    <t>Increase in other assets</t>
  </si>
  <si>
    <t>Increase/(Decrease) in accounts payable</t>
  </si>
  <si>
    <t>Increase in accrued expenses and other liabilities</t>
  </si>
  <si>
    <t>Net cash flows provided by operating activities</t>
  </si>
  <si>
    <t>Cash Flows from Investing Activities:</t>
  </si>
  <si>
    <t>Purchases of corporate and client funds marketable securities</t>
  </si>
  <si>
    <t>Proceeds from the sales and maturities of corporate and client funds marketable securities</t>
  </si>
  <si>
    <t>Capital expenditures</t>
  </si>
  <si>
    <t>Additions to intangibles</t>
  </si>
  <si>
    <t>Acquisitions of businesses, net of cash acquired</t>
  </si>
  <si>
    <t>Proceeds from the sale of property, plant, and equipment and other assets</t>
  </si>
  <si>
    <t>Net cash flows used in investing activities</t>
  </si>
  <si>
    <t>Cash Flows from Financing Activities:</t>
  </si>
  <si>
    <t>Net increase/(decrease) in client funds obligations</t>
  </si>
  <si>
    <t>Net cash received from the Internal Revenue Service</t>
  </si>
  <si>
    <t>Payments of debt</t>
  </si>
  <si>
    <t>Repurchases of common stock</t>
  </si>
  <si>
    <t>Net proceeds from stock purchase plan and stock-based compensation plans</t>
  </si>
  <si>
    <t>Dividends paid</t>
  </si>
  <si>
    <t>Net proceeds/(payments) related to reverse repurchase agreements</t>
  </si>
  <si>
    <t>Net cash flows provided by/(used in) financing activities</t>
  </si>
  <si>
    <t>Effect of exchange rate changes on cash, cash equivalents, restricted cash, and restricted cash equivalents</t>
  </si>
  <si>
    <t>Net change in cash, cash equivalents, restricted cash, and restricted cash equivalents</t>
  </si>
  <si>
    <t>Cash, cash equivalents, restricted cash, and restricted cash equivalents, beginning of year</t>
  </si>
  <si>
    <t>Cash, cash equivalents, restricted cash, and restricted cash equivalents, end of year</t>
  </si>
  <si>
    <t>Reconciliation of cash, cash equivalents, restricted cash, and restricted cash equivalents to the Consolidated Balance Sheets</t>
  </si>
  <si>
    <t>Restricted cash and restricted cash equivalents included in funds held for clients (A)</t>
  </si>
  <si>
    <t>Total cash, cash equivalents, restricted cash, and restricted cash equivalents</t>
  </si>
  <si>
    <t>Supplemental disclosures of cash flow information:</t>
  </si>
  <si>
    <t xml:space="preserve"> $ 856,8</t>
  </si>
  <si>
    <t>Cash paid for interest</t>
  </si>
  <si>
    <t>Cash paid for income taxes, net of income tax refunds</t>
  </si>
  <si>
    <t xml:space="preserve"> $ 1 185,2</t>
  </si>
  <si>
    <t xml:space="preserve"> $ 1 080,7</t>
  </si>
  <si>
    <t>M&amp;A</t>
  </si>
  <si>
    <t>Operational margin</t>
  </si>
  <si>
    <t>Buybacks</t>
  </si>
  <si>
    <t>Company GICS Sector:</t>
  </si>
  <si>
    <t>Yes</t>
  </si>
  <si>
    <t>Information Technology</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</si>
  <si>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</si>
  <si>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</si>
  <si>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</si>
  <si>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</si>
  <si>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</si>
  <si>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</si>
  <si>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</si>
  <si>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</si>
  <si>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</si>
  <si>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</si>
  <si>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</si>
  <si>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</si>
  <si>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</si>
  <si>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</si>
  <si>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</si>
  <si>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</si>
  <si>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its the first year they report</t>
  </si>
  <si>
    <t>CO2 Emissions/$M Sales</t>
  </si>
  <si>
    <t>Total Water Consumption</t>
  </si>
  <si>
    <t>Water Consumption/$M Sales</t>
  </si>
  <si>
    <t>Total Energy Consumption</t>
  </si>
  <si>
    <t>Medium High</t>
  </si>
  <si>
    <t>Energy Consumption/$M Sales</t>
  </si>
  <si>
    <t>Waste Management</t>
  </si>
  <si>
    <t>Waste Production/$M Sales</t>
  </si>
  <si>
    <t>Land Degradation/Deforestation/Biodiversity loss/Animal sufering/…</t>
  </si>
  <si>
    <t>Inputs</t>
  </si>
  <si>
    <t>Social</t>
  </si>
  <si>
    <t>Net Sales ($M)</t>
  </si>
  <si>
    <t>Employee Turnover %</t>
  </si>
  <si>
    <t>CO2 Emissions Total (Tonnes)</t>
  </si>
  <si>
    <t>Salaries &amp; Compensation</t>
  </si>
  <si>
    <t>top 15% comparably</t>
  </si>
  <si>
    <t>Water Consumption Total (Cubic Meters)</t>
  </si>
  <si>
    <t>Reputation</t>
  </si>
  <si>
    <t>Energy Consumption Total (Gigajoules)</t>
  </si>
  <si>
    <t>Discrimination Events</t>
  </si>
  <si>
    <t>Waste Production Total (Tonnes)</t>
  </si>
  <si>
    <t>Work Safety</t>
  </si>
  <si>
    <t>"Best in class"</t>
  </si>
  <si>
    <t>nothing found</t>
  </si>
  <si>
    <t>ESG Scores</t>
  </si>
  <si>
    <t>Damage to consumer health</t>
  </si>
  <si>
    <t>Refinitiv</t>
  </si>
  <si>
    <t>PXP?</t>
  </si>
  <si>
    <t>Sustainalytics</t>
  </si>
  <si>
    <t>16.7</t>
  </si>
  <si>
    <t>15.1</t>
  </si>
  <si>
    <t>16.2</t>
  </si>
  <si>
    <t>Supply chain</t>
  </si>
  <si>
    <t>ISS</t>
  </si>
  <si>
    <t>C</t>
  </si>
  <si>
    <t>C-</t>
  </si>
  <si>
    <t>C+</t>
  </si>
  <si>
    <t>Community involvement</t>
  </si>
  <si>
    <t>CDP</t>
  </si>
  <si>
    <t>B-,C</t>
  </si>
  <si>
    <t>B,B</t>
  </si>
  <si>
    <t>Public Sector</t>
  </si>
  <si>
    <t>policies on corruption and business ethics, no relevant news found</t>
  </si>
  <si>
    <t>Litigation</t>
  </si>
  <si>
    <t>one lawsuit in progress found</t>
  </si>
  <si>
    <t>Corporate Governance</t>
  </si>
  <si>
    <t>PARAMETERS</t>
  </si>
  <si>
    <t>Diversity (Gender, Age, Industry, Region)</t>
  </si>
  <si>
    <t>not much in executive positions, but some diversity, 2/10 women, 2/10 non white ethnicities, industry wise it is diverse, and age wise its not</t>
  </si>
  <si>
    <t>IMPACT</t>
  </si>
  <si>
    <t>RANKING</t>
  </si>
  <si>
    <t>MITIGATION PLAN</t>
  </si>
  <si>
    <t>% Independence</t>
  </si>
  <si>
    <t>100% independent</t>
  </si>
  <si>
    <t>Is there evidence of a plan/program ?</t>
  </si>
  <si>
    <t>average time as independent directors</t>
  </si>
  <si>
    <t>7 years</t>
  </si>
  <si>
    <t>Recent departures of directors / C-level executives?</t>
  </si>
  <si>
    <t>CTO will leave in december 2024, no info on the reason why nor on sucessors</t>
  </si>
  <si>
    <t>High</t>
  </si>
  <si>
    <t>CEO/Chairman duality</t>
  </si>
  <si>
    <t>Very high</t>
  </si>
  <si>
    <t>"Villain"</t>
  </si>
  <si>
    <t>Transparency (ESG, segments, acquisitions, other)</t>
  </si>
  <si>
    <t>environment and social information was hard to find, and mostly not on companys documents</t>
  </si>
  <si>
    <t>Time taken to report after the end of the quarter / year</t>
  </si>
  <si>
    <t>2024 proxy and sustainability statements were not found, but 4 months on previous years</t>
  </si>
  <si>
    <t>Additional participation of the CEO in other boards or excessive participation of Ch.</t>
  </si>
  <si>
    <t>Audit / Consulting</t>
  </si>
  <si>
    <t>nothing found regarding auditing expenses</t>
  </si>
  <si>
    <t>ESG-compensation related</t>
  </si>
  <si>
    <t>Management compensation schemes</t>
  </si>
  <si>
    <t>Results</t>
  </si>
  <si>
    <t>Growth vs. Previous year</t>
  </si>
  <si>
    <t>Gross Profit</t>
  </si>
  <si>
    <t>% over sales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</si>
  <si>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</si>
  <si>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</si>
  <si>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</si>
  <si>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</si>
  <si>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</si>
  <si>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</si>
  <si>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</si>
  <si>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</si>
  <si>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</si>
  <si>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</si>
  <si>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</si>
  <si>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</si>
  <si>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</si>
  <si>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</si>
  <si>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</si>
  <si>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</si>
  <si>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Leasing </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</si>
  <si>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</si>
  <si>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</si>
  <si>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</si>
  <si>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</si>
  <si>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</si>
  <si>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</si>
  <si>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</si>
  <si>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</si>
  <si>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</si>
  <si>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</si>
  <si>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</si>
  <si>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</si>
  <si>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</si>
  <si>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</si>
  <si>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</si>
  <si>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</si>
  <si>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</si>
  <si>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</si>
  <si>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</si>
  <si>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</si>
  <si>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</si>
  <si>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</si>
  <si>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Assumptions</t>
  </si>
  <si>
    <t xml:space="preserve">10Y Average </t>
  </si>
  <si>
    <t xml:space="preserve">5Y Average </t>
  </si>
  <si>
    <t xml:space="preserve">3Y Average </t>
  </si>
  <si>
    <t>Short Term Forecast</t>
  </si>
  <si>
    <t>Long Term Forecast</t>
  </si>
  <si>
    <t>Revenue growth</t>
  </si>
  <si>
    <t>Modelling Factors</t>
  </si>
  <si>
    <t>Last 10 Years</t>
  </si>
  <si>
    <t>Reference</t>
  </si>
  <si>
    <t>Depreciation factor</t>
  </si>
  <si>
    <t>% PPE</t>
  </si>
  <si>
    <t>Amortization factor</t>
  </si>
  <si>
    <t>% IA</t>
  </si>
  <si>
    <t>Stock-based comp</t>
  </si>
  <si>
    <t>% Revenue</t>
  </si>
  <si>
    <t>Tax Rate</t>
  </si>
  <si>
    <t>% EBT</t>
  </si>
  <si>
    <t>Interest Rate on debt</t>
  </si>
  <si>
    <t>% Debt</t>
  </si>
  <si>
    <t>Interest Rate on cash</t>
  </si>
  <si>
    <t xml:space="preserve">% Cash </t>
  </si>
  <si>
    <t>PPE+ROA</t>
  </si>
  <si>
    <t>- -</t>
  </si>
  <si>
    <t>Growing with CAPEX</t>
  </si>
  <si>
    <t>Working capital flows</t>
  </si>
  <si>
    <t xml:space="preserve">% Change in Revenues </t>
  </si>
  <si>
    <t>Intangible Assets</t>
  </si>
  <si>
    <t>Growing with Amortization</t>
  </si>
  <si>
    <t xml:space="preserve">CAPEX </t>
  </si>
  <si>
    <t>Acquisition factor</t>
  </si>
  <si>
    <t>% Net Income</t>
  </si>
  <si>
    <t>Repurchases</t>
  </si>
  <si>
    <t>Leases</t>
  </si>
  <si>
    <t>% EBITDA</t>
  </si>
  <si>
    <t>Forecasts</t>
  </si>
  <si>
    <t>CapEx Forecast</t>
  </si>
  <si>
    <t>CapEx</t>
  </si>
  <si>
    <t xml:space="preserve"> % of net sales</t>
  </si>
  <si>
    <t>ST</t>
  </si>
  <si>
    <t>MT</t>
  </si>
  <si>
    <t>LG</t>
  </si>
  <si>
    <t>Forecast</t>
  </si>
  <si>
    <t>Gross and operating margins</t>
  </si>
  <si>
    <t>Benchmarks</t>
  </si>
  <si>
    <t>EBIT Margin</t>
  </si>
  <si>
    <t xml:space="preserve">PayChecx </t>
  </si>
  <si>
    <t>Cost of revenues</t>
  </si>
  <si>
    <t>Gross profit</t>
  </si>
  <si>
    <t xml:space="preserve">PayCom </t>
  </si>
  <si>
    <t>% of net sales</t>
  </si>
  <si>
    <t>The company expects to increase the number of personel across all functional areas. These investments should only yield higher gross and operating margins as economies of scale as operating leverage occour.</t>
  </si>
  <si>
    <t>The 2025-2027 forecast is based on the company guidance provided in the 8K and analysts expectations. Other guidance for the long-term forecasts an increase in gross and operating margins. Given these guidelines and the company's business model similarities with Paychex (more meture stage) and PayCom (current competitor in the segment and on a similar growth stage), we their margins as benchmark for the long-term.</t>
  </si>
  <si>
    <t>X</t>
  </si>
  <si>
    <t>The lack of financial resources and strategic vision are the main barriers to the digitalization of SMEs. Those can be mitigated through innovation,</t>
  </si>
  <si>
    <t>which reduces the costs, and marketing, through which the companies with better client management shall take the most benefit.</t>
  </si>
  <si>
    <t>As such, the cost of databases (which represent most of cost of revenues) should decrease in the short-term given the current investments in infrastructure.</t>
  </si>
  <si>
    <t>The integration of AI also depends on that infastructure. Those effects will only start to have na effect on revenues in the next few years.</t>
  </si>
  <si>
    <t>Recurring Revenue</t>
  </si>
  <si>
    <t xml:space="preserve">The decrease in interest rates, and increase in competition and M&amp;A activity should result in lower margins. But from that also derives an increase in the </t>
  </si>
  <si>
    <t>SMEs segment of the total market as a percentage, given that the reduction in price allows more SMEs to close contracts.</t>
  </si>
  <si>
    <t>Also, SMEs tend to be more affected by high interest rates. The recent and projected couts should benefit more the segment than the bigger corporations</t>
  </si>
  <si>
    <t>% of SME Market Share</t>
  </si>
  <si>
    <t xml:space="preserve">Given the increase in competivity (which can also be seen in costumer lifetime net value), we were conservative and projected a modest increase in market share, </t>
  </si>
  <si>
    <t>% of Market Share</t>
  </si>
  <si>
    <t>despite Paylocity being the only company in this business with a positive costumer lifetime net present value (those KPIs also serve as a basis for the forecast).</t>
  </si>
  <si>
    <t>Total Market Value</t>
  </si>
  <si>
    <t xml:space="preserve">The competitive advantage of PCTY resides in it's proximity with the client, which can be noted in it's high percentage of recurring revenue, and low costumer acquisition cost while mantaining a positive </t>
  </si>
  <si>
    <t>SME segment share</t>
  </si>
  <si>
    <t>costumer lifetime NPV</t>
  </si>
  <si>
    <t>SME Market Value</t>
  </si>
  <si>
    <t>The difference between RR and Revenue results from the interest income on funds held for clients</t>
  </si>
  <si>
    <t>Some reports forecast 10% rates after 2030. Most of them have CAGR of 11-13% for the given period</t>
  </si>
  <si>
    <t>GR SaaS CAGR (2024-2030)</t>
  </si>
  <si>
    <t>AI-driven tools are being used for talent acquisition (screening), analyse data, automate repetitive tasks, deliver predictive insights</t>
  </si>
  <si>
    <t>Core HR segment (includes payroll, benefits admin and employee costs) represented 33% of the market share</t>
  </si>
  <si>
    <t>Talent management is set to have a CAGR of 14% (2020-2030)</t>
  </si>
  <si>
    <t>The small and medium enterprises segment is estimated to register the highest CAGR from 2024-2030 due to the increasing adoption of digital solutions among SMEs and the decrease cost of these solutions due to it's growing availability of cloud-based and subscription-based software</t>
  </si>
  <si>
    <t>The North America market accounted for a share of 34%, while Asia Pacific accounted for 21%.</t>
  </si>
  <si>
    <r>
      <rPr>
        <b/>
        <u/>
        <sz val="10"/>
        <rFont val="Arial"/>
        <family val="2"/>
      </rPr>
      <t>Note:</t>
    </r>
    <r>
      <rPr>
        <sz val="10"/>
        <rFont val="Arial"/>
        <family val="2"/>
      </rPr>
      <t>Average Client Life is 7 years</t>
    </r>
  </si>
  <si>
    <r>
      <t>Note2:</t>
    </r>
    <r>
      <rPr>
        <b/>
        <u/>
        <sz val="10"/>
        <rFont val="Arial"/>
        <family val="2"/>
      </rPr>
      <t xml:space="preserve"> </t>
    </r>
    <r>
      <rPr>
        <sz val="10"/>
        <rFont val="Arial"/>
        <family val="2"/>
      </rPr>
      <t>the Costumer Lifetime vlaue was discounted using the same discount rate as the DCF (WACC)</t>
    </r>
  </si>
  <si>
    <t>The company never paid a dividend and has no plan on doing so in the near future</t>
  </si>
  <si>
    <t>STOCK-BASED COMPENSATION</t>
  </si>
  <si>
    <t>Averages</t>
  </si>
  <si>
    <t>Sales</t>
  </si>
  <si>
    <t>2025-2030</t>
  </si>
  <si>
    <t>2030-2050</t>
  </si>
  <si>
    <t>Stock-based Comp</t>
  </si>
  <si>
    <t>% of sales</t>
  </si>
  <si>
    <t>TAX</t>
  </si>
  <si>
    <r>
      <rPr>
        <b/>
        <sz val="10"/>
        <rFont val="Arial"/>
        <family val="2"/>
      </rPr>
      <t>Note</t>
    </r>
    <r>
      <rPr>
        <sz val="10"/>
        <rFont val="Arial"/>
        <family val="2"/>
      </rPr>
      <t>: The effective tax rate for the years ended June 30, 2022, 2023 and 2024 was (8.6)%, 11.2% and 25.4%, respectively, on pre-tax income of $83,597, $158,614 and $277,015, respectively. The increase in the effective tax rate was primarily due to decreased deductions related to stock-based compensation.</t>
    </r>
  </si>
  <si>
    <t>Net Income Before Tax</t>
  </si>
  <si>
    <r>
      <rPr>
        <b/>
        <sz val="10"/>
        <rFont val="Arial"/>
        <family val="2"/>
      </rPr>
      <t>Note2</t>
    </r>
    <r>
      <rPr>
        <sz val="10"/>
        <rFont val="Arial"/>
        <family val="2"/>
      </rPr>
      <t xml:space="preserve">: The company had a 22% tax deduction due to stock-based compensation despite the percentage of stock-based compensation relative to net sales remaining the same </t>
    </r>
  </si>
  <si>
    <t>x Federal Income Tax (21%)</t>
  </si>
  <si>
    <t xml:space="preserve">The tax deduction for SBC may vary due to the timing when stock options are exercised </t>
  </si>
  <si>
    <t>Federal tax rate</t>
  </si>
  <si>
    <t>The company can deduct the difference between the exercise price and the market value of the stock at that time</t>
  </si>
  <si>
    <t xml:space="preserve">Research and development credit </t>
  </si>
  <si>
    <t>The tax deduction is based on the exercised options, which can't be precisely forecasted.</t>
  </si>
  <si>
    <t xml:space="preserve">Stock based compensation expense </t>
  </si>
  <si>
    <t>In 2022, if employees exercised options when the stock price was much higher, the company would have received a much larger tax deduction than the expense recorded for stock-based compensation on the financial statements, leading to the significant 21.9% tax reduction.</t>
  </si>
  <si>
    <t xml:space="preserve">Non deductible expenses </t>
  </si>
  <si>
    <t>Change in valuation allowance</t>
  </si>
  <si>
    <t>We used the market short-term expectations in the short-term and applied the effective rate of 21% for the long-term.</t>
  </si>
  <si>
    <t xml:space="preserve">state and local income taxes </t>
  </si>
  <si>
    <t>other</t>
  </si>
  <si>
    <t>Effictive tax rate</t>
  </si>
  <si>
    <t>Tax Interest Rate</t>
  </si>
  <si>
    <t xml:space="preserve">DEBT AND INTEREST EXPENSE </t>
  </si>
  <si>
    <t xml:space="preserve">ST Leasing </t>
  </si>
  <si>
    <r>
      <rPr>
        <b/>
        <sz val="10"/>
        <rFont val="Arial"/>
        <family val="2"/>
      </rPr>
      <t>note</t>
    </r>
    <r>
      <rPr>
        <sz val="10"/>
        <rFont val="Arial"/>
        <family val="2"/>
      </rPr>
      <t>: The Company primarily leases office space under non-cancellable operating leases expiring on various dates from July 2024 through October 2032.</t>
    </r>
  </si>
  <si>
    <t xml:space="preserve">Long term leasing </t>
  </si>
  <si>
    <t>The ompany also leases various types of office and production related equipment under non-cancellable operating leases expiring on various dates from July 2024 through December 2027.</t>
  </si>
  <si>
    <t xml:space="preserve">Leases </t>
  </si>
  <si>
    <t>Ebitda</t>
  </si>
  <si>
    <r>
      <rPr>
        <b/>
        <sz val="10"/>
        <rFont val="Arial"/>
        <family val="2"/>
      </rPr>
      <t>note2</t>
    </r>
    <r>
      <rPr>
        <sz val="10"/>
        <rFont val="Arial"/>
        <family val="2"/>
      </rPr>
      <t xml:space="preserve">: Paylocity is acquiring Airbase, a spend management software company, for $325 million. </t>
    </r>
  </si>
  <si>
    <t>This acquisition was announced in early September 2024, will expand Paylocity's capabilities beyond human capital management (HCM) to include financial and spend management features.</t>
  </si>
  <si>
    <t xml:space="preserve"> Airbase offers tools for bill pay, accounts payable automation, expense management, and corporate cards​</t>
  </si>
  <si>
    <r>
      <rPr>
        <b/>
        <sz val="10"/>
        <rFont val="Arial"/>
        <family val="2"/>
      </rPr>
      <t>note3</t>
    </r>
    <r>
      <rPr>
        <sz val="10"/>
        <rFont val="Arial"/>
        <family val="2"/>
      </rPr>
      <t>: It will be funded by borrowings under its revolving credit facility</t>
    </r>
  </si>
  <si>
    <t>undiscounted cash flows for future maturities of the Company’s operating lease liabilities</t>
  </si>
  <si>
    <t>after 2029</t>
  </si>
  <si>
    <t> The transaction is expected to close in the first or second quarter of fiscal 2025.</t>
  </si>
  <si>
    <t>UCF</t>
  </si>
  <si>
    <r>
      <rPr>
        <b/>
        <sz val="10"/>
        <rFont val="Arial"/>
        <family val="2"/>
      </rPr>
      <t>note4</t>
    </r>
    <r>
      <rPr>
        <sz val="10"/>
        <rFont val="Arial"/>
        <family val="2"/>
      </rPr>
      <t>: Any borrowings under the credit facility will generally bear interest, at the Company’s option, at a rate per annum determined by reference to either the Term SOFR rate plus the SOFR Adjustment or an adjusted base rate, in each case plus an applicable margin ranging from 0.875% to 1.500% and 0.00% to 0.500%, respectively, based on the then-applicable net total leverage ratio.</t>
    </r>
  </si>
  <si>
    <t xml:space="preserve">Dicounted </t>
  </si>
  <si>
    <r>
      <rPr>
        <b/>
        <sz val="10"/>
        <rFont val="Arial"/>
        <family val="2"/>
      </rPr>
      <t>note5</t>
    </r>
    <r>
      <rPr>
        <sz val="10"/>
        <rFont val="Arial"/>
        <family val="2"/>
      </rPr>
      <t xml:space="preserve">: The Company is required to comply with certain customary affirmative and negative covenants, including a requirement to maintain a maximum net total leverage ratio of not greater than 4.00 to 1.00, (with a step up to 4.50 to 1.00 for the 4 consecutive fiscal quarters following a fiscal quarter in which certain permitted acquisitions are consummated), and a minimum interest coverage ratio of not less than 2.00 to 1.00. </t>
    </r>
  </si>
  <si>
    <t xml:space="preserve">Net total leverage ratio </t>
  </si>
  <si>
    <t>due to its excess cash and minimal leverage the company is in a favorable position and should be paying the lowest interest rate allowed under the terms of the loan</t>
  </si>
  <si>
    <t>LT</t>
  </si>
  <si>
    <t>Interest rate on debt</t>
  </si>
  <si>
    <t>TERM SOFR (3 month)</t>
  </si>
  <si>
    <t xml:space="preserve">with premium </t>
  </si>
  <si>
    <t xml:space="preserve">average </t>
  </si>
  <si>
    <t>2025-2030 projection</t>
  </si>
  <si>
    <t>2030-2050 projection</t>
  </si>
  <si>
    <t>Acquistions net of cash</t>
  </si>
  <si>
    <t>In January 2022 Paylocity acquired Cloudsnap, a low-code integration automation platform.</t>
  </si>
  <si>
    <t>The company needs to keep buying startups to keep it´s services competitive and to avoid competition</t>
  </si>
  <si>
    <t>Varience</t>
  </si>
  <si>
    <t>Variance</t>
  </si>
  <si>
    <t>Intangibles, Net</t>
  </si>
  <si>
    <t>Expensed R&amp;D</t>
  </si>
  <si>
    <t>Accumulated Intangible Amortization</t>
  </si>
  <si>
    <t>Intangibles - Gross</t>
  </si>
  <si>
    <t>% of R&amp;D</t>
  </si>
  <si>
    <t>% increase</t>
  </si>
  <si>
    <t>Capitalized portion of R&amp;D</t>
  </si>
  <si>
    <t>Depreciation</t>
  </si>
  <si>
    <t>Amortization of capitalized internal software costs</t>
  </si>
  <si>
    <t>Intangibles tem de ter useful life definida para serem amortizados</t>
  </si>
  <si>
    <t>Amortization of acquired intangibles</t>
  </si>
  <si>
    <t>Total R&amp;D</t>
  </si>
  <si>
    <t>Amortization of Intenal-use Software</t>
  </si>
  <si>
    <t xml:space="preserve">Total Amortization </t>
  </si>
  <si>
    <t>% of Sales</t>
  </si>
  <si>
    <t xml:space="preserve"> % of sales</t>
  </si>
  <si>
    <t>% of Gross Intangibles</t>
  </si>
  <si>
    <t>Stock of Capitalized Internal-use R&amp;D</t>
  </si>
  <si>
    <t xml:space="preserve"> % of Net Intangibles</t>
  </si>
  <si>
    <t>Accumulated Amortization</t>
  </si>
  <si>
    <t>"We also capitalize a portion of our internal-use software costs, which are then all amortized as cost of revennues"</t>
  </si>
  <si>
    <t>Net PPE</t>
  </si>
  <si>
    <t>Accumulated Depereciation</t>
  </si>
  <si>
    <t>Gross PPE</t>
  </si>
  <si>
    <t>Given that the company has a stable spending on R&amp;D as a % of net sales and a regular % of R&amp;D costs capitalized, and that that amortization account for the majority of total amortization (with the other relevant component being related to acquisitions, so very unstable), amortization can in this specific</t>
  </si>
  <si>
    <t>case be forecasted as % of sales. We are not sure about the accounting practices of the capitalized R&amp;D (wheter it should add to intangibles, which doesn't happen), and also there is no correlation between amortization and gross intangibles.</t>
  </si>
  <si>
    <t>In the last years, amortization counted for 50-77% of gross intangibles, implying the disruptive event described above.</t>
  </si>
  <si>
    <t xml:space="preserve"> % of Gross PPE</t>
  </si>
  <si>
    <t>As such, we grew intangibles by giving a premium untill it grows with the discount rate</t>
  </si>
  <si>
    <r>
      <rPr>
        <b/>
        <u/>
        <sz val="10"/>
        <rFont val="Arial"/>
        <family val="2"/>
      </rPr>
      <t>Note:</t>
    </r>
    <r>
      <rPr>
        <sz val="10"/>
        <rFont val="Arial"/>
        <family val="2"/>
      </rPr>
      <t xml:space="preserve"> the acquistion of AirBase will change the values of intangibles and amortization, but such details on the deal are not disclosed yet.</t>
    </r>
  </si>
  <si>
    <t>Forecast (% of Gross PPE)</t>
  </si>
  <si>
    <t>Amortization Forecast (% of sales)</t>
  </si>
  <si>
    <t>NWC</t>
  </si>
  <si>
    <t>Historical Data</t>
  </si>
  <si>
    <t>Standard deviation</t>
  </si>
  <si>
    <t> </t>
  </si>
  <si>
    <t>chagens in revenue</t>
  </si>
  <si>
    <t>Growth</t>
  </si>
  <si>
    <t>NWC (% of sales)</t>
  </si>
  <si>
    <t>Changes in Operating assets and liabilities</t>
  </si>
  <si>
    <t>Accounts receivables</t>
  </si>
  <si>
    <t>% of revenue</t>
  </si>
  <si>
    <t>Prepaid expenses and other assets</t>
  </si>
  <si>
    <t>Accounts payables</t>
  </si>
  <si>
    <t>Accrued and other liabilities</t>
  </si>
  <si>
    <t xml:space="preserve">Changes in NWC </t>
  </si>
  <si>
    <t>% of changes in revenue</t>
  </si>
  <si>
    <t>Interest income</t>
  </si>
  <si>
    <t xml:space="preserve">Interest Income </t>
  </si>
  <si>
    <t>Funds Held for Clients</t>
  </si>
  <si>
    <t>Cash</t>
  </si>
  <si>
    <t>Cash + Funds held for Clients</t>
  </si>
  <si>
    <t>Return on cash</t>
  </si>
  <si>
    <t>2024-2030</t>
  </si>
  <si>
    <t>2030-2040</t>
  </si>
  <si>
    <t>Projection</t>
  </si>
  <si>
    <t>Company earns interest on its own cash and by investing a portion of funds held for clients in highly liquid, investment-grade marketable securities</t>
  </si>
  <si>
    <t>Leases (Operational)</t>
  </si>
  <si>
    <t>Offices are on lease and represent the most of fixed leases. The percentage of net sales should be diluted through time as revenue increases</t>
  </si>
  <si>
    <t>Operating Lease</t>
  </si>
  <si>
    <t>Discount  Rate</t>
  </si>
  <si>
    <t>Kd</t>
  </si>
  <si>
    <t>Beta</t>
  </si>
  <si>
    <t>Risk free Rate</t>
  </si>
  <si>
    <t>Ke</t>
  </si>
  <si>
    <t>Market risk premium</t>
  </si>
  <si>
    <t xml:space="preserve">Equity Risk Premium </t>
  </si>
  <si>
    <t>Rf (US10 yield)</t>
  </si>
  <si>
    <t>Firm Specific Risk</t>
  </si>
  <si>
    <t>Specific Risk</t>
  </si>
  <si>
    <t>Debt</t>
  </si>
  <si>
    <t>CAPM</t>
  </si>
  <si>
    <t>E/(E+D)</t>
  </si>
  <si>
    <t>D/(E+D)</t>
  </si>
  <si>
    <t>Benchmark</t>
  </si>
  <si>
    <r>
      <rPr>
        <b/>
        <u/>
        <sz val="10"/>
        <rFont val="Arial"/>
        <family val="2"/>
      </rPr>
      <t>Note:</t>
    </r>
    <r>
      <rPr>
        <sz val="10"/>
        <rFont val="Arial"/>
        <family val="2"/>
      </rPr>
      <t xml:space="preserve"> company doesn't report segments, so it's impossible to derive a trustworthy equity risk premium rate</t>
    </r>
  </si>
  <si>
    <t>Tax</t>
  </si>
  <si>
    <t>But both the industry and Paylocity are focused on the US market, which has na equity risk premium of 4,60%.</t>
  </si>
  <si>
    <t>If the company only operated in USA, the discount rate should be 8,50%, without considering the firm specific risk premium</t>
  </si>
  <si>
    <t>Share buybacks</t>
  </si>
  <si>
    <t>The company still has $350 million of sharebuybacks from its $500 millions share repurchase program</t>
  </si>
  <si>
    <t>The company seems to avoid the risk of dilluting it's shareholders. That risk is mentioned several times on their report as to why they avoid issuing shares, and the recent acquisition of Airbase if financed with cash and debt, which is odd for a transaction between SaaS companies, which will not dilute investors (by not issuing new shares to finance the deal)</t>
  </si>
  <si>
    <t>Projected duration for the program is 3 years</t>
  </si>
  <si>
    <t>Neither the 8k or 10k state the expected duration of the program</t>
  </si>
  <si>
    <t>BenchMark</t>
  </si>
  <si>
    <t>Workday launched a $500 million program with 12-18 months duration in 2022</t>
  </si>
  <si>
    <t>ServiceNow announced a $1,5 bn buyback in 2020, 2y duration</t>
  </si>
  <si>
    <t>Adobe intiated a $1,5 bn buyback in 2021 with 3-4y duration</t>
  </si>
  <si>
    <t xml:space="preserve">Loan </t>
  </si>
  <si>
    <t>principle</t>
  </si>
  <si>
    <t>interest</t>
  </si>
  <si>
    <t xml:space="preserve">payment </t>
  </si>
  <si>
    <t>Balance-end</t>
  </si>
  <si>
    <t xml:space="preserve">plus leasing liabilities </t>
  </si>
  <si>
    <r>
      <rPr>
        <b/>
        <u/>
        <sz val="10"/>
        <rFont val="Arial"/>
        <family val="2"/>
      </rPr>
      <t>Note:</t>
    </r>
    <r>
      <rPr>
        <sz val="10"/>
        <rFont val="Arial"/>
        <family val="2"/>
      </rPr>
      <t xml:space="preserve"> The company will finance the acquisition of AirBase with credit. Given that no pre-forma S-4 was released yet, we modelled the debt with an assumption of 10 years maturity.</t>
    </r>
  </si>
  <si>
    <t>Further changes would be needed after knowing the details of the acquisition, also given that it impacts gross intangibles, amortization, cash position and other factors.</t>
  </si>
  <si>
    <t xml:space="preserve">Given the changes in reporting standards, operational leases are no longer registed as debt; in the model, the cash outflow is considered through the margin. </t>
  </si>
  <si>
    <t>With that said, the company had no debt in the past few years, and only has prospects of obtaining new debt for the deal, and we only forecast that debt in the short and long term.</t>
  </si>
  <si>
    <t>STOCK REPURCHASES</t>
  </si>
  <si>
    <t>Stock repurchases are based on all the excess cash, which is considered all cash above 45% of yearly operational costs. For this end, a costum formula was modelled on the DCF.This benchmark and methodology proved to be the most suited for SaaS companies in past analysis.</t>
  </si>
  <si>
    <t>Median</t>
  </si>
  <si>
    <t>Cash/Operating Costs Ratio</t>
  </si>
  <si>
    <t>This historical data is useful to model share buybacks in the DCF(capped cash to buybacks), which is more precise and has a higher upside. The only mantainace needed is to update the cash/op costs ratio as eventually change the formula.</t>
  </si>
  <si>
    <t>VALUATION MODEL</t>
  </si>
  <si>
    <t>All Values in Millions USD</t>
  </si>
  <si>
    <t>Short Term</t>
  </si>
  <si>
    <t>Long Term</t>
  </si>
  <si>
    <t>Section</t>
  </si>
  <si>
    <t>Line #</t>
  </si>
  <si>
    <t>ITEM</t>
  </si>
  <si>
    <t>2021 (Real)</t>
  </si>
  <si>
    <t>2023 (Real)</t>
  </si>
  <si>
    <t>2024 (Real)</t>
  </si>
  <si>
    <t>INCOME STATEMENT</t>
  </si>
  <si>
    <t>Revenues/Sales</t>
  </si>
  <si>
    <t>EBIT/Operating Margin</t>
  </si>
  <si>
    <t>5a</t>
  </si>
  <si>
    <t>(Dep)</t>
  </si>
  <si>
    <t>5b</t>
  </si>
  <si>
    <t>(Amort)</t>
  </si>
  <si>
    <t>5c</t>
  </si>
  <si>
    <t>(Stock based compensation)</t>
  </si>
  <si>
    <t>(Net financing cost)</t>
  </si>
  <si>
    <t>Other income/(cost)</t>
  </si>
  <si>
    <t>Earnings before taxes</t>
  </si>
  <si>
    <t>(Income tax)</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</si>
  <si>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</si>
  <si>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</si>
  <si>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</si>
  <si>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</si>
  <si>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</si>
  <si>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</si>
  <si>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</si>
  <si>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</si>
  <si>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</si>
  <si>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</si>
  <si>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</si>
  <si>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</si>
  <si>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</si>
  <si>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</si>
  <si>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</si>
  <si>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</si>
  <si>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</si>
  <si>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</si>
  <si>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</si>
  <si>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</si>
  <si>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</si>
  <si>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</si>
  <si>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</si>
  <si>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</si>
  <si>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</si>
  <si>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</si>
  <si>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</si>
  <si>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</si>
  <si>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</si>
  <si>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</si>
  <si>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</si>
  <si>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</si>
  <si>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</si>
  <si>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</si>
  <si>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</si>
  <si>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</si>
  <si>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Implied DEBT/EBITDA</t>
  </si>
  <si>
    <t>Modelling factors</t>
  </si>
  <si>
    <t>Reference (line)</t>
  </si>
  <si>
    <t>% Gross PPE</t>
  </si>
  <si>
    <t>Cash/Operational Costs</t>
  </si>
  <si>
    <t>Cash/Sales</t>
  </si>
  <si>
    <t>Long-term CAGR</t>
  </si>
  <si>
    <t>Costum Growth</t>
  </si>
  <si>
    <t>NET PPE</t>
  </si>
  <si>
    <t>Capex</t>
  </si>
  <si>
    <t>%Revenue</t>
  </si>
  <si>
    <t>$ millions</t>
  </si>
  <si>
    <t>Value of flows</t>
  </si>
  <si>
    <t>Value of perpetuity</t>
  </si>
  <si>
    <t>Total Value</t>
  </si>
  <si>
    <r>
      <rPr>
        <b/>
        <u/>
        <sz val="10"/>
        <rFont val="Arial"/>
        <family val="2"/>
      </rPr>
      <t>Note:</t>
    </r>
    <r>
      <rPr>
        <sz val="10"/>
        <rFont val="Arial"/>
        <family val="2"/>
      </rPr>
      <t xml:space="preserve"> this DCF differs from the other in it's buybacks projections (see notes and formulas in the cells). This model is more precise, but might demand more mantainance.</t>
    </r>
  </si>
  <si>
    <t>Actual share price</t>
  </si>
  <si>
    <t>Total value vs Mkt Cap</t>
  </si>
  <si>
    <t>Estimated NPV per share</t>
  </si>
  <si>
    <t>Sensibility</t>
  </si>
  <si>
    <t>Sensitivity +0.1%</t>
  </si>
  <si>
    <t>Sensitivity +0.5%</t>
  </si>
  <si>
    <t>Notes</t>
  </si>
  <si>
    <t>Price where it'd be a "BUY"</t>
  </si>
  <si>
    <t>Figures in Thousands of USD</t>
  </si>
  <si>
    <t xml:space="preserve">dep &amp; amo </t>
  </si>
  <si>
    <t>Company</t>
  </si>
  <si>
    <t>Paylocity Holding Corp (NASDAQ: PCTY)</t>
  </si>
  <si>
    <t>Report in thousands</t>
  </si>
  <si>
    <t>RESULTS</t>
  </si>
  <si>
    <t>Hoja</t>
  </si>
  <si>
    <t>Nombre campo Bloomberg</t>
  </si>
  <si>
    <t>Cambio de signo</t>
  </si>
  <si>
    <t>Income Statement</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</si>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</sst>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2">
    <numFmt numFmtId="44" formatCode="_-* #,##0.00\ &quot;€&quot;_-;\-* #,##0.00\ &quot;€&quot;_-;_-* &quot;-&quot;??\ &quot;€&quot;_-;_-@_-"/>
    <numFmt numFmtId="43" formatCode="_-* #,##0.00_-;\-* #,##0.00_-;_-* &quot;-&quot;??_-;_-@_-"/>
    <numFmt numFmtId="164" formatCode="&quot;$&quot;#,##0.00_);[Red]\(&quot;$&quot;#,##0.00\)"/>
    <numFmt numFmtId="165" formatCode="_-&quot;$&quot;* #,##0.00_-;\-&quot;$&quot;* #,##0.00_-;_-&quot;$&quot;* &quot;-&quot;??_-;_-@_-"/>
    <numFmt numFmtId="166" formatCode="&quot;$&quot;#,##0.00"/>
    <numFmt numFmtId="167" formatCode="&quot;$&quot;#,##0"/>
    <numFmt numFmtId="168" formatCode="0.0%"/>
    <numFmt numFmtId="169" formatCode="0.0"/>
    <numFmt numFmtId="170" formatCode="#,##0.0"/>
    <numFmt numFmtId="171" formatCode="[$$-409]#,##0.00_ ;\-[$$-409]#,##0.00\ "/>
    <numFmt numFmtId="172" formatCode="[$$-409]#,##0.00"/>
    <numFmt numFmtId="173" formatCode="[$$-409]#,##0"/>
    <numFmt numFmtId="174" formatCode="_-[$$-409]* #,##0.00_ ;_-[$$-409]* \-#,##0.00\ ;_-[$$-409]* &quot;-&quot;??_ ;_-@_ "/>
    <numFmt numFmtId="175" formatCode="_([$$-409]* #,##0.00_);_([$$-409]* \(#,##0.00\);_([$$-409]* &quot;-&quot;??_);_(@_)"/>
    <numFmt numFmtId="176" formatCode="0.000%"/>
    <numFmt numFmtId="177" formatCode="[$$-C09]#,##0.00"/>
    <numFmt numFmtId="178" formatCode="#,##0_ ;\-#,##0\ "/>
    <numFmt numFmtId="179" formatCode="#,##0.00\ &quot;€&quot;"/>
    <numFmt numFmtId="180" formatCode="_-* #,##0.0\ &quot;€&quot;_-;\-* #,##0.0\ &quot;€&quot;_-;_-* &quot;-&quot;??\ &quot;€&quot;_-;_-@_-"/>
    <numFmt numFmtId="181" formatCode="#,##0.0\ &quot;€&quot;"/>
    <numFmt numFmtId="182" formatCode="0.0000%"/>
    <numFmt numFmtId="183" formatCode="#,#00,"/>
  </numFmts>
  <fonts count="9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sz val="9"/>
      <color indexed="81"/>
      <name val="Tahoma"/>
      <family val="2"/>
    </font>
    <font>
      <b/>
      <sz val="9"/>
      <color indexed="81"/>
      <name val="Tahoma"/>
      <family val="2"/>
    </font>
    <font>
      <sz val="10"/>
      <name val="Arial"/>
      <family val="2"/>
    </font>
    <font>
      <b/>
      <i/>
      <sz val="10"/>
      <color rgb="FF232A31"/>
      <name val="Arial"/>
      <family val="2"/>
    </font>
    <font>
      <b/>
      <i/>
      <sz val="10"/>
      <color theme="0"/>
      <name val="Arial"/>
      <family val="2"/>
    </font>
    <font>
      <sz val="11"/>
      <color rgb="FF242424"/>
      <name val="Aptos Narrow"/>
      <family val="2"/>
    </font>
    <font>
      <b/>
      <u/>
      <sz val="10"/>
      <name val="Arial"/>
      <family val="2"/>
    </font>
    <font>
      <sz val="10"/>
      <name val="Arial"/>
      <family val="2"/>
    </font>
    <font>
      <u/>
      <sz val="10"/>
      <color theme="10"/>
      <name val="Arial"/>
      <family val="2"/>
    </font>
    <font>
      <sz val="14"/>
      <color rgb="FF374151"/>
      <name val="Aptos Narrow"/>
      <family val="2"/>
    </font>
    <font>
      <sz val="14"/>
      <name val="Aptos Narrow"/>
      <family val="2"/>
    </font>
    <font>
      <sz val="8"/>
      <name val="Arial"/>
      <family val="2"/>
    </font>
    <font>
      <sz val="11"/>
      <color rgb="FF000000"/>
      <name val="Calibri"/>
      <family val="2"/>
    </font>
    <font>
      <sz val="12"/>
      <color rgb="FF323E48"/>
      <name val="Sofia-Pro"/>
      <family val="2"/>
      <charset val="1"/>
    </font>
    <font>
      <b/>
      <u/>
      <sz val="12"/>
      <color theme="0"/>
      <name val="Arial"/>
      <family val="2"/>
    </font>
  </fonts>
  <fills count="56">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theme="4" tint="0.59999389629810485"/>
        <bgColor indexed="64"/>
      </patternFill>
    </fill>
    <fill>
      <patternFill patternType="solid">
        <fgColor rgb="FFC5D9F1"/>
        <bgColor rgb="FF000000"/>
      </patternFill>
    </fill>
    <fill>
      <patternFill patternType="solid">
        <fgColor theme="3" tint="0.59999389629810485"/>
        <bgColor indexed="64"/>
      </patternFill>
    </fill>
    <fill>
      <patternFill patternType="solid">
        <fgColor rgb="FFFFFF66"/>
        <bgColor indexed="64"/>
      </patternFill>
    </fill>
    <fill>
      <patternFill patternType="solid">
        <fgColor rgb="FFBBE274"/>
        <bgColor indexed="64"/>
      </patternFill>
    </fill>
    <fill>
      <patternFill patternType="solid">
        <fgColor theme="8" tint="0.79998168889431442"/>
        <bgColor indexed="64"/>
      </patternFill>
    </fill>
    <fill>
      <patternFill patternType="solid">
        <fgColor rgb="FFFF2929"/>
        <bgColor indexed="64"/>
      </patternFill>
    </fill>
    <fill>
      <patternFill patternType="solid">
        <fgColor rgb="FFFFFFC1"/>
        <bgColor indexed="64"/>
      </patternFill>
    </fill>
    <fill>
      <patternFill patternType="solid">
        <fgColor theme="8" tint="0.59999389629810485"/>
        <bgColor indexed="64"/>
      </patternFill>
    </fill>
  </fills>
  <borders count="299">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style="thin">
        <color rgb="FF000000"/>
      </right>
      <top style="thin">
        <color rgb="FF000000"/>
      </top>
      <bottom style="thin">
        <color rgb="FF000000"/>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right style="thin">
        <color indexed="64"/>
      </right>
      <top style="thin">
        <color indexed="64"/>
      </top>
      <bottom style="medium">
        <color indexed="64"/>
      </bottom>
      <diagonal/>
    </border>
    <border>
      <left style="thin">
        <color theme="0" tint="-0.249977111117893"/>
      </left>
      <right style="thin">
        <color theme="0" tint="-0.249977111117893"/>
      </right>
      <top style="thin">
        <color theme="0" tint="-0.249977111117893"/>
      </top>
      <bottom/>
      <diagonal/>
    </border>
    <border>
      <left style="medium">
        <color rgb="FF1F497D"/>
      </left>
      <right style="thin">
        <color theme="0" tint="-0.249977111117893"/>
      </right>
      <top style="medium">
        <color rgb="FF1F497D"/>
      </top>
      <bottom style="thin">
        <color theme="0" tint="-0.249977111117893"/>
      </bottom>
      <diagonal/>
    </border>
    <border>
      <left style="thin">
        <color theme="0" tint="-0.249977111117893"/>
      </left>
      <right style="thin">
        <color theme="0" tint="-0.249977111117893"/>
      </right>
      <top style="medium">
        <color rgb="FF1F497D"/>
      </top>
      <bottom style="thin">
        <color theme="0" tint="-0.249977111117893"/>
      </bottom>
      <diagonal/>
    </border>
    <border>
      <left style="thin">
        <color theme="0" tint="-0.14999847407452621"/>
      </left>
      <right style="thin">
        <color theme="0" tint="-0.14999847407452621"/>
      </right>
      <top style="medium">
        <color rgb="FF1F497D"/>
      </top>
      <bottom/>
      <diagonal/>
    </border>
    <border>
      <left style="thin">
        <color theme="0" tint="-0.249977111117893"/>
      </left>
      <right/>
      <top style="medium">
        <color rgb="FF1F497D"/>
      </top>
      <bottom/>
      <diagonal/>
    </border>
    <border>
      <left/>
      <right style="thin">
        <color theme="0" tint="-0.249977111117893"/>
      </right>
      <top style="medium">
        <color rgb="FF1F497D"/>
      </top>
      <bottom/>
      <diagonal/>
    </border>
    <border>
      <left style="thin">
        <color theme="0" tint="-0.249977111117893"/>
      </left>
      <right style="thin">
        <color theme="0" tint="-0.249977111117893"/>
      </right>
      <top style="medium">
        <color rgb="FF1F497D"/>
      </top>
      <bottom/>
      <diagonal/>
    </border>
    <border>
      <left style="thin">
        <color theme="0" tint="-0.249977111117893"/>
      </left>
      <right style="medium">
        <color rgb="FF1F497D"/>
      </right>
      <top style="medium">
        <color rgb="FF1F497D"/>
      </top>
      <bottom/>
      <diagonal/>
    </border>
    <border>
      <left style="medium">
        <color rgb="FF1F497D"/>
      </left>
      <right style="thin">
        <color theme="0" tint="-0.249977111117893"/>
      </right>
      <top style="thin">
        <color theme="0" tint="-0.249977111117893"/>
      </top>
      <bottom style="thin">
        <color theme="0" tint="-0.249977111117893"/>
      </bottom>
      <diagonal/>
    </border>
    <border>
      <left style="thin">
        <color theme="0" tint="-0.249977111117893"/>
      </left>
      <right style="medium">
        <color rgb="FF1F497D"/>
      </right>
      <top style="thin">
        <color theme="0" tint="-0.249977111117893"/>
      </top>
      <bottom style="thin">
        <color theme="0" tint="-0.249977111117893"/>
      </bottom>
      <diagonal/>
    </border>
    <border>
      <left/>
      <right style="medium">
        <color rgb="FF1F497D"/>
      </right>
      <top style="thin">
        <color theme="0" tint="-0.249977111117893"/>
      </top>
      <bottom style="thin">
        <color theme="0" tint="-0.249977111117893"/>
      </bottom>
      <diagonal/>
    </border>
    <border>
      <left/>
      <right style="medium">
        <color rgb="FF1F497D"/>
      </right>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theme="3"/>
      </left>
      <right/>
      <top style="medium">
        <color theme="3"/>
      </top>
      <bottom/>
      <diagonal/>
    </border>
    <border>
      <left/>
      <right style="medium">
        <color theme="3"/>
      </right>
      <top style="medium">
        <color theme="3"/>
      </top>
      <bottom/>
      <diagonal/>
    </border>
    <border>
      <left/>
      <right/>
      <top style="medium">
        <color theme="3"/>
      </top>
      <bottom/>
      <diagonal/>
    </border>
    <border>
      <left/>
      <right/>
      <top/>
      <bottom style="medium">
        <color theme="3"/>
      </bottom>
      <diagonal/>
    </border>
    <border>
      <left/>
      <right style="medium">
        <color theme="3"/>
      </right>
      <top/>
      <bottom style="medium">
        <color theme="3"/>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medium">
        <color rgb="FF000000"/>
      </left>
      <right/>
      <top/>
      <bottom style="medium">
        <color theme="3"/>
      </bottom>
      <diagonal/>
    </border>
    <border>
      <left style="medium">
        <color indexed="64"/>
      </left>
      <right/>
      <top/>
      <bottom style="medium">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style="medium">
        <color indexed="64"/>
      </bottom>
      <diagonal/>
    </border>
    <border>
      <left style="medium">
        <color rgb="FF000000"/>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style="medium">
        <color indexed="64"/>
      </top>
      <bottom style="medium">
        <color indexed="64"/>
      </bottom>
      <diagonal/>
    </border>
    <border>
      <left style="thin">
        <color rgb="FF1F497D"/>
      </left>
      <right style="thin">
        <color rgb="FF1F497D"/>
      </right>
      <top style="thin">
        <color rgb="FF1F497D"/>
      </top>
      <bottom/>
      <diagonal/>
    </border>
    <border>
      <left/>
      <right/>
      <top style="thin">
        <color rgb="FF1F497D"/>
      </top>
      <bottom/>
      <diagonal/>
    </border>
    <border>
      <left style="medium">
        <color indexed="64"/>
      </left>
      <right/>
      <top style="medium">
        <color indexed="64"/>
      </top>
      <bottom style="medium">
        <color rgb="FF1F497D"/>
      </bottom>
      <diagonal/>
    </border>
    <border>
      <left style="medium">
        <color rgb="FF1F497D"/>
      </left>
      <right/>
      <top style="medium">
        <color indexed="64"/>
      </top>
      <bottom style="medium">
        <color rgb="FF1F497D"/>
      </bottom>
      <diagonal/>
    </border>
    <border>
      <left/>
      <right/>
      <top style="medium">
        <color indexed="64"/>
      </top>
      <bottom style="medium">
        <color rgb="FF1F497D"/>
      </bottom>
      <diagonal/>
    </border>
    <border>
      <left/>
      <right style="medium">
        <color indexed="64"/>
      </right>
      <top style="medium">
        <color indexed="64"/>
      </top>
      <bottom style="medium">
        <color rgb="FF1F497D"/>
      </bottom>
      <diagonal/>
    </border>
    <border>
      <left style="medium">
        <color indexed="64"/>
      </left>
      <right/>
      <top style="medium">
        <color rgb="FF1F497D"/>
      </top>
      <bottom style="medium">
        <color theme="0" tint="-0.24994659260841701"/>
      </bottom>
      <diagonal/>
    </border>
    <border>
      <left/>
      <right style="medium">
        <color indexed="64"/>
      </right>
      <top style="medium">
        <color rgb="FF1F497D"/>
      </top>
      <bottom style="medium">
        <color theme="0" tint="-0.24994659260841701"/>
      </bottom>
      <diagonal/>
    </border>
    <border>
      <left style="medium">
        <color indexed="64"/>
      </left>
      <right/>
      <top style="medium">
        <color theme="0" tint="-0.24994659260841701"/>
      </top>
      <bottom style="medium">
        <color theme="0" tint="-0.24994659260841701"/>
      </bottom>
      <diagonal/>
    </border>
    <border>
      <left/>
      <right style="medium">
        <color indexed="64"/>
      </right>
      <top style="medium">
        <color theme="0" tint="-0.24994659260841701"/>
      </top>
      <bottom style="medium">
        <color theme="0" tint="-0.24994659260841701"/>
      </bottom>
      <diagonal/>
    </border>
    <border>
      <left style="medium">
        <color indexed="64"/>
      </left>
      <right/>
      <top style="medium">
        <color theme="0" tint="-0.24994659260841701"/>
      </top>
      <bottom style="medium">
        <color indexed="64"/>
      </bottom>
      <diagonal/>
    </border>
    <border>
      <left/>
      <right/>
      <top style="medium">
        <color theme="0" tint="-0.24994659260841701"/>
      </top>
      <bottom style="medium">
        <color indexed="64"/>
      </bottom>
      <diagonal/>
    </border>
    <border>
      <left/>
      <right style="medium">
        <color indexed="64"/>
      </right>
      <top style="medium">
        <color theme="0" tint="-0.24994659260841701"/>
      </top>
      <bottom style="medium">
        <color indexed="64"/>
      </bottom>
      <diagonal/>
    </border>
    <border>
      <left style="medium">
        <color indexed="64"/>
      </left>
      <right style="thin">
        <color indexed="64"/>
      </right>
      <top style="medium">
        <color indexed="64"/>
      </top>
      <bottom style="medium">
        <color rgb="FF000000"/>
      </bottom>
      <diagonal/>
    </border>
    <border>
      <left/>
      <right style="medium">
        <color rgb="FF000000"/>
      </right>
      <top style="medium">
        <color indexed="64"/>
      </top>
      <bottom style="medium">
        <color rgb="FF000000"/>
      </bottom>
      <diagonal/>
    </border>
    <border>
      <left/>
      <right style="medium">
        <color rgb="FF000000"/>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theme="1" tint="0.24994659260841701"/>
      </left>
      <right style="thin">
        <color indexed="64"/>
      </right>
      <top style="medium">
        <color theme="1" tint="0.24994659260841701"/>
      </top>
      <bottom style="medium">
        <color indexed="64"/>
      </bottom>
      <diagonal/>
    </border>
  </borders>
  <cellStyleXfs count="39">
    <xf numFmtId="0" fontId="0" fillId="0" borderId="0"/>
    <xf numFmtId="0" fontId="17" fillId="2" borderId="1" applyNumberFormat="0" applyProtection="0">
      <alignment horizontal="left" vertical="center" readingOrder="1"/>
    </xf>
    <xf numFmtId="0" fontId="18" fillId="2" borderId="2">
      <alignment horizontal="left"/>
    </xf>
    <xf numFmtId="0" fontId="18" fillId="2" borderId="3">
      <alignment horizontal="right"/>
    </xf>
    <xf numFmtId="0" fontId="18" fillId="2" borderId="3">
      <alignment horizontal="left"/>
    </xf>
    <xf numFmtId="3" fontId="19" fillId="3" borderId="4">
      <alignment horizontal="right"/>
    </xf>
    <xf numFmtId="170" fontId="12" fillId="3" borderId="4">
      <alignment horizontal="right"/>
    </xf>
    <xf numFmtId="4" fontId="12" fillId="3" borderId="4">
      <alignment horizontal="right"/>
    </xf>
    <xf numFmtId="0" fontId="21" fillId="4" borderId="5" applyNumberFormat="0" applyAlignment="0" applyProtection="0"/>
    <xf numFmtId="0" fontId="19" fillId="3" borderId="6"/>
    <xf numFmtId="0" fontId="20" fillId="3" borderId="6"/>
    <xf numFmtId="0" fontId="11" fillId="0" borderId="0" applyNumberFormat="0" applyFill="0" applyBorder="0" applyAlignment="0" applyProtection="0">
      <alignment vertical="top"/>
      <protection locked="0"/>
    </xf>
    <xf numFmtId="165" fontId="23" fillId="0" borderId="0" applyFont="0" applyFill="0" applyBorder="0" applyAlignment="0" applyProtection="0"/>
    <xf numFmtId="165" fontId="13" fillId="0" borderId="0" applyFont="0" applyFill="0" applyBorder="0" applyAlignment="0" applyProtection="0"/>
    <xf numFmtId="0" fontId="25" fillId="0" borderId="0"/>
    <xf numFmtId="0" fontId="13" fillId="0" borderId="0"/>
    <xf numFmtId="9" fontId="9" fillId="0" borderId="0" applyFont="0" applyFill="0" applyBorder="0" applyAlignment="0" applyProtection="0"/>
    <xf numFmtId="9" fontId="23" fillId="0" borderId="0" applyFont="0" applyFill="0" applyBorder="0" applyAlignment="0" applyProtection="0"/>
    <xf numFmtId="9" fontId="13" fillId="0" borderId="0" applyFont="0" applyFill="0" applyBorder="0" applyAlignment="0" applyProtection="0"/>
    <xf numFmtId="9" fontId="25" fillId="0" borderId="0" applyFont="0" applyFill="0" applyBorder="0" applyAlignment="0" applyProtection="0"/>
    <xf numFmtId="0" fontId="8" fillId="0" borderId="0"/>
    <xf numFmtId="0" fontId="8"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7" fillId="0" borderId="0"/>
    <xf numFmtId="9" fontId="7" fillId="0" borderId="0" applyFont="0" applyFill="0" applyBorder="0" applyAlignment="0" applyProtection="0"/>
    <xf numFmtId="0" fontId="6" fillId="0" borderId="0"/>
    <xf numFmtId="0" fontId="5" fillId="0" borderId="0"/>
    <xf numFmtId="9" fontId="5" fillId="0" borderId="0" applyFont="0" applyFill="0" applyBorder="0" applyAlignment="0" applyProtection="0"/>
    <xf numFmtId="9" fontId="4" fillId="0" borderId="0" applyFont="0" applyFill="0" applyBorder="0" applyAlignment="0" applyProtection="0"/>
    <xf numFmtId="0" fontId="3" fillId="0" borderId="0"/>
    <xf numFmtId="43" fontId="83" fillId="0" borderId="0" applyFont="0" applyFill="0" applyBorder="0" applyAlignment="0" applyProtection="0"/>
    <xf numFmtId="0" fontId="2" fillId="0" borderId="0"/>
    <xf numFmtId="44" fontId="88" fillId="0" borderId="0" applyFont="0" applyFill="0" applyBorder="0" applyAlignment="0" applyProtection="0"/>
    <xf numFmtId="0" fontId="1" fillId="0" borderId="0"/>
    <xf numFmtId="0" fontId="93" fillId="0" borderId="0" applyNumberFormat="0" applyAlignment="0"/>
  </cellStyleXfs>
  <cellXfs count="1555">
    <xf numFmtId="0" fontId="0" fillId="0" borderId="0" xfId="0"/>
    <xf numFmtId="9" fontId="0" fillId="0" borderId="0" xfId="16" applyFont="1" applyAlignment="1">
      <alignment horizontal="center"/>
    </xf>
    <xf numFmtId="0" fontId="0" fillId="0" borderId="0" xfId="0" applyAlignment="1">
      <alignment horizontal="center"/>
    </xf>
    <xf numFmtId="167" fontId="0" fillId="0" borderId="0" xfId="0" applyNumberFormat="1"/>
    <xf numFmtId="10" fontId="0" fillId="0" borderId="0" xfId="0" applyNumberFormat="1" applyAlignment="1">
      <alignment horizontal="center"/>
    </xf>
    <xf numFmtId="168" fontId="0" fillId="0" borderId="0" xfId="0" applyNumberFormat="1" applyAlignment="1">
      <alignment horizontal="center"/>
    </xf>
    <xf numFmtId="0" fontId="14" fillId="0" borderId="0" xfId="0" applyFont="1" applyAlignment="1">
      <alignment horizontal="center"/>
    </xf>
    <xf numFmtId="0" fontId="27" fillId="0" borderId="0" xfId="0" applyFont="1"/>
    <xf numFmtId="0" fontId="16" fillId="0" borderId="17" xfId="0" applyFont="1" applyBorder="1"/>
    <xf numFmtId="0" fontId="24" fillId="0" borderId="0" xfId="0" applyFont="1"/>
    <xf numFmtId="0" fontId="9" fillId="0" borderId="0" xfId="0" applyFont="1"/>
    <xf numFmtId="0" fontId="9" fillId="0" borderId="17" xfId="0" applyFont="1" applyBorder="1"/>
    <xf numFmtId="0" fontId="9" fillId="0" borderId="17" xfId="0" applyFont="1" applyBorder="1" applyAlignment="1">
      <alignment horizontal="left"/>
    </xf>
    <xf numFmtId="0" fontId="14" fillId="0" borderId="0" xfId="0" applyFont="1"/>
    <xf numFmtId="167" fontId="14" fillId="0" borderId="0" xfId="0" applyNumberFormat="1" applyFont="1" applyAlignment="1">
      <alignment horizontal="center"/>
    </xf>
    <xf numFmtId="9" fontId="14" fillId="0" borderId="0" xfId="16" applyFont="1"/>
    <xf numFmtId="9" fontId="9" fillId="8" borderId="17" xfId="16" applyFont="1" applyFill="1" applyBorder="1" applyAlignment="1">
      <alignment horizontal="center"/>
    </xf>
    <xf numFmtId="10" fontId="9" fillId="8" borderId="17" xfId="0" applyNumberFormat="1" applyFont="1" applyFill="1" applyBorder="1" applyAlignment="1">
      <alignment horizontal="center"/>
    </xf>
    <xf numFmtId="0" fontId="9" fillId="8" borderId="21" xfId="0" applyFont="1" applyFill="1" applyBorder="1" applyAlignment="1">
      <alignment horizontal="center" vertical="center"/>
    </xf>
    <xf numFmtId="0" fontId="27" fillId="8" borderId="0" xfId="0" applyFont="1" applyFill="1"/>
    <xf numFmtId="0" fontId="34" fillId="0" borderId="0" xfId="0" applyFont="1"/>
    <xf numFmtId="0" fontId="27" fillId="8" borderId="0" xfId="0" applyFont="1" applyFill="1" applyAlignment="1">
      <alignment horizontal="center"/>
    </xf>
    <xf numFmtId="0" fontId="36" fillId="0" borderId="0" xfId="0" applyFont="1"/>
    <xf numFmtId="0" fontId="36" fillId="12" borderId="0" xfId="0" applyFont="1" applyFill="1"/>
    <xf numFmtId="3" fontId="36" fillId="0" borderId="0" xfId="0" applyNumberFormat="1" applyFont="1" applyAlignment="1">
      <alignment horizontal="center"/>
    </xf>
    <xf numFmtId="0" fontId="36" fillId="0" borderId="0" xfId="0" applyFont="1" applyAlignment="1">
      <alignment horizontal="left"/>
    </xf>
    <xf numFmtId="0" fontId="36" fillId="19" borderId="0" xfId="0" applyFont="1" applyFill="1"/>
    <xf numFmtId="3" fontId="36" fillId="19" borderId="0" xfId="0" applyNumberFormat="1" applyFont="1" applyFill="1" applyAlignment="1">
      <alignment horizontal="center"/>
    </xf>
    <xf numFmtId="0" fontId="0" fillId="12" borderId="0" xfId="0" applyFill="1"/>
    <xf numFmtId="3" fontId="36" fillId="0" borderId="0" xfId="0" applyNumberFormat="1" applyFont="1"/>
    <xf numFmtId="3" fontId="37" fillId="19" borderId="0" xfId="0" applyNumberFormat="1" applyFont="1" applyFill="1" applyAlignment="1">
      <alignment horizontal="center"/>
    </xf>
    <xf numFmtId="3" fontId="36" fillId="12" borderId="0" xfId="0" applyNumberFormat="1" applyFont="1" applyFill="1" applyAlignment="1">
      <alignment horizontal="center"/>
    </xf>
    <xf numFmtId="3" fontId="37" fillId="12" borderId="0" xfId="0" applyNumberFormat="1" applyFont="1" applyFill="1" applyAlignment="1">
      <alignment horizontal="center"/>
    </xf>
    <xf numFmtId="0" fontId="20" fillId="3" borderId="6" xfId="10"/>
    <xf numFmtId="0" fontId="0" fillId="20" borderId="0" xfId="0" applyFill="1"/>
    <xf numFmtId="3" fontId="24" fillId="0" borderId="0" xfId="0" applyNumberFormat="1" applyFont="1" applyAlignment="1">
      <alignment horizontal="center"/>
    </xf>
    <xf numFmtId="3" fontId="24" fillId="0" borderId="0" xfId="0" applyNumberFormat="1" applyFont="1"/>
    <xf numFmtId="0" fontId="0" fillId="21" borderId="0" xfId="0" applyFill="1"/>
    <xf numFmtId="3" fontId="24" fillId="19" borderId="0" xfId="0" applyNumberFormat="1" applyFont="1" applyFill="1" applyAlignment="1">
      <alignment horizontal="center"/>
    </xf>
    <xf numFmtId="0" fontId="24" fillId="19" borderId="0" xfId="0" applyFont="1" applyFill="1"/>
    <xf numFmtId="0" fontId="0" fillId="22" borderId="0" xfId="0" applyFill="1"/>
    <xf numFmtId="170" fontId="36" fillId="0" borderId="0" xfId="0" applyNumberFormat="1" applyFont="1" applyAlignment="1">
      <alignment horizontal="center"/>
    </xf>
    <xf numFmtId="9" fontId="0" fillId="8" borderId="17" xfId="16" applyFont="1" applyFill="1" applyBorder="1" applyAlignment="1">
      <alignment horizontal="center"/>
    </xf>
    <xf numFmtId="0" fontId="39" fillId="0" borderId="0" xfId="0" applyFont="1"/>
    <xf numFmtId="0" fontId="40" fillId="0" borderId="0" xfId="0" applyFont="1"/>
    <xf numFmtId="0" fontId="41" fillId="0" borderId="0" xfId="0" applyFont="1" applyAlignment="1">
      <alignment horizontal="center"/>
    </xf>
    <xf numFmtId="169" fontId="40" fillId="0" borderId="0" xfId="0" applyNumberFormat="1" applyFont="1" applyAlignment="1">
      <alignment horizontal="center"/>
    </xf>
    <xf numFmtId="0" fontId="42" fillId="0" borderId="0" xfId="0" applyFont="1"/>
    <xf numFmtId="0" fontId="43" fillId="0" borderId="0" xfId="0" applyFont="1"/>
    <xf numFmtId="0" fontId="0" fillId="0" borderId="12" xfId="0" applyBorder="1"/>
    <xf numFmtId="0" fontId="24" fillId="0" borderId="0" xfId="0" applyFont="1" applyAlignment="1">
      <alignment horizontal="center"/>
    </xf>
    <xf numFmtId="0" fontId="40" fillId="0" borderId="0" xfId="0" applyFont="1" applyAlignment="1">
      <alignment horizontal="center"/>
    </xf>
    <xf numFmtId="167" fontId="9" fillId="24" borderId="17" xfId="0" applyNumberFormat="1" applyFont="1" applyFill="1" applyBorder="1" applyAlignment="1">
      <alignment horizontal="center"/>
    </xf>
    <xf numFmtId="3" fontId="39" fillId="0" borderId="0" xfId="0" applyNumberFormat="1" applyFont="1"/>
    <xf numFmtId="0" fontId="41" fillId="17" borderId="0" xfId="0" applyFont="1" applyFill="1" applyAlignment="1">
      <alignment horizontal="center"/>
    </xf>
    <xf numFmtId="3" fontId="0" fillId="25" borderId="1" xfId="0" applyNumberFormat="1" applyFill="1" applyBorder="1" applyAlignment="1">
      <alignment horizontal="center"/>
    </xf>
    <xf numFmtId="3" fontId="0" fillId="25" borderId="39" xfId="0" applyNumberFormat="1" applyFill="1" applyBorder="1" applyAlignment="1">
      <alignment horizontal="center"/>
    </xf>
    <xf numFmtId="168" fontId="14" fillId="26" borderId="1" xfId="16" applyNumberFormat="1" applyFont="1" applyFill="1" applyBorder="1" applyAlignment="1">
      <alignment horizontal="center"/>
    </xf>
    <xf numFmtId="168" fontId="14" fillId="26" borderId="39"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39" xfId="16" applyNumberFormat="1" applyFont="1" applyFill="1" applyBorder="1" applyAlignment="1">
      <alignment horizontal="center"/>
    </xf>
    <xf numFmtId="3" fontId="14" fillId="27" borderId="1" xfId="16" applyNumberFormat="1" applyFont="1" applyFill="1" applyBorder="1" applyAlignment="1">
      <alignment horizontal="center"/>
    </xf>
    <xf numFmtId="3" fontId="0" fillId="0" borderId="0" xfId="0" applyNumberFormat="1" applyAlignment="1">
      <alignment horizontal="center"/>
    </xf>
    <xf numFmtId="169" fontId="0" fillId="0" borderId="0" xfId="0" applyNumberFormat="1" applyAlignment="1">
      <alignment horizontal="center"/>
    </xf>
    <xf numFmtId="170" fontId="36" fillId="19" borderId="0" xfId="0" applyNumberFormat="1" applyFont="1" applyFill="1" applyAlignment="1">
      <alignment horizontal="center"/>
    </xf>
    <xf numFmtId="0" fontId="36" fillId="19" borderId="0" xfId="0" applyFont="1" applyFill="1" applyAlignment="1">
      <alignment horizontal="center"/>
    </xf>
    <xf numFmtId="168" fontId="36" fillId="19" borderId="0" xfId="0" applyNumberFormat="1" applyFont="1" applyFill="1" applyAlignment="1">
      <alignment horizontal="center"/>
    </xf>
    <xf numFmtId="9" fontId="36" fillId="0" borderId="0" xfId="16" applyFont="1" applyFill="1" applyAlignment="1">
      <alignment horizontal="center"/>
    </xf>
    <xf numFmtId="168" fontId="36" fillId="0" borderId="0" xfId="16" applyNumberFormat="1" applyFont="1" applyFill="1" applyAlignment="1">
      <alignment horizontal="center"/>
    </xf>
    <xf numFmtId="9" fontId="36" fillId="0" borderId="0" xfId="22" applyFont="1" applyFill="1" applyAlignment="1">
      <alignment horizontal="center"/>
    </xf>
    <xf numFmtId="172" fontId="9" fillId="24" borderId="17" xfId="0" applyNumberFormat="1" applyFont="1" applyFill="1" applyBorder="1" applyAlignment="1">
      <alignment horizontal="center"/>
    </xf>
    <xf numFmtId="168" fontId="34" fillId="24" borderId="17" xfId="16" applyNumberFormat="1" applyFont="1" applyFill="1" applyBorder="1" applyAlignment="1">
      <alignment horizontal="center"/>
    </xf>
    <xf numFmtId="0" fontId="14" fillId="0" borderId="32" xfId="0" applyFont="1" applyBorder="1"/>
    <xf numFmtId="0" fontId="18" fillId="5" borderId="8" xfId="4" applyFill="1" applyBorder="1" applyAlignment="1"/>
    <xf numFmtId="0" fontId="9" fillId="0" borderId="0" xfId="26"/>
    <xf numFmtId="0" fontId="28" fillId="5" borderId="7" xfId="26" applyFont="1" applyFill="1" applyBorder="1" applyAlignment="1">
      <alignment horizontal="center"/>
    </xf>
    <xf numFmtId="0" fontId="28" fillId="5" borderId="11" xfId="26" applyFont="1" applyFill="1" applyBorder="1" applyAlignment="1">
      <alignment horizontal="center"/>
    </xf>
    <xf numFmtId="0" fontId="30" fillId="3" borderId="10" xfId="10" applyFont="1" applyBorder="1"/>
    <xf numFmtId="0" fontId="9" fillId="0" borderId="0" xfId="26" applyAlignment="1">
      <alignment vertical="center"/>
    </xf>
    <xf numFmtId="0" fontId="30" fillId="3" borderId="13" xfId="10" applyFont="1" applyBorder="1"/>
    <xf numFmtId="0" fontId="30" fillId="0" borderId="10" xfId="10" applyFont="1" applyFill="1" applyBorder="1"/>
    <xf numFmtId="0" fontId="21" fillId="0" borderId="0" xfId="8" applyFill="1" applyBorder="1"/>
    <xf numFmtId="9" fontId="9" fillId="0" borderId="0" xfId="28" applyFont="1"/>
    <xf numFmtId="0" fontId="31" fillId="0" borderId="0" xfId="11" applyFont="1" applyAlignment="1" applyProtection="1"/>
    <xf numFmtId="0" fontId="28" fillId="29" borderId="0" xfId="26" applyFont="1" applyFill="1" applyAlignment="1">
      <alignment horizontal="center" vertical="center"/>
    </xf>
    <xf numFmtId="0" fontId="29" fillId="0" borderId="9" xfId="9" applyFont="1" applyFill="1" applyBorder="1"/>
    <xf numFmtId="0" fontId="20" fillId="3" borderId="13" xfId="10" applyBorder="1"/>
    <xf numFmtId="0" fontId="20" fillId="3" borderId="10" xfId="10" applyBorder="1"/>
    <xf numFmtId="0" fontId="27" fillId="0" borderId="0" xfId="26" applyFont="1"/>
    <xf numFmtId="0" fontId="14" fillId="0" borderId="27" xfId="0" applyFont="1" applyBorder="1"/>
    <xf numFmtId="0" fontId="14" fillId="0" borderId="33" xfId="0" applyFont="1" applyBorder="1"/>
    <xf numFmtId="0" fontId="0" fillId="0" borderId="4" xfId="0" applyBorder="1"/>
    <xf numFmtId="0" fontId="0" fillId="0" borderId="6" xfId="0" applyBorder="1"/>
    <xf numFmtId="0" fontId="0" fillId="0" borderId="31" xfId="0" applyBorder="1"/>
    <xf numFmtId="0" fontId="0" fillId="0" borderId="2" xfId="0" applyBorder="1"/>
    <xf numFmtId="0" fontId="0" fillId="0" borderId="32" xfId="0" applyBorder="1"/>
    <xf numFmtId="0" fontId="0" fillId="0" borderId="27" xfId="0" applyBorder="1"/>
    <xf numFmtId="0" fontId="0" fillId="0" borderId="33" xfId="0" applyBorder="1"/>
    <xf numFmtId="0" fontId="14" fillId="0" borderId="38" xfId="0" applyFont="1" applyBorder="1"/>
    <xf numFmtId="0" fontId="14" fillId="0" borderId="1" xfId="0" applyFont="1" applyBorder="1"/>
    <xf numFmtId="0" fontId="14" fillId="0" borderId="39" xfId="0" applyFont="1" applyBorder="1"/>
    <xf numFmtId="0" fontId="0" fillId="8" borderId="0" xfId="0" applyFill="1"/>
    <xf numFmtId="0" fontId="36" fillId="19" borderId="0" xfId="0" applyFont="1" applyFill="1" applyAlignment="1">
      <alignment horizontal="left" indent="1"/>
    </xf>
    <xf numFmtId="170" fontId="36" fillId="19" borderId="0" xfId="0" applyNumberFormat="1" applyFont="1" applyFill="1" applyAlignment="1">
      <alignment horizontal="left" indent="1"/>
    </xf>
    <xf numFmtId="0" fontId="36" fillId="30" borderId="0" xfId="0" applyFont="1" applyFill="1" applyAlignment="1">
      <alignment horizontal="left" indent="1"/>
    </xf>
    <xf numFmtId="0" fontId="24" fillId="0" borderId="0" xfId="0" applyFont="1" applyAlignment="1">
      <alignment horizontal="left"/>
    </xf>
    <xf numFmtId="0" fontId="28" fillId="32" borderId="23" xfId="0" applyFont="1" applyFill="1" applyBorder="1" applyAlignment="1">
      <alignment horizontal="center"/>
    </xf>
    <xf numFmtId="0" fontId="28" fillId="32" borderId="20" xfId="0" applyFont="1" applyFill="1" applyBorder="1" applyAlignment="1">
      <alignment horizontal="center"/>
    </xf>
    <xf numFmtId="9" fontId="34" fillId="8" borderId="46" xfId="16" applyFont="1" applyFill="1" applyBorder="1" applyAlignment="1">
      <alignment horizontal="center"/>
    </xf>
    <xf numFmtId="9" fontId="9" fillId="8" borderId="46" xfId="16" applyFont="1" applyFill="1" applyBorder="1" applyAlignment="1">
      <alignment horizontal="center"/>
    </xf>
    <xf numFmtId="0" fontId="14" fillId="0" borderId="46" xfId="0" applyFont="1" applyBorder="1" applyAlignment="1">
      <alignment horizontal="center"/>
    </xf>
    <xf numFmtId="168" fontId="34" fillId="24" borderId="46" xfId="16" applyNumberFormat="1" applyFont="1" applyFill="1" applyBorder="1" applyAlignment="1">
      <alignment horizontal="center"/>
    </xf>
    <xf numFmtId="0" fontId="28" fillId="32" borderId="17" xfId="0" applyFont="1" applyFill="1" applyBorder="1" applyAlignment="1">
      <alignment horizontal="center" vertical="center" wrapText="1"/>
    </xf>
    <xf numFmtId="0" fontId="9" fillId="8" borderId="17" xfId="0" applyFont="1" applyFill="1" applyBorder="1" applyAlignment="1">
      <alignment vertical="center" wrapText="1"/>
    </xf>
    <xf numFmtId="0" fontId="28" fillId="32" borderId="46" xfId="0" applyFont="1" applyFill="1" applyBorder="1" applyAlignment="1">
      <alignment horizontal="center"/>
    </xf>
    <xf numFmtId="3" fontId="9" fillId="0" borderId="0" xfId="0" applyNumberFormat="1" applyFont="1"/>
    <xf numFmtId="0" fontId="9" fillId="17" borderId="38" xfId="0" applyFont="1" applyFill="1" applyBorder="1"/>
    <xf numFmtId="0" fontId="9" fillId="0" borderId="38" xfId="0" applyFont="1" applyBorder="1" applyAlignment="1">
      <alignment horizontal="left" indent="1"/>
    </xf>
    <xf numFmtId="0" fontId="9" fillId="0" borderId="38" xfId="0" applyFont="1" applyBorder="1" applyAlignment="1">
      <alignment horizontal="left"/>
    </xf>
    <xf numFmtId="0" fontId="9" fillId="17" borderId="38" xfId="0" applyFont="1" applyFill="1" applyBorder="1" applyAlignment="1">
      <alignment horizontal="left" indent="1"/>
    </xf>
    <xf numFmtId="0" fontId="14" fillId="0" borderId="38" xfId="0" applyFont="1" applyBorder="1" applyAlignment="1">
      <alignment horizontal="left"/>
    </xf>
    <xf numFmtId="0" fontId="14" fillId="17" borderId="38" xfId="0" applyFont="1" applyFill="1" applyBorder="1"/>
    <xf numFmtId="0" fontId="9" fillId="0" borderId="38" xfId="0" applyFont="1" applyBorder="1"/>
    <xf numFmtId="173" fontId="9" fillId="24" borderId="17" xfId="0" applyNumberFormat="1" applyFont="1" applyFill="1" applyBorder="1" applyAlignment="1">
      <alignment horizontal="center"/>
    </xf>
    <xf numFmtId="9" fontId="9" fillId="24" borderId="17" xfId="16" applyFont="1" applyFill="1" applyBorder="1" applyAlignment="1">
      <alignment horizontal="center"/>
    </xf>
    <xf numFmtId="167" fontId="9" fillId="7" borderId="17" xfId="0" applyNumberFormat="1" applyFont="1" applyFill="1" applyBorder="1" applyAlignment="1">
      <alignment horizontal="center"/>
    </xf>
    <xf numFmtId="4" fontId="9" fillId="7" borderId="17" xfId="0" applyNumberFormat="1" applyFont="1" applyFill="1" applyBorder="1" applyAlignment="1">
      <alignment horizontal="center"/>
    </xf>
    <xf numFmtId="9" fontId="34" fillId="7" borderId="46" xfId="16" applyFont="1" applyFill="1" applyBorder="1" applyAlignment="1">
      <alignment horizontal="center"/>
    </xf>
    <xf numFmtId="0" fontId="9" fillId="7" borderId="17" xfId="0" applyFont="1" applyFill="1" applyBorder="1"/>
    <xf numFmtId="9" fontId="9" fillId="7" borderId="17" xfId="16" applyFont="1" applyFill="1" applyBorder="1" applyAlignment="1">
      <alignment horizontal="center"/>
    </xf>
    <xf numFmtId="168" fontId="9" fillId="7" borderId="17" xfId="16" applyNumberFormat="1" applyFont="1" applyFill="1" applyBorder="1" applyAlignment="1">
      <alignment horizontal="center"/>
    </xf>
    <xf numFmtId="9" fontId="9" fillId="7" borderId="17" xfId="16" applyFont="1" applyFill="1" applyBorder="1"/>
    <xf numFmtId="173" fontId="34" fillId="8" borderId="46" xfId="16" applyNumberFormat="1" applyFont="1" applyFill="1" applyBorder="1" applyAlignment="1">
      <alignment horizontal="center"/>
    </xf>
    <xf numFmtId="173" fontId="9" fillId="8" borderId="46" xfId="0" applyNumberFormat="1" applyFont="1" applyFill="1" applyBorder="1" applyAlignment="1">
      <alignment horizontal="center"/>
    </xf>
    <xf numFmtId="0" fontId="49" fillId="32" borderId="46" xfId="0" applyFont="1" applyFill="1" applyBorder="1" applyAlignment="1">
      <alignment horizontal="center"/>
    </xf>
    <xf numFmtId="0" fontId="50" fillId="32" borderId="46" xfId="0" applyFont="1" applyFill="1" applyBorder="1" applyAlignment="1">
      <alignment horizontal="center"/>
    </xf>
    <xf numFmtId="167" fontId="14" fillId="24" borderId="17" xfId="0" applyNumberFormat="1" applyFont="1" applyFill="1" applyBorder="1" applyAlignment="1">
      <alignment horizontal="center"/>
    </xf>
    <xf numFmtId="0" fontId="14" fillId="14" borderId="12" xfId="0" applyFont="1" applyFill="1" applyBorder="1" applyAlignment="1">
      <alignment horizontal="center"/>
    </xf>
    <xf numFmtId="0" fontId="0" fillId="0" borderId="44" xfId="0" applyBorder="1"/>
    <xf numFmtId="0" fontId="0" fillId="0" borderId="59" xfId="0" applyBorder="1"/>
    <xf numFmtId="0" fontId="14" fillId="0" borderId="77" xfId="0" applyFont="1" applyBorder="1" applyAlignment="1">
      <alignment horizontal="left"/>
    </xf>
    <xf numFmtId="0" fontId="14" fillId="0" borderId="78" xfId="0" applyFont="1" applyBorder="1" applyAlignment="1">
      <alignment horizontal="left"/>
    </xf>
    <xf numFmtId="9" fontId="0" fillId="0" borderId="55" xfId="0" applyNumberFormat="1" applyBorder="1"/>
    <xf numFmtId="167" fontId="0" fillId="0" borderId="72" xfId="0" applyNumberFormat="1" applyBorder="1" applyAlignment="1">
      <alignment horizontal="center"/>
    </xf>
    <xf numFmtId="167" fontId="0" fillId="0" borderId="75" xfId="0" applyNumberFormat="1" applyBorder="1" applyAlignment="1">
      <alignment horizontal="center"/>
    </xf>
    <xf numFmtId="0" fontId="0" fillId="33" borderId="79" xfId="0" applyFill="1" applyBorder="1"/>
    <xf numFmtId="0" fontId="0" fillId="33" borderId="80" xfId="0" applyFill="1" applyBorder="1"/>
    <xf numFmtId="10" fontId="0" fillId="33" borderId="80" xfId="0" applyNumberFormat="1" applyFill="1" applyBorder="1"/>
    <xf numFmtId="0" fontId="14" fillId="8" borderId="34" xfId="0" applyFont="1" applyFill="1" applyBorder="1" applyAlignment="1">
      <alignment horizontal="center"/>
    </xf>
    <xf numFmtId="9" fontId="0" fillId="0" borderId="82" xfId="16" applyFont="1" applyBorder="1"/>
    <xf numFmtId="0" fontId="14" fillId="0" borderId="82" xfId="0" applyFont="1" applyBorder="1"/>
    <xf numFmtId="0" fontId="14" fillId="14" borderId="54" xfId="0" applyFont="1" applyFill="1" applyBorder="1" applyAlignment="1">
      <alignment horizontal="center"/>
    </xf>
    <xf numFmtId="9" fontId="14" fillId="14" borderId="54" xfId="16" applyFont="1" applyFill="1" applyBorder="1" applyAlignment="1">
      <alignment horizontal="center"/>
    </xf>
    <xf numFmtId="0" fontId="14" fillId="0" borderId="54" xfId="0" applyFont="1" applyBorder="1" applyAlignment="1">
      <alignment horizontal="center"/>
    </xf>
    <xf numFmtId="167" fontId="0" fillId="0" borderId="83" xfId="0" applyNumberFormat="1" applyBorder="1" applyAlignment="1">
      <alignment horizontal="center"/>
    </xf>
    <xf numFmtId="0" fontId="14" fillId="0" borderId="84" xfId="0" applyFont="1" applyBorder="1"/>
    <xf numFmtId="0" fontId="0" fillId="0" borderId="56" xfId="0" applyBorder="1"/>
    <xf numFmtId="0" fontId="0" fillId="0" borderId="57" xfId="0" applyBorder="1"/>
    <xf numFmtId="0" fontId="0" fillId="0" borderId="58" xfId="0" applyBorder="1"/>
    <xf numFmtId="0" fontId="0" fillId="0" borderId="45" xfId="0" applyBorder="1"/>
    <xf numFmtId="0" fontId="0" fillId="0" borderId="64" xfId="0" applyBorder="1"/>
    <xf numFmtId="0" fontId="0" fillId="0" borderId="65" xfId="0" applyBorder="1"/>
    <xf numFmtId="9" fontId="0" fillId="0" borderId="0" xfId="0" applyNumberFormat="1"/>
    <xf numFmtId="0" fontId="14" fillId="14" borderId="81" xfId="0" applyFont="1" applyFill="1" applyBorder="1" applyAlignment="1">
      <alignment horizontal="center"/>
    </xf>
    <xf numFmtId="0" fontId="0" fillId="33" borderId="61" xfId="0" applyFill="1" applyBorder="1"/>
    <xf numFmtId="0" fontId="0" fillId="33" borderId="63" xfId="0" applyFill="1" applyBorder="1"/>
    <xf numFmtId="0" fontId="14" fillId="0" borderId="61" xfId="0" applyFont="1" applyBorder="1" applyAlignment="1">
      <alignment horizontal="center"/>
    </xf>
    <xf numFmtId="167" fontId="0" fillId="0" borderId="73" xfId="0" applyNumberFormat="1" applyBorder="1" applyAlignment="1">
      <alignment horizontal="center"/>
    </xf>
    <xf numFmtId="167" fontId="0" fillId="0" borderId="76" xfId="0" applyNumberFormat="1" applyBorder="1" applyAlignment="1">
      <alignment horizontal="center"/>
    </xf>
    <xf numFmtId="0" fontId="14" fillId="8" borderId="9" xfId="0" applyFont="1" applyFill="1" applyBorder="1" applyAlignment="1">
      <alignment horizontal="center"/>
    </xf>
    <xf numFmtId="173" fontId="0" fillId="0" borderId="87" xfId="0" applyNumberFormat="1" applyBorder="1" applyAlignment="1">
      <alignment horizontal="center"/>
    </xf>
    <xf numFmtId="173" fontId="0" fillId="0" borderId="89" xfId="0" applyNumberFormat="1" applyBorder="1" applyAlignment="1">
      <alignment horizontal="center"/>
    </xf>
    <xf numFmtId="0" fontId="0" fillId="31" borderId="62" xfId="0" applyFill="1" applyBorder="1"/>
    <xf numFmtId="0" fontId="28" fillId="31" borderId="62" xfId="0" applyFont="1" applyFill="1" applyBorder="1" applyAlignment="1">
      <alignment horizontal="left"/>
    </xf>
    <xf numFmtId="171" fontId="28" fillId="31" borderId="63" xfId="0" applyNumberFormat="1" applyFont="1" applyFill="1" applyBorder="1" applyAlignment="1">
      <alignment horizontal="center" vertical="center"/>
    </xf>
    <xf numFmtId="0" fontId="0" fillId="32" borderId="97" xfId="0" applyFill="1" applyBorder="1"/>
    <xf numFmtId="0" fontId="0" fillId="32" borderId="89" xfId="0" applyFill="1" applyBorder="1"/>
    <xf numFmtId="0" fontId="14" fillId="0" borderId="90" xfId="0" applyFont="1" applyBorder="1" applyAlignment="1">
      <alignment horizontal="left" vertical="center"/>
    </xf>
    <xf numFmtId="0" fontId="48" fillId="5" borderId="61" xfId="0" applyFont="1" applyFill="1" applyBorder="1" applyAlignment="1">
      <alignment horizontal="left" vertical="center"/>
    </xf>
    <xf numFmtId="0" fontId="48" fillId="31" borderId="61" xfId="0" applyFont="1" applyFill="1" applyBorder="1" applyAlignment="1">
      <alignment horizontal="left" vertical="center"/>
    </xf>
    <xf numFmtId="0" fontId="48" fillId="13" borderId="63" xfId="0" applyFont="1" applyFill="1" applyBorder="1" applyAlignment="1">
      <alignment horizontal="center"/>
    </xf>
    <xf numFmtId="0" fontId="14" fillId="8" borderId="90" xfId="0" applyFont="1" applyFill="1" applyBorder="1" applyAlignment="1">
      <alignment horizontal="left" vertical="center"/>
    </xf>
    <xf numFmtId="0" fontId="14" fillId="8" borderId="92" xfId="0" applyFont="1" applyFill="1" applyBorder="1" applyAlignment="1">
      <alignment horizontal="left" vertical="center"/>
    </xf>
    <xf numFmtId="0" fontId="0" fillId="31" borderId="62" xfId="0" applyFill="1" applyBorder="1" applyAlignment="1">
      <alignment horizontal="center"/>
    </xf>
    <xf numFmtId="0" fontId="9" fillId="0" borderId="56" xfId="0" applyFont="1" applyBorder="1"/>
    <xf numFmtId="0" fontId="51" fillId="5" borderId="53" xfId="0" applyFont="1" applyFill="1" applyBorder="1" applyAlignment="1">
      <alignment horizontal="center"/>
    </xf>
    <xf numFmtId="0" fontId="51" fillId="5" borderId="53" xfId="0" applyFont="1" applyFill="1" applyBorder="1"/>
    <xf numFmtId="0" fontId="0" fillId="0" borderId="53" xfId="0" applyBorder="1"/>
    <xf numFmtId="173" fontId="0" fillId="24" borderId="89" xfId="0" applyNumberFormat="1" applyFill="1" applyBorder="1" applyAlignment="1">
      <alignment horizontal="center"/>
    </xf>
    <xf numFmtId="0" fontId="30" fillId="0" borderId="10" xfId="26" applyFont="1" applyBorder="1" applyAlignment="1">
      <alignment horizontal="center"/>
    </xf>
    <xf numFmtId="0" fontId="30" fillId="0" borderId="15" xfId="26" applyFont="1" applyBorder="1" applyAlignment="1">
      <alignment horizontal="center"/>
    </xf>
    <xf numFmtId="0" fontId="30" fillId="0" borderId="10" xfId="26" applyFont="1" applyBorder="1" applyAlignment="1">
      <alignment horizontal="center" vertical="center"/>
    </xf>
    <xf numFmtId="0" fontId="30" fillId="0" borderId="15" xfId="26" applyFont="1" applyBorder="1" applyAlignment="1">
      <alignment horizontal="center" vertical="center"/>
    </xf>
    <xf numFmtId="0" fontId="30" fillId="0" borderId="14" xfId="26" applyFont="1" applyBorder="1" applyAlignment="1">
      <alignment horizontal="center"/>
    </xf>
    <xf numFmtId="0" fontId="30" fillId="0" borderId="16" xfId="26" applyFont="1" applyBorder="1" applyAlignment="1">
      <alignment horizontal="center"/>
    </xf>
    <xf numFmtId="0" fontId="52" fillId="5" borderId="99" xfId="4" applyFont="1" applyFill="1" applyBorder="1" applyAlignment="1">
      <alignment horizontal="center" vertical="center"/>
    </xf>
    <xf numFmtId="0" fontId="52" fillId="5" borderId="99" xfId="3" applyFont="1" applyFill="1" applyBorder="1" applyAlignment="1">
      <alignment horizontal="center" vertical="center" wrapText="1"/>
    </xf>
    <xf numFmtId="0" fontId="52" fillId="5" borderId="99" xfId="3" applyFont="1" applyFill="1" applyBorder="1" applyAlignment="1">
      <alignment horizontal="center" vertical="center"/>
    </xf>
    <xf numFmtId="0" fontId="9" fillId="3" borderId="99" xfId="10" applyFont="1" applyBorder="1" applyAlignment="1">
      <alignment horizontal="center" vertical="center"/>
    </xf>
    <xf numFmtId="170" fontId="9" fillId="8" borderId="99" xfId="6" applyFont="1" applyFill="1" applyBorder="1" applyAlignment="1">
      <alignment horizontal="right" vertical="center" wrapText="1"/>
    </xf>
    <xf numFmtId="0" fontId="30" fillId="3" borderId="99" xfId="10" applyFont="1" applyBorder="1" applyAlignment="1">
      <alignment vertical="center"/>
    </xf>
    <xf numFmtId="170" fontId="9" fillId="3" borderId="99" xfId="6" applyFont="1" applyBorder="1" applyAlignment="1">
      <alignment horizontal="right" vertical="center" wrapText="1"/>
    </xf>
    <xf numFmtId="0" fontId="30" fillId="3" borderId="99" xfId="10" applyFont="1" applyBorder="1" applyAlignment="1">
      <alignment horizontal="center" vertical="center"/>
    </xf>
    <xf numFmtId="3" fontId="14" fillId="34" borderId="101" xfId="5" applyFont="1" applyFill="1" applyBorder="1" applyAlignment="1">
      <alignment horizontal="center" vertical="center"/>
    </xf>
    <xf numFmtId="0" fontId="14" fillId="0" borderId="0" xfId="26" applyFont="1" applyAlignment="1">
      <alignment vertical="center"/>
    </xf>
    <xf numFmtId="0" fontId="9" fillId="12" borderId="0" xfId="26" applyFill="1" applyAlignment="1">
      <alignment vertical="center"/>
    </xf>
    <xf numFmtId="0" fontId="29" fillId="0" borderId="99" xfId="9" applyFont="1" applyFill="1" applyBorder="1" applyAlignment="1">
      <alignment horizontal="center" vertical="center"/>
    </xf>
    <xf numFmtId="3" fontId="53" fillId="34" borderId="100" xfId="5" applyFont="1" applyFill="1" applyBorder="1" applyAlignment="1">
      <alignment horizontal="right" vertical="center"/>
    </xf>
    <xf numFmtId="3" fontId="53" fillId="34" borderId="101" xfId="5" applyFont="1" applyFill="1" applyBorder="1" applyAlignment="1">
      <alignment horizontal="right" vertical="center"/>
    </xf>
    <xf numFmtId="3" fontId="53" fillId="34" borderId="102" xfId="5" applyFont="1" applyFill="1" applyBorder="1" applyAlignment="1">
      <alignment horizontal="right" vertical="center"/>
    </xf>
    <xf numFmtId="170" fontId="9" fillId="3" borderId="99" xfId="6" applyFont="1" applyBorder="1" applyAlignment="1">
      <alignment horizontal="center" vertical="center"/>
    </xf>
    <xf numFmtId="4" fontId="33" fillId="0" borderId="99" xfId="7" applyFont="1" applyFill="1" applyBorder="1" applyAlignment="1">
      <alignment horizontal="right" vertical="center"/>
    </xf>
    <xf numFmtId="0" fontId="0" fillId="34" borderId="101" xfId="0" applyFill="1" applyBorder="1" applyAlignment="1">
      <alignment horizontal="center" vertical="center"/>
    </xf>
    <xf numFmtId="4" fontId="9" fillId="34" borderId="101" xfId="7" applyFont="1" applyFill="1" applyBorder="1" applyAlignment="1">
      <alignment horizontal="right" vertical="center"/>
    </xf>
    <xf numFmtId="3" fontId="14" fillId="34" borderId="102" xfId="5" applyFont="1" applyFill="1" applyBorder="1" applyAlignment="1">
      <alignment horizontal="right" vertical="center" wrapText="1"/>
    </xf>
    <xf numFmtId="4" fontId="9" fillId="8" borderId="99" xfId="7" applyFont="1" applyFill="1" applyBorder="1" applyAlignment="1">
      <alignment horizontal="right" vertical="center" wrapText="1"/>
    </xf>
    <xf numFmtId="4" fontId="9" fillId="3" borderId="99" xfId="7" applyFont="1" applyBorder="1" applyAlignment="1">
      <alignment horizontal="center" vertical="center"/>
    </xf>
    <xf numFmtId="4" fontId="9" fillId="3" borderId="99" xfId="7" applyFont="1" applyBorder="1" applyAlignment="1">
      <alignment horizontal="right" vertical="center" wrapText="1"/>
    </xf>
    <xf numFmtId="0" fontId="30" fillId="0" borderId="99" xfId="10" applyFont="1" applyFill="1" applyBorder="1" applyAlignment="1">
      <alignment vertical="center"/>
    </xf>
    <xf numFmtId="0" fontId="9" fillId="0" borderId="99" xfId="10" applyFont="1" applyFill="1" applyBorder="1" applyAlignment="1">
      <alignment horizontal="center" vertical="center"/>
    </xf>
    <xf numFmtId="0" fontId="9" fillId="0" borderId="99" xfId="27" applyFont="1" applyBorder="1" applyAlignment="1">
      <alignment horizontal="right" vertical="center" wrapText="1"/>
    </xf>
    <xf numFmtId="3" fontId="14" fillId="34" borderId="100" xfId="5" applyFont="1" applyFill="1" applyBorder="1" applyAlignment="1">
      <alignment horizontal="right" vertical="center"/>
    </xf>
    <xf numFmtId="4" fontId="9" fillId="6" borderId="99" xfId="7" applyFont="1" applyFill="1" applyBorder="1" applyAlignment="1">
      <alignment horizontal="right" vertical="center"/>
    </xf>
    <xf numFmtId="4" fontId="9" fillId="6" borderId="99" xfId="7" applyFont="1" applyFill="1" applyBorder="1" applyAlignment="1">
      <alignment horizontal="center" vertical="center"/>
    </xf>
    <xf numFmtId="4" fontId="9" fillId="0" borderId="99" xfId="7" applyFont="1" applyFill="1" applyBorder="1" applyAlignment="1">
      <alignment horizontal="right" vertical="center" wrapText="1"/>
    </xf>
    <xf numFmtId="0" fontId="30" fillId="3" borderId="99" xfId="10" applyFont="1" applyBorder="1" applyAlignment="1">
      <alignment vertical="center" wrapText="1"/>
    </xf>
    <xf numFmtId="4" fontId="9" fillId="0" borderId="99" xfId="7" applyFont="1" applyFill="1" applyBorder="1" applyAlignment="1">
      <alignment horizontal="center" vertical="center"/>
    </xf>
    <xf numFmtId="0" fontId="52" fillId="32" borderId="99" xfId="3" applyFont="1" applyFill="1" applyBorder="1" applyAlignment="1">
      <alignment horizontal="center" vertical="center" wrapText="1"/>
    </xf>
    <xf numFmtId="0" fontId="9" fillId="0" borderId="99" xfId="26" applyBorder="1"/>
    <xf numFmtId="0" fontId="9" fillId="0" borderId="99" xfId="26" applyBorder="1" applyAlignment="1">
      <alignment vertical="center"/>
    </xf>
    <xf numFmtId="0" fontId="36" fillId="12" borderId="99" xfId="26" applyFont="1" applyFill="1" applyBorder="1" applyAlignment="1">
      <alignment horizontal="center" vertical="center"/>
    </xf>
    <xf numFmtId="0" fontId="55" fillId="0" borderId="0" xfId="0" applyFont="1"/>
    <xf numFmtId="0" fontId="57" fillId="0" borderId="0" xfId="0" applyFont="1"/>
    <xf numFmtId="0" fontId="14" fillId="0" borderId="33" xfId="0" applyFont="1" applyBorder="1" applyAlignment="1">
      <alignment horizontal="center"/>
    </xf>
    <xf numFmtId="0" fontId="14" fillId="0" borderId="31" xfId="0" applyFont="1" applyBorder="1" applyAlignment="1">
      <alignment horizontal="center"/>
    </xf>
    <xf numFmtId="0" fontId="57" fillId="0" borderId="33" xfId="0" applyFont="1" applyBorder="1" applyAlignment="1">
      <alignment horizontal="center"/>
    </xf>
    <xf numFmtId="0" fontId="57" fillId="0" borderId="31" xfId="0" applyFont="1" applyBorder="1" applyAlignment="1">
      <alignment horizontal="center"/>
    </xf>
    <xf numFmtId="0" fontId="57" fillId="0" borderId="27" xfId="0" applyFont="1" applyBorder="1"/>
    <xf numFmtId="0" fontId="57" fillId="0" borderId="103" xfId="0" applyFont="1" applyBorder="1" applyAlignment="1">
      <alignment horizontal="center" vertical="center"/>
    </xf>
    <xf numFmtId="0" fontId="57" fillId="0" borderId="107" xfId="0" applyFont="1" applyBorder="1" applyAlignment="1">
      <alignment horizontal="center" vertical="center"/>
    </xf>
    <xf numFmtId="0" fontId="14" fillId="12" borderId="110" xfId="0" applyFont="1" applyFill="1" applyBorder="1" applyAlignment="1">
      <alignment horizontal="center"/>
    </xf>
    <xf numFmtId="0" fontId="57" fillId="12" borderId="110" xfId="0" applyFont="1" applyFill="1" applyBorder="1"/>
    <xf numFmtId="0" fontId="57" fillId="12" borderId="116" xfId="0" applyFont="1" applyFill="1" applyBorder="1"/>
    <xf numFmtId="0" fontId="55" fillId="12" borderId="116" xfId="0" applyFont="1" applyFill="1" applyBorder="1"/>
    <xf numFmtId="10" fontId="0" fillId="0" borderId="113" xfId="0" applyNumberFormat="1" applyBorder="1" applyAlignment="1">
      <alignment horizontal="center" vertical="center"/>
    </xf>
    <xf numFmtId="10" fontId="0" fillId="0" borderId="117" xfId="0" applyNumberFormat="1" applyBorder="1" applyAlignment="1">
      <alignment horizontal="center" vertical="center"/>
    </xf>
    <xf numFmtId="10" fontId="0" fillId="0" borderId="118" xfId="0" applyNumberFormat="1" applyBorder="1" applyAlignment="1">
      <alignment horizontal="center" vertical="center"/>
    </xf>
    <xf numFmtId="0" fontId="57" fillId="0" borderId="120" xfId="0" applyFont="1" applyBorder="1" applyAlignment="1">
      <alignment horizontal="center" vertical="center"/>
    </xf>
    <xf numFmtId="0" fontId="57" fillId="0" borderId="121" xfId="0" applyFont="1" applyBorder="1" applyAlignment="1">
      <alignment horizontal="center" vertical="center"/>
    </xf>
    <xf numFmtId="0" fontId="28" fillId="5" borderId="8" xfId="26" applyFont="1" applyFill="1" applyBorder="1" applyAlignment="1">
      <alignment horizontal="center"/>
    </xf>
    <xf numFmtId="0" fontId="55" fillId="8" borderId="0" xfId="0" applyFont="1" applyFill="1"/>
    <xf numFmtId="0" fontId="59" fillId="42" borderId="0" xfId="0" applyFont="1" applyFill="1"/>
    <xf numFmtId="0" fontId="9" fillId="37" borderId="27" xfId="0" applyFont="1" applyFill="1" applyBorder="1"/>
    <xf numFmtId="0" fontId="57" fillId="0" borderId="126" xfId="0" applyFont="1" applyBorder="1" applyAlignment="1">
      <alignment horizontal="center"/>
    </xf>
    <xf numFmtId="0" fontId="55" fillId="12" borderId="127" xfId="0" applyFont="1" applyFill="1" applyBorder="1" applyAlignment="1">
      <alignment horizontal="center"/>
    </xf>
    <xf numFmtId="0" fontId="9" fillId="39" borderId="127" xfId="0" applyFont="1" applyFill="1" applyBorder="1"/>
    <xf numFmtId="0" fontId="9" fillId="39" borderId="0" xfId="0" applyFont="1" applyFill="1"/>
    <xf numFmtId="0" fontId="14" fillId="41" borderId="27" xfId="0" quotePrefix="1" applyFont="1" applyFill="1" applyBorder="1"/>
    <xf numFmtId="0" fontId="14" fillId="41" borderId="0" xfId="0" quotePrefix="1" applyFont="1" applyFill="1"/>
    <xf numFmtId="0" fontId="55" fillId="39" borderId="0" xfId="0" applyFont="1" applyFill="1"/>
    <xf numFmtId="0" fontId="14" fillId="0" borderId="142" xfId="0" applyFont="1" applyBorder="1" applyAlignment="1">
      <alignment horizontal="center"/>
    </xf>
    <xf numFmtId="0" fontId="14" fillId="0" borderId="36" xfId="0" applyFont="1" applyBorder="1" applyAlignment="1">
      <alignment horizontal="center"/>
    </xf>
    <xf numFmtId="0" fontId="9" fillId="39" borderId="111" xfId="0" applyFont="1" applyFill="1" applyBorder="1"/>
    <xf numFmtId="10" fontId="0" fillId="0" borderId="0" xfId="16" applyNumberFormat="1" applyFont="1"/>
    <xf numFmtId="3" fontId="24" fillId="0" borderId="0" xfId="0" applyNumberFormat="1" applyFont="1" applyAlignment="1">
      <alignment horizontal="center" vertical="center"/>
    </xf>
    <xf numFmtId="3" fontId="36" fillId="19" borderId="0" xfId="0" applyNumberFormat="1" applyFont="1" applyFill="1" applyAlignment="1">
      <alignment horizontal="center" vertical="center"/>
    </xf>
    <xf numFmtId="168" fontId="34" fillId="43" borderId="137" xfId="30" applyNumberFormat="1" applyFont="1" applyFill="1" applyBorder="1" applyAlignment="1">
      <alignment horizontal="center" vertical="center"/>
    </xf>
    <xf numFmtId="9" fontId="39" fillId="0" borderId="0" xfId="16" applyFont="1"/>
    <xf numFmtId="9" fontId="0" fillId="0" borderId="83" xfId="0" applyNumberFormat="1" applyBorder="1" applyAlignment="1">
      <alignment horizontal="center"/>
    </xf>
    <xf numFmtId="9" fontId="14" fillId="0" borderId="61" xfId="0" applyNumberFormat="1" applyFont="1" applyBorder="1" applyAlignment="1">
      <alignment horizontal="center"/>
    </xf>
    <xf numFmtId="9" fontId="14" fillId="0" borderId="62" xfId="0" applyNumberFormat="1" applyFont="1" applyBorder="1" applyAlignment="1">
      <alignment horizontal="center"/>
    </xf>
    <xf numFmtId="9" fontId="9" fillId="0" borderId="66" xfId="0" applyNumberFormat="1" applyFont="1" applyBorder="1" applyAlignment="1">
      <alignment horizontal="center"/>
    </xf>
    <xf numFmtId="9" fontId="9" fillId="0" borderId="71" xfId="0" applyNumberFormat="1" applyFont="1" applyBorder="1" applyAlignment="1">
      <alignment horizontal="center"/>
    </xf>
    <xf numFmtId="9" fontId="9" fillId="0" borderId="74" xfId="0" applyNumberFormat="1" applyFont="1" applyBorder="1" applyAlignment="1">
      <alignment horizontal="center"/>
    </xf>
    <xf numFmtId="3" fontId="0" fillId="0" borderId="0" xfId="0" applyNumberFormat="1"/>
    <xf numFmtId="10" fontId="0" fillId="0" borderId="0" xfId="0" applyNumberFormat="1"/>
    <xf numFmtId="4" fontId="33" fillId="12" borderId="99" xfId="7" applyFont="1" applyFill="1" applyBorder="1" applyAlignment="1">
      <alignment horizontal="right" vertical="center"/>
    </xf>
    <xf numFmtId="4" fontId="9" fillId="0" borderId="0" xfId="7" applyFont="1" applyFill="1" applyBorder="1">
      <alignment horizontal="right"/>
    </xf>
    <xf numFmtId="4" fontId="33" fillId="0" borderId="0" xfId="7" applyFont="1" applyFill="1" applyBorder="1">
      <alignment horizontal="right"/>
    </xf>
    <xf numFmtId="4" fontId="33" fillId="9" borderId="99" xfId="7" applyFont="1" applyFill="1" applyBorder="1" applyAlignment="1">
      <alignment horizontal="right" vertical="center"/>
    </xf>
    <xf numFmtId="4" fontId="33" fillId="28" borderId="99" xfId="7" applyFont="1" applyFill="1" applyBorder="1" applyAlignment="1">
      <alignment horizontal="right" vertical="center"/>
    </xf>
    <xf numFmtId="4" fontId="26" fillId="12" borderId="99" xfId="7" applyFont="1" applyFill="1" applyBorder="1" applyAlignment="1">
      <alignment horizontal="right" vertical="center"/>
    </xf>
    <xf numFmtId="4" fontId="26" fillId="28" borderId="99" xfId="7" applyFont="1" applyFill="1" applyBorder="1" applyAlignment="1">
      <alignment horizontal="right" vertical="center"/>
    </xf>
    <xf numFmtId="4" fontId="6" fillId="0" borderId="40" xfId="29" applyNumberFormat="1" applyBorder="1" applyAlignment="1">
      <alignment horizontal="center"/>
    </xf>
    <xf numFmtId="0" fontId="27" fillId="0" borderId="0" xfId="0" applyFont="1" applyAlignment="1">
      <alignment horizontal="center"/>
    </xf>
    <xf numFmtId="0" fontId="67" fillId="0" borderId="0" xfId="0" applyFont="1"/>
    <xf numFmtId="0" fontId="0" fillId="0" borderId="40" xfId="0" applyBorder="1"/>
    <xf numFmtId="0" fontId="66" fillId="0" borderId="0" xfId="0" applyFont="1"/>
    <xf numFmtId="168" fontId="34" fillId="38" borderId="40" xfId="16" applyNumberFormat="1" applyFont="1" applyFill="1" applyBorder="1" applyAlignment="1">
      <alignment horizontal="center" vertical="center"/>
    </xf>
    <xf numFmtId="168" fontId="34" fillId="43" borderId="154" xfId="30" applyNumberFormat="1" applyFont="1" applyFill="1" applyBorder="1" applyAlignment="1">
      <alignment horizontal="center" vertical="center"/>
    </xf>
    <xf numFmtId="168" fontId="34" fillId="38" borderId="38" xfId="16" applyNumberFormat="1" applyFont="1" applyFill="1" applyBorder="1" applyAlignment="1">
      <alignment horizontal="center" vertical="center"/>
    </xf>
    <xf numFmtId="168" fontId="9" fillId="0" borderId="136" xfId="16" applyNumberFormat="1" applyFont="1" applyFill="1" applyBorder="1" applyAlignment="1">
      <alignment horizontal="center" vertical="center"/>
    </xf>
    <xf numFmtId="168" fontId="9" fillId="0" borderId="137" xfId="16" applyNumberFormat="1" applyFont="1" applyFill="1" applyBorder="1" applyAlignment="1">
      <alignment horizontal="center" vertical="center"/>
    </xf>
    <xf numFmtId="168" fontId="0" fillId="0" borderId="138" xfId="16" applyNumberFormat="1" applyFont="1" applyFill="1" applyBorder="1" applyAlignment="1">
      <alignment horizontal="center" vertical="center"/>
    </xf>
    <xf numFmtId="168" fontId="34" fillId="0" borderId="139" xfId="16" applyNumberFormat="1" applyFont="1" applyFill="1" applyBorder="1" applyAlignment="1">
      <alignment horizontal="center" vertical="center"/>
    </xf>
    <xf numFmtId="168" fontId="34" fillId="0" borderId="40" xfId="16" applyNumberFormat="1" applyFont="1" applyFill="1" applyBorder="1" applyAlignment="1">
      <alignment horizontal="center" vertical="center"/>
    </xf>
    <xf numFmtId="168" fontId="34" fillId="0" borderId="130" xfId="16" applyNumberFormat="1" applyFont="1" applyFill="1" applyBorder="1" applyAlignment="1">
      <alignment horizontal="center" vertical="center"/>
    </xf>
    <xf numFmtId="4" fontId="6" fillId="0" borderId="139" xfId="29" applyNumberFormat="1" applyBorder="1" applyAlignment="1">
      <alignment horizontal="center"/>
    </xf>
    <xf numFmtId="4" fontId="6" fillId="0" borderId="130" xfId="29" applyNumberFormat="1" applyBorder="1" applyAlignment="1">
      <alignment horizontal="center"/>
    </xf>
    <xf numFmtId="9" fontId="0" fillId="0" borderId="0" xfId="16" applyFont="1" applyBorder="1" applyAlignment="1">
      <alignment horizontal="left"/>
    </xf>
    <xf numFmtId="2" fontId="9" fillId="24" borderId="17" xfId="0" applyNumberFormat="1" applyFont="1" applyFill="1" applyBorder="1" applyAlignment="1">
      <alignment horizontal="center"/>
    </xf>
    <xf numFmtId="0" fontId="24" fillId="0" borderId="0" xfId="0" applyFont="1" applyAlignment="1">
      <alignment horizontal="center" vertical="center"/>
    </xf>
    <xf numFmtId="3" fontId="36" fillId="19" borderId="0" xfId="21" applyNumberFormat="1" applyFont="1" applyFill="1" applyAlignment="1">
      <alignment horizontal="center" vertical="center"/>
    </xf>
    <xf numFmtId="3" fontId="37" fillId="19" borderId="0" xfId="21" applyNumberFormat="1" applyFont="1" applyFill="1" applyAlignment="1">
      <alignment horizontal="center" vertical="center"/>
    </xf>
    <xf numFmtId="3" fontId="37" fillId="19" borderId="0" xfId="0" applyNumberFormat="1" applyFont="1" applyFill="1" applyAlignment="1">
      <alignment horizontal="center" vertical="center"/>
    </xf>
    <xf numFmtId="3" fontId="36" fillId="0" borderId="0" xfId="0" applyNumberFormat="1" applyFont="1" applyAlignment="1">
      <alignment horizontal="center" vertical="center"/>
    </xf>
    <xf numFmtId="170" fontId="24" fillId="0" borderId="0" xfId="0" applyNumberFormat="1" applyFont="1" applyAlignment="1">
      <alignment horizontal="center" vertical="center"/>
    </xf>
    <xf numFmtId="4" fontId="36" fillId="19" borderId="0" xfId="0" applyNumberFormat="1" applyFont="1" applyFill="1" applyAlignment="1">
      <alignment horizontal="center" vertical="center"/>
    </xf>
    <xf numFmtId="4" fontId="36" fillId="19" borderId="0" xfId="21" applyNumberFormat="1" applyFont="1" applyFill="1" applyAlignment="1">
      <alignment horizontal="center" vertical="center"/>
    </xf>
    <xf numFmtId="3" fontId="24" fillId="19" borderId="0" xfId="0" applyNumberFormat="1" applyFont="1" applyFill="1" applyAlignment="1">
      <alignment horizontal="center" vertical="center"/>
    </xf>
    <xf numFmtId="0" fontId="0" fillId="0" borderId="0" xfId="0" applyAlignment="1">
      <alignment horizontal="center" vertical="center"/>
    </xf>
    <xf numFmtId="0" fontId="27" fillId="0" borderId="0" xfId="0" applyFont="1" applyAlignment="1">
      <alignment horizontal="center" vertical="center"/>
    </xf>
    <xf numFmtId="0" fontId="9" fillId="8" borderId="17" xfId="0" applyFont="1" applyFill="1" applyBorder="1" applyAlignment="1">
      <alignment horizontal="center" vertical="center" wrapText="1"/>
    </xf>
    <xf numFmtId="0" fontId="35" fillId="8" borderId="17" xfId="0" applyFont="1" applyFill="1" applyBorder="1" applyAlignment="1">
      <alignment horizontal="center" vertical="center" wrapText="1"/>
    </xf>
    <xf numFmtId="173" fontId="0" fillId="0" borderId="89" xfId="0" applyNumberFormat="1" applyBorder="1" applyAlignment="1">
      <alignment horizontal="center" wrapText="1"/>
    </xf>
    <xf numFmtId="0" fontId="48" fillId="9" borderId="61" xfId="0" applyFont="1" applyFill="1" applyBorder="1" applyAlignment="1">
      <alignment horizontal="center" vertical="center" wrapText="1"/>
    </xf>
    <xf numFmtId="0" fontId="48" fillId="10" borderId="62" xfId="0" applyFont="1" applyFill="1" applyBorder="1" applyAlignment="1">
      <alignment horizontal="center" vertical="center" wrapText="1"/>
    </xf>
    <xf numFmtId="0" fontId="48" fillId="11" borderId="62" xfId="0" applyFont="1" applyFill="1" applyBorder="1" applyAlignment="1">
      <alignment horizontal="center" vertical="center" wrapText="1"/>
    </xf>
    <xf numFmtId="0" fontId="48" fillId="15" borderId="62" xfId="0" applyFont="1" applyFill="1" applyBorder="1" applyAlignment="1">
      <alignment horizontal="center" vertical="center" wrapText="1"/>
    </xf>
    <xf numFmtId="0" fontId="57" fillId="0" borderId="0" xfId="0" applyFont="1" applyAlignment="1">
      <alignment horizontal="center" vertical="center"/>
    </xf>
    <xf numFmtId="0" fontId="0" fillId="0" borderId="0" xfId="0" applyAlignment="1">
      <alignment horizontal="left"/>
    </xf>
    <xf numFmtId="2" fontId="9" fillId="24" borderId="46" xfId="0" applyNumberFormat="1" applyFont="1" applyFill="1" applyBorder="1" applyAlignment="1">
      <alignment horizontal="center"/>
    </xf>
    <xf numFmtId="2" fontId="34" fillId="24" borderId="46" xfId="16" applyNumberFormat="1" applyFont="1" applyFill="1" applyBorder="1" applyAlignment="1">
      <alignment horizontal="center"/>
    </xf>
    <xf numFmtId="0" fontId="9" fillId="7" borderId="156" xfId="0" applyFont="1" applyFill="1" applyBorder="1"/>
    <xf numFmtId="0" fontId="28" fillId="32" borderId="50" xfId="0" applyFont="1" applyFill="1" applyBorder="1" applyAlignment="1">
      <alignment horizontal="center"/>
    </xf>
    <xf numFmtId="0" fontId="14" fillId="0" borderId="50" xfId="0" applyFont="1" applyBorder="1" applyAlignment="1">
      <alignment horizontal="center"/>
    </xf>
    <xf numFmtId="167" fontId="14" fillId="24" borderId="18" xfId="0" applyNumberFormat="1" applyFont="1" applyFill="1" applyBorder="1" applyAlignment="1">
      <alignment horizontal="center"/>
    </xf>
    <xf numFmtId="2" fontId="34" fillId="24" borderId="50" xfId="16" applyNumberFormat="1" applyFont="1" applyFill="1" applyBorder="1" applyAlignment="1">
      <alignment horizontal="center"/>
    </xf>
    <xf numFmtId="10" fontId="65" fillId="8" borderId="50" xfId="0" applyNumberFormat="1" applyFont="1" applyFill="1" applyBorder="1" applyAlignment="1">
      <alignment horizontal="center"/>
    </xf>
    <xf numFmtId="0" fontId="9" fillId="0" borderId="0" xfId="0" applyFont="1" applyAlignment="1">
      <alignment horizontal="center"/>
    </xf>
    <xf numFmtId="10" fontId="9" fillId="0" borderId="109" xfId="0" applyNumberFormat="1" applyFont="1" applyBorder="1" applyAlignment="1">
      <alignment horizontal="center" vertical="center"/>
    </xf>
    <xf numFmtId="10" fontId="9" fillId="0" borderId="5" xfId="0" applyNumberFormat="1" applyFont="1" applyBorder="1" applyAlignment="1">
      <alignment horizontal="center" vertical="center"/>
    </xf>
    <xf numFmtId="0" fontId="0" fillId="0" borderId="40" xfId="0" applyBorder="1" applyAlignment="1">
      <alignment horizontal="center"/>
    </xf>
    <xf numFmtId="168" fontId="66" fillId="0" borderId="40" xfId="16" applyNumberFormat="1" applyFont="1" applyBorder="1" applyAlignment="1">
      <alignment horizontal="center"/>
    </xf>
    <xf numFmtId="0" fontId="66" fillId="0" borderId="40" xfId="0" applyFont="1" applyBorder="1"/>
    <xf numFmtId="166" fontId="66" fillId="0" borderId="40" xfId="0" applyNumberFormat="1" applyFont="1" applyBorder="1" applyAlignment="1">
      <alignment horizontal="center"/>
    </xf>
    <xf numFmtId="9" fontId="0" fillId="0" borderId="0" xfId="16" applyFont="1" applyAlignment="1">
      <alignment horizontal="left"/>
    </xf>
    <xf numFmtId="0" fontId="55" fillId="0" borderId="157" xfId="0" applyFont="1" applyBorder="1"/>
    <xf numFmtId="0" fontId="55" fillId="0" borderId="30" xfId="0" applyFont="1" applyBorder="1"/>
    <xf numFmtId="3" fontId="61" fillId="12" borderId="0" xfId="0" applyNumberFormat="1" applyFont="1" applyFill="1" applyAlignment="1">
      <alignment horizontal="center" vertical="center"/>
    </xf>
    <xf numFmtId="3" fontId="61" fillId="12" borderId="161" xfId="0" applyNumberFormat="1" applyFont="1" applyFill="1" applyBorder="1" applyAlignment="1">
      <alignment horizontal="center" vertical="center"/>
    </xf>
    <xf numFmtId="0" fontId="0" fillId="37" borderId="27" xfId="0" applyFill="1" applyBorder="1"/>
    <xf numFmtId="0" fontId="66" fillId="0" borderId="0" xfId="29" applyFont="1" applyAlignment="1">
      <alignment horizontal="center" vertical="center"/>
    </xf>
    <xf numFmtId="0" fontId="6" fillId="0" borderId="0" xfId="29"/>
    <xf numFmtId="0" fontId="6" fillId="0" borderId="31" xfId="29" applyBorder="1"/>
    <xf numFmtId="0" fontId="55" fillId="0" borderId="162" xfId="0" applyFont="1" applyBorder="1"/>
    <xf numFmtId="0" fontId="57" fillId="0" borderId="105" xfId="0" applyFont="1" applyBorder="1" applyAlignment="1">
      <alignment horizontal="center" vertical="center"/>
    </xf>
    <xf numFmtId="0" fontId="57" fillId="0" borderId="106" xfId="0" applyFont="1" applyBorder="1" applyAlignment="1">
      <alignment horizontal="center" vertical="center"/>
    </xf>
    <xf numFmtId="0" fontId="55" fillId="0" borderId="163" xfId="0" applyFont="1" applyBorder="1"/>
    <xf numFmtId="0" fontId="55" fillId="0" borderId="104" xfId="0" applyFont="1" applyBorder="1" applyAlignment="1">
      <alignment horizontal="center" vertical="center"/>
    </xf>
    <xf numFmtId="0" fontId="55" fillId="0" borderId="164" xfId="0" applyFont="1" applyBorder="1"/>
    <xf numFmtId="10" fontId="0" fillId="0" borderId="0" xfId="0" applyNumberFormat="1" applyAlignment="1">
      <alignment horizontal="center" vertical="center"/>
    </xf>
    <xf numFmtId="0" fontId="55" fillId="0" borderId="104" xfId="0" applyFont="1" applyBorder="1"/>
    <xf numFmtId="9" fontId="24" fillId="0" borderId="0" xfId="16" applyFont="1" applyAlignment="1">
      <alignment horizontal="center" vertical="center"/>
    </xf>
    <xf numFmtId="168" fontId="39" fillId="0" borderId="0" xfId="0" applyNumberFormat="1" applyFont="1"/>
    <xf numFmtId="2" fontId="0" fillId="24" borderId="50" xfId="0" applyNumberFormat="1" applyFill="1" applyBorder="1" applyAlignment="1">
      <alignment horizontal="center"/>
    </xf>
    <xf numFmtId="167" fontId="0" fillId="24" borderId="18" xfId="0" applyNumberFormat="1" applyFill="1" applyBorder="1" applyAlignment="1">
      <alignment horizontal="center"/>
    </xf>
    <xf numFmtId="10" fontId="72" fillId="35" borderId="99" xfId="26" applyNumberFormat="1" applyFont="1" applyFill="1" applyBorder="1"/>
    <xf numFmtId="174" fontId="9" fillId="0" borderId="99" xfId="26" applyNumberFormat="1" applyBorder="1"/>
    <xf numFmtId="0" fontId="67" fillId="0" borderId="0" xfId="0" applyFont="1" applyAlignment="1">
      <alignment horizontal="center"/>
    </xf>
    <xf numFmtId="1" fontId="67" fillId="0" borderId="0" xfId="0" applyNumberFormat="1" applyFont="1" applyAlignment="1">
      <alignment horizontal="center"/>
    </xf>
    <xf numFmtId="1" fontId="73" fillId="0" borderId="0" xfId="0" applyNumberFormat="1" applyFont="1" applyAlignment="1">
      <alignment horizontal="left"/>
    </xf>
    <xf numFmtId="0" fontId="9" fillId="0" borderId="0" xfId="26" applyAlignment="1">
      <alignment vertical="center" wrapText="1"/>
    </xf>
    <xf numFmtId="3" fontId="53" fillId="34" borderId="101" xfId="5" applyFont="1" applyFill="1" applyBorder="1" applyAlignment="1">
      <alignment horizontal="right" vertical="center" wrapText="1"/>
    </xf>
    <xf numFmtId="4" fontId="9" fillId="34" borderId="101" xfId="7" applyFont="1" applyFill="1" applyBorder="1" applyAlignment="1">
      <alignment horizontal="right" vertical="center" wrapText="1"/>
    </xf>
    <xf numFmtId="4" fontId="33" fillId="0" borderId="99" xfId="7" applyFont="1" applyFill="1" applyBorder="1" applyAlignment="1">
      <alignment horizontal="right" vertical="center" wrapText="1"/>
    </xf>
    <xf numFmtId="0" fontId="9" fillId="0" borderId="99" xfId="10" applyFont="1" applyFill="1" applyBorder="1" applyAlignment="1">
      <alignment horizontal="right" vertical="center" wrapText="1"/>
    </xf>
    <xf numFmtId="0" fontId="21" fillId="0" borderId="0" xfId="8" applyFill="1" applyBorder="1" applyAlignment="1">
      <alignment wrapText="1"/>
    </xf>
    <xf numFmtId="0" fontId="9" fillId="0" borderId="0" xfId="26" applyAlignment="1">
      <alignment wrapText="1"/>
    </xf>
    <xf numFmtId="0" fontId="0" fillId="0" borderId="0" xfId="0" applyAlignment="1">
      <alignment wrapText="1"/>
    </xf>
    <xf numFmtId="0" fontId="0" fillId="0" borderId="0" xfId="26" applyFont="1"/>
    <xf numFmtId="2" fontId="9" fillId="0" borderId="0" xfId="26" applyNumberFormat="1"/>
    <xf numFmtId="2" fontId="0" fillId="0" borderId="0" xfId="26" applyNumberFormat="1" applyFont="1"/>
    <xf numFmtId="0" fontId="60" fillId="0" borderId="0" xfId="0" applyFont="1"/>
    <xf numFmtId="0" fontId="60" fillId="0" borderId="0" xfId="0" applyFont="1" applyAlignment="1">
      <alignment horizontal="center"/>
    </xf>
    <xf numFmtId="167" fontId="9" fillId="0" borderId="0" xfId="0" applyNumberFormat="1" applyFont="1"/>
    <xf numFmtId="166" fontId="9" fillId="0" borderId="0" xfId="0" applyNumberFormat="1" applyFont="1"/>
    <xf numFmtId="167" fontId="27" fillId="0" borderId="0" xfId="0" applyNumberFormat="1" applyFont="1"/>
    <xf numFmtId="168" fontId="9" fillId="24" borderId="17" xfId="16" applyNumberFormat="1" applyFont="1" applyFill="1" applyBorder="1" applyAlignment="1">
      <alignment horizontal="center"/>
    </xf>
    <xf numFmtId="173" fontId="35" fillId="24" borderId="89" xfId="0" applyNumberFormat="1" applyFont="1" applyFill="1" applyBorder="1" applyAlignment="1">
      <alignment horizontal="center"/>
    </xf>
    <xf numFmtId="4" fontId="26" fillId="9" borderId="99" xfId="7" applyFont="1" applyFill="1" applyBorder="1" applyAlignment="1">
      <alignment horizontal="right" vertical="center"/>
    </xf>
    <xf numFmtId="0" fontId="48" fillId="5" borderId="126" xfId="0" applyFont="1" applyFill="1" applyBorder="1" applyAlignment="1">
      <alignment horizontal="center"/>
    </xf>
    <xf numFmtId="0" fontId="28" fillId="32" borderId="10" xfId="0" applyFont="1" applyFill="1" applyBorder="1" applyAlignment="1">
      <alignment horizontal="center"/>
    </xf>
    <xf numFmtId="0" fontId="0" fillId="8" borderId="171" xfId="0" applyFill="1" applyBorder="1" applyAlignment="1">
      <alignment vertical="center" wrapText="1"/>
    </xf>
    <xf numFmtId="0" fontId="0" fillId="8" borderId="168" xfId="0" applyFill="1" applyBorder="1" applyAlignment="1">
      <alignment vertical="center" wrapText="1"/>
    </xf>
    <xf numFmtId="0" fontId="48" fillId="5" borderId="111" xfId="0" applyFont="1" applyFill="1" applyBorder="1" applyAlignment="1">
      <alignment horizontal="center"/>
    </xf>
    <xf numFmtId="0" fontId="28" fillId="32" borderId="171" xfId="0" applyFont="1" applyFill="1" applyBorder="1" applyAlignment="1">
      <alignment horizontal="center"/>
    </xf>
    <xf numFmtId="0" fontId="0" fillId="8" borderId="171" xfId="0" applyFill="1" applyBorder="1" applyAlignment="1">
      <alignment horizontal="left"/>
    </xf>
    <xf numFmtId="0" fontId="0" fillId="8" borderId="168" xfId="0" applyFill="1" applyBorder="1" applyAlignment="1">
      <alignment horizontal="left"/>
    </xf>
    <xf numFmtId="0" fontId="14" fillId="17" borderId="91" xfId="0" applyFont="1" applyFill="1" applyBorder="1" applyAlignment="1">
      <alignment horizontal="left" vertical="center"/>
    </xf>
    <xf numFmtId="173" fontId="0" fillId="17" borderId="88" xfId="0" applyNumberFormat="1" applyFill="1" applyBorder="1" applyAlignment="1">
      <alignment horizontal="center"/>
    </xf>
    <xf numFmtId="0" fontId="14" fillId="17" borderId="92" xfId="0" applyFont="1" applyFill="1" applyBorder="1" applyAlignment="1">
      <alignment horizontal="left" vertical="center"/>
    </xf>
    <xf numFmtId="9" fontId="0" fillId="17" borderId="89" xfId="16" applyFont="1" applyFill="1" applyBorder="1" applyAlignment="1">
      <alignment horizontal="center"/>
    </xf>
    <xf numFmtId="9" fontId="9" fillId="17" borderId="88" xfId="16" applyFont="1" applyFill="1" applyBorder="1" applyAlignment="1">
      <alignment horizontal="center"/>
    </xf>
    <xf numFmtId="2" fontId="9" fillId="17" borderId="89" xfId="0" applyNumberFormat="1" applyFont="1" applyFill="1" applyBorder="1" applyAlignment="1">
      <alignment horizontal="center" vertical="center"/>
    </xf>
    <xf numFmtId="2" fontId="0" fillId="17" borderId="89" xfId="0" applyNumberFormat="1" applyFill="1" applyBorder="1" applyAlignment="1">
      <alignment horizontal="center"/>
    </xf>
    <xf numFmtId="0" fontId="14" fillId="17" borderId="90" xfId="0" applyFont="1" applyFill="1" applyBorder="1" applyAlignment="1">
      <alignment horizontal="left" vertical="center"/>
    </xf>
    <xf numFmtId="2" fontId="0" fillId="17" borderId="87" xfId="0" applyNumberFormat="1" applyFill="1" applyBorder="1" applyAlignment="1">
      <alignment horizontal="center"/>
    </xf>
    <xf numFmtId="2" fontId="9" fillId="17" borderId="89" xfId="0" applyNumberFormat="1" applyFont="1" applyFill="1" applyBorder="1" applyAlignment="1">
      <alignment horizontal="center"/>
    </xf>
    <xf numFmtId="169" fontId="0" fillId="17" borderId="89" xfId="0" applyNumberFormat="1" applyFill="1" applyBorder="1" applyAlignment="1">
      <alignment horizontal="center"/>
    </xf>
    <xf numFmtId="9" fontId="0" fillId="0" borderId="87" xfId="16" applyFont="1" applyFill="1" applyBorder="1" applyAlignment="1">
      <alignment horizontal="center"/>
    </xf>
    <xf numFmtId="0" fontId="14" fillId="0" borderId="92" xfId="0" applyFont="1" applyBorder="1" applyAlignment="1">
      <alignment horizontal="left" vertical="center"/>
    </xf>
    <xf numFmtId="9" fontId="0" fillId="0" borderId="89" xfId="16" applyFont="1" applyFill="1" applyBorder="1" applyAlignment="1">
      <alignment horizontal="center"/>
    </xf>
    <xf numFmtId="2" fontId="0" fillId="0" borderId="87" xfId="0" applyNumberFormat="1" applyBorder="1" applyAlignment="1">
      <alignment horizontal="center"/>
    </xf>
    <xf numFmtId="0" fontId="14" fillId="0" borderId="91" xfId="0" applyFont="1" applyBorder="1" applyAlignment="1">
      <alignment horizontal="left" vertical="center"/>
    </xf>
    <xf numFmtId="2" fontId="0" fillId="0" borderId="89" xfId="0" applyNumberFormat="1" applyBorder="1" applyAlignment="1">
      <alignment horizontal="center"/>
    </xf>
    <xf numFmtId="2" fontId="0" fillId="17" borderId="88" xfId="0" applyNumberFormat="1" applyFill="1" applyBorder="1" applyAlignment="1">
      <alignment horizontal="center"/>
    </xf>
    <xf numFmtId="0" fontId="15" fillId="17" borderId="92" xfId="0" applyFont="1" applyFill="1" applyBorder="1" applyAlignment="1">
      <alignment horizontal="left" vertical="center"/>
    </xf>
    <xf numFmtId="2" fontId="0" fillId="17" borderId="89" xfId="16" applyNumberFormat="1" applyFont="1" applyFill="1" applyBorder="1" applyAlignment="1">
      <alignment horizontal="center"/>
    </xf>
    <xf numFmtId="0" fontId="14" fillId="0" borderId="94" xfId="0" applyFont="1" applyBorder="1" applyAlignment="1">
      <alignment horizontal="left" vertical="center"/>
    </xf>
    <xf numFmtId="9" fontId="0" fillId="0" borderId="95" xfId="16" applyFont="1" applyFill="1" applyBorder="1" applyAlignment="1">
      <alignment horizontal="center"/>
    </xf>
    <xf numFmtId="10" fontId="9" fillId="0" borderId="88" xfId="16" applyNumberFormat="1" applyFont="1" applyFill="1" applyBorder="1" applyAlignment="1">
      <alignment horizontal="center"/>
    </xf>
    <xf numFmtId="10" fontId="0" fillId="0" borderId="88" xfId="16" applyNumberFormat="1" applyFont="1" applyFill="1" applyBorder="1" applyAlignment="1">
      <alignment horizontal="center"/>
    </xf>
    <xf numFmtId="169" fontId="0" fillId="0" borderId="88" xfId="0" applyNumberFormat="1" applyBorder="1" applyAlignment="1">
      <alignment horizontal="center"/>
    </xf>
    <xf numFmtId="169" fontId="0" fillId="0" borderId="87" xfId="0" applyNumberFormat="1" applyBorder="1" applyAlignment="1">
      <alignment horizontal="center"/>
    </xf>
    <xf numFmtId="2" fontId="0" fillId="0" borderId="88" xfId="0" applyNumberFormat="1" applyBorder="1" applyAlignment="1">
      <alignment horizontal="center"/>
    </xf>
    <xf numFmtId="169" fontId="0" fillId="0" borderId="89" xfId="0" applyNumberFormat="1" applyBorder="1" applyAlignment="1">
      <alignment horizontal="center"/>
    </xf>
    <xf numFmtId="168" fontId="0" fillId="0" borderId="87" xfId="16" applyNumberFormat="1" applyFont="1" applyFill="1" applyBorder="1" applyAlignment="1">
      <alignment horizontal="center"/>
    </xf>
    <xf numFmtId="173" fontId="27" fillId="18" borderId="188" xfId="0" applyNumberFormat="1" applyFont="1" applyFill="1" applyBorder="1" applyAlignment="1">
      <alignment horizontal="center"/>
    </xf>
    <xf numFmtId="173" fontId="27" fillId="18" borderId="189" xfId="0" applyNumberFormat="1" applyFont="1" applyFill="1" applyBorder="1" applyAlignment="1">
      <alignment horizontal="center"/>
    </xf>
    <xf numFmtId="9" fontId="27" fillId="31" borderId="63" xfId="16" applyFont="1" applyFill="1" applyBorder="1" applyAlignment="1">
      <alignment horizontal="center" vertical="center"/>
    </xf>
    <xf numFmtId="9" fontId="27" fillId="18" borderId="188" xfId="16" applyFont="1" applyFill="1" applyBorder="1" applyAlignment="1">
      <alignment horizontal="center"/>
    </xf>
    <xf numFmtId="9" fontId="27" fillId="18" borderId="93" xfId="16" applyFont="1" applyFill="1" applyBorder="1" applyAlignment="1">
      <alignment horizontal="center"/>
    </xf>
    <xf numFmtId="9" fontId="27" fillId="18" borderId="189" xfId="16" applyFont="1" applyFill="1" applyBorder="1" applyAlignment="1">
      <alignment horizontal="center"/>
    </xf>
    <xf numFmtId="0" fontId="27" fillId="31" borderId="63" xfId="0" applyFont="1" applyFill="1" applyBorder="1" applyAlignment="1">
      <alignment horizontal="center" vertical="center"/>
    </xf>
    <xf numFmtId="2" fontId="27" fillId="18" borderId="93" xfId="0" applyNumberFormat="1" applyFont="1" applyFill="1" applyBorder="1" applyAlignment="1">
      <alignment horizontal="center"/>
    </xf>
    <xf numFmtId="2" fontId="27" fillId="18" borderId="189" xfId="0" applyNumberFormat="1" applyFont="1" applyFill="1" applyBorder="1" applyAlignment="1">
      <alignment horizontal="center"/>
    </xf>
    <xf numFmtId="2" fontId="27" fillId="31" borderId="63" xfId="16" applyNumberFormat="1" applyFont="1" applyFill="1" applyBorder="1" applyAlignment="1">
      <alignment horizontal="center" vertical="center"/>
    </xf>
    <xf numFmtId="2" fontId="27" fillId="18" borderId="188" xfId="0" applyNumberFormat="1" applyFont="1" applyFill="1" applyBorder="1" applyAlignment="1">
      <alignment horizontal="center"/>
    </xf>
    <xf numFmtId="10" fontId="27" fillId="31" borderId="63" xfId="0" applyNumberFormat="1" applyFont="1" applyFill="1" applyBorder="1" applyAlignment="1">
      <alignment horizontal="center" vertical="center"/>
    </xf>
    <xf numFmtId="171" fontId="27" fillId="31" borderId="63" xfId="19" applyNumberFormat="1" applyFont="1" applyFill="1" applyBorder="1" applyAlignment="1">
      <alignment horizontal="center" vertical="center"/>
    </xf>
    <xf numFmtId="2" fontId="27" fillId="18" borderId="93" xfId="16" applyNumberFormat="1" applyFont="1" applyFill="1" applyBorder="1" applyAlignment="1">
      <alignment horizontal="center"/>
    </xf>
    <xf numFmtId="0" fontId="27" fillId="31" borderId="63" xfId="0" applyFont="1" applyFill="1" applyBorder="1" applyAlignment="1">
      <alignment horizontal="center"/>
    </xf>
    <xf numFmtId="9" fontId="27" fillId="18" borderId="65" xfId="16" applyFont="1" applyFill="1" applyBorder="1" applyAlignment="1">
      <alignment horizontal="center"/>
    </xf>
    <xf numFmtId="0" fontId="14" fillId="0" borderId="82" xfId="0" applyFont="1" applyBorder="1" applyAlignment="1">
      <alignment horizontal="left"/>
    </xf>
    <xf numFmtId="9" fontId="9" fillId="0" borderId="190" xfId="0" applyNumberFormat="1" applyFont="1" applyBorder="1" applyAlignment="1">
      <alignment horizontal="center"/>
    </xf>
    <xf numFmtId="0" fontId="55" fillId="0" borderId="191" xfId="0" applyFont="1" applyBorder="1"/>
    <xf numFmtId="4" fontId="6" fillId="0" borderId="192" xfId="29" applyNumberFormat="1" applyBorder="1" applyAlignment="1">
      <alignment horizontal="center"/>
    </xf>
    <xf numFmtId="0" fontId="55" fillId="0" borderId="37" xfId="0" applyFont="1" applyBorder="1"/>
    <xf numFmtId="10" fontId="6" fillId="0" borderId="0" xfId="29" quotePrefix="1" applyNumberFormat="1" applyAlignment="1">
      <alignment horizontal="right"/>
    </xf>
    <xf numFmtId="4" fontId="6" fillId="0" borderId="165" xfId="29" applyNumberFormat="1" applyBorder="1" applyAlignment="1">
      <alignment horizontal="center"/>
    </xf>
    <xf numFmtId="4" fontId="6" fillId="0" borderId="160" xfId="29" applyNumberFormat="1" applyBorder="1" applyAlignment="1">
      <alignment horizontal="center"/>
    </xf>
    <xf numFmtId="4" fontId="6" fillId="0" borderId="3" xfId="29" applyNumberFormat="1" applyBorder="1" applyAlignment="1">
      <alignment horizontal="center"/>
    </xf>
    <xf numFmtId="0" fontId="28" fillId="0" borderId="0" xfId="26" applyFont="1" applyAlignment="1">
      <alignment horizontal="center" vertical="center"/>
    </xf>
    <xf numFmtId="4" fontId="26" fillId="0" borderId="0" xfId="7" applyFont="1" applyFill="1" applyBorder="1">
      <alignment horizontal="right"/>
    </xf>
    <xf numFmtId="0" fontId="48" fillId="31" borderId="54" xfId="0" applyFont="1" applyFill="1" applyBorder="1" applyAlignment="1">
      <alignment horizontal="left" vertical="center"/>
    </xf>
    <xf numFmtId="10" fontId="0" fillId="0" borderId="45" xfId="0" applyNumberFormat="1" applyBorder="1" applyAlignment="1">
      <alignment horizontal="center" vertical="center"/>
    </xf>
    <xf numFmtId="0" fontId="14" fillId="8" borderId="94" xfId="0" applyFont="1" applyFill="1" applyBorder="1" applyAlignment="1">
      <alignment horizontal="left" vertical="center"/>
    </xf>
    <xf numFmtId="10" fontId="0" fillId="8" borderId="95" xfId="16" applyNumberFormat="1" applyFont="1" applyFill="1" applyBorder="1" applyAlignment="1">
      <alignment horizontal="center" vertical="center"/>
    </xf>
    <xf numFmtId="10" fontId="0" fillId="8" borderId="96" xfId="16" applyNumberFormat="1" applyFont="1" applyFill="1" applyBorder="1" applyAlignment="1">
      <alignment horizontal="center" vertical="center"/>
    </xf>
    <xf numFmtId="0" fontId="48" fillId="0" borderId="0" xfId="0" applyFont="1" applyAlignment="1">
      <alignment horizontal="left" vertical="center"/>
    </xf>
    <xf numFmtId="10" fontId="0" fillId="0" borderId="0" xfId="16" applyNumberFormat="1" applyFont="1" applyFill="1" applyBorder="1" applyAlignment="1">
      <alignment horizontal="center" vertical="center"/>
    </xf>
    <xf numFmtId="0" fontId="59" fillId="36" borderId="65" xfId="0" applyFont="1" applyFill="1" applyBorder="1" applyAlignment="1">
      <alignment horizontal="center" vertical="center"/>
    </xf>
    <xf numFmtId="173" fontId="0" fillId="0" borderId="188" xfId="0" applyNumberFormat="1" applyBorder="1" applyAlignment="1">
      <alignment horizontal="center"/>
    </xf>
    <xf numFmtId="173" fontId="0" fillId="17" borderId="189" xfId="0" applyNumberFormat="1" applyFill="1" applyBorder="1" applyAlignment="1">
      <alignment horizontal="center"/>
    </xf>
    <xf numFmtId="0" fontId="0" fillId="31" borderId="63" xfId="0" applyFill="1" applyBorder="1" applyAlignment="1">
      <alignment horizontal="center"/>
    </xf>
    <xf numFmtId="9" fontId="0" fillId="0" borderId="188" xfId="16" applyFont="1" applyFill="1" applyBorder="1" applyAlignment="1">
      <alignment horizontal="center"/>
    </xf>
    <xf numFmtId="9" fontId="0" fillId="17" borderId="93" xfId="16" applyFont="1" applyFill="1" applyBorder="1" applyAlignment="1">
      <alignment horizontal="center"/>
    </xf>
    <xf numFmtId="9" fontId="0" fillId="0" borderId="93" xfId="16" applyFont="1" applyFill="1" applyBorder="1" applyAlignment="1">
      <alignment horizontal="center"/>
    </xf>
    <xf numFmtId="9" fontId="0" fillId="17" borderId="189" xfId="16" applyFont="1" applyFill="1" applyBorder="1" applyAlignment="1">
      <alignment horizontal="center"/>
    </xf>
    <xf numFmtId="2" fontId="0" fillId="0" borderId="188" xfId="0" applyNumberFormat="1" applyBorder="1" applyAlignment="1">
      <alignment horizontal="center"/>
    </xf>
    <xf numFmtId="2" fontId="0" fillId="17" borderId="93" xfId="0" applyNumberFormat="1" applyFill="1" applyBorder="1" applyAlignment="1">
      <alignment horizontal="center"/>
    </xf>
    <xf numFmtId="2" fontId="0" fillId="0" borderId="189" xfId="0" applyNumberFormat="1" applyBorder="1" applyAlignment="1">
      <alignment horizontal="center"/>
    </xf>
    <xf numFmtId="2" fontId="0" fillId="17" borderId="188" xfId="0" applyNumberFormat="1" applyFill="1" applyBorder="1" applyAlignment="1">
      <alignment horizontal="center"/>
    </xf>
    <xf numFmtId="2" fontId="0" fillId="0" borderId="93" xfId="0" applyNumberFormat="1" applyBorder="1" applyAlignment="1">
      <alignment horizontal="center"/>
    </xf>
    <xf numFmtId="2" fontId="0" fillId="17" borderId="189" xfId="0" applyNumberFormat="1" applyFill="1" applyBorder="1" applyAlignment="1">
      <alignment horizontal="center"/>
    </xf>
    <xf numFmtId="169" fontId="0" fillId="0" borderId="188" xfId="0" applyNumberFormat="1" applyBorder="1" applyAlignment="1">
      <alignment horizontal="center"/>
    </xf>
    <xf numFmtId="169" fontId="0" fillId="17" borderId="93" xfId="0" applyNumberFormat="1" applyFill="1" applyBorder="1" applyAlignment="1">
      <alignment horizontal="center"/>
    </xf>
    <xf numFmtId="169" fontId="0" fillId="0" borderId="93" xfId="0" applyNumberFormat="1" applyBorder="1" applyAlignment="1">
      <alignment horizontal="center"/>
    </xf>
    <xf numFmtId="169" fontId="0" fillId="0" borderId="189" xfId="0" applyNumberFormat="1" applyBorder="1" applyAlignment="1">
      <alignment horizontal="center"/>
    </xf>
    <xf numFmtId="168" fontId="0" fillId="0" borderId="188" xfId="16" applyNumberFormat="1" applyFont="1" applyFill="1" applyBorder="1" applyAlignment="1">
      <alignment horizontal="center"/>
    </xf>
    <xf numFmtId="2" fontId="0" fillId="17" borderId="93" xfId="16" applyNumberFormat="1" applyFont="1" applyFill="1" applyBorder="1" applyAlignment="1">
      <alignment horizontal="center"/>
    </xf>
    <xf numFmtId="10" fontId="0" fillId="0" borderId="189" xfId="16" applyNumberFormat="1" applyFont="1" applyFill="1" applyBorder="1" applyAlignment="1">
      <alignment horizontal="center"/>
    </xf>
    <xf numFmtId="10" fontId="0" fillId="17" borderId="93" xfId="16" applyNumberFormat="1" applyFont="1" applyFill="1" applyBorder="1" applyAlignment="1">
      <alignment horizontal="center" vertical="center"/>
    </xf>
    <xf numFmtId="175" fontId="0" fillId="8" borderId="93" xfId="0" applyNumberFormat="1" applyFill="1" applyBorder="1" applyAlignment="1">
      <alignment horizontal="right" vertical="center"/>
    </xf>
    <xf numFmtId="175" fontId="0" fillId="17" borderId="93" xfId="0" applyNumberFormat="1" applyFill="1" applyBorder="1" applyAlignment="1">
      <alignment horizontal="center"/>
    </xf>
    <xf numFmtId="9" fontId="0" fillId="0" borderId="96" xfId="16" applyFont="1" applyFill="1" applyBorder="1" applyAlignment="1">
      <alignment horizontal="center"/>
    </xf>
    <xf numFmtId="0" fontId="75" fillId="36" borderId="63" xfId="0" applyFont="1" applyFill="1" applyBorder="1" applyAlignment="1">
      <alignment horizontal="center" vertical="center" wrapText="1"/>
    </xf>
    <xf numFmtId="9" fontId="0" fillId="0" borderId="0" xfId="16" applyFont="1" applyBorder="1" applyAlignment="1">
      <alignment horizontal="center" vertical="center"/>
    </xf>
    <xf numFmtId="0" fontId="28" fillId="5" borderId="197" xfId="26" applyFont="1" applyFill="1" applyBorder="1" applyAlignment="1">
      <alignment horizontal="center" vertical="center"/>
    </xf>
    <xf numFmtId="4" fontId="26" fillId="28" borderId="198" xfId="7" applyFont="1" applyFill="1" applyBorder="1">
      <alignment horizontal="right"/>
    </xf>
    <xf numFmtId="4" fontId="9" fillId="12" borderId="198" xfId="7" applyFont="1" applyFill="1" applyBorder="1">
      <alignment horizontal="right"/>
    </xf>
    <xf numFmtId="4" fontId="33" fillId="9" borderId="199" xfId="7" applyFont="1" applyFill="1" applyBorder="1">
      <alignment horizontal="right"/>
    </xf>
    <xf numFmtId="0" fontId="59" fillId="36" borderId="0" xfId="24" applyFont="1" applyFill="1"/>
    <xf numFmtId="0" fontId="76" fillId="36" borderId="0" xfId="24" applyFont="1" applyFill="1" applyAlignment="1">
      <alignment horizontal="left" vertical="center"/>
    </xf>
    <xf numFmtId="0" fontId="76" fillId="36" borderId="0" xfId="24" applyFont="1" applyFill="1" applyAlignment="1">
      <alignment horizontal="center" vertical="center"/>
    </xf>
    <xf numFmtId="0" fontId="9" fillId="31" borderId="0" xfId="24" applyFill="1"/>
    <xf numFmtId="0" fontId="9" fillId="0" borderId="0" xfId="24"/>
    <xf numFmtId="10" fontId="0" fillId="0" borderId="0" xfId="16" applyNumberFormat="1" applyFont="1" applyAlignment="1">
      <alignment horizontal="left"/>
    </xf>
    <xf numFmtId="0" fontId="14" fillId="0" borderId="0" xfId="24" applyFont="1"/>
    <xf numFmtId="0" fontId="9" fillId="8" borderId="0" xfId="24" applyFill="1"/>
    <xf numFmtId="10" fontId="9" fillId="8" borderId="0" xfId="24" applyNumberFormat="1" applyFill="1"/>
    <xf numFmtId="0" fontId="9" fillId="0" borderId="0" xfId="24" applyAlignment="1">
      <alignment horizontal="left"/>
    </xf>
    <xf numFmtId="10" fontId="77" fillId="0" borderId="0" xfId="24" applyNumberFormat="1" applyFont="1" applyAlignment="1">
      <alignment horizontal="center"/>
    </xf>
    <xf numFmtId="10" fontId="9" fillId="0" borderId="0" xfId="24" applyNumberFormat="1"/>
    <xf numFmtId="168" fontId="0" fillId="0" borderId="0" xfId="16" applyNumberFormat="1" applyFont="1"/>
    <xf numFmtId="0" fontId="77" fillId="0" borderId="0" xfId="24" applyFont="1"/>
    <xf numFmtId="0" fontId="51" fillId="31" borderId="0" xfId="24" applyFont="1" applyFill="1"/>
    <xf numFmtId="168" fontId="39" fillId="0" borderId="0" xfId="24" applyNumberFormat="1" applyFont="1"/>
    <xf numFmtId="0" fontId="28" fillId="32" borderId="208" xfId="0" applyFont="1" applyFill="1" applyBorder="1" applyAlignment="1">
      <alignment horizontal="center"/>
    </xf>
    <xf numFmtId="0" fontId="14" fillId="0" borderId="208" xfId="0" applyFont="1" applyBorder="1" applyAlignment="1">
      <alignment horizontal="center"/>
    </xf>
    <xf numFmtId="0" fontId="0" fillId="0" borderId="208" xfId="0" applyBorder="1" applyAlignment="1">
      <alignment horizontal="center"/>
    </xf>
    <xf numFmtId="0" fontId="28" fillId="10" borderId="54" xfId="0" applyFont="1" applyFill="1" applyBorder="1" applyAlignment="1">
      <alignment horizontal="center" vertical="center" wrapText="1"/>
    </xf>
    <xf numFmtId="0" fontId="28" fillId="11" borderId="54" xfId="0" applyFont="1" applyFill="1" applyBorder="1" applyAlignment="1">
      <alignment horizontal="center" vertical="center" wrapText="1"/>
    </xf>
    <xf numFmtId="0" fontId="49" fillId="15" borderId="54" xfId="0" applyFont="1" applyFill="1" applyBorder="1" applyAlignment="1">
      <alignment horizontal="center" vertical="center" wrapText="1"/>
    </xf>
    <xf numFmtId="0" fontId="28" fillId="23" borderId="54" xfId="0" applyFont="1" applyFill="1" applyBorder="1" applyAlignment="1">
      <alignment horizontal="center" vertical="center" wrapText="1"/>
    </xf>
    <xf numFmtId="0" fontId="28" fillId="16" borderId="54" xfId="0" applyFont="1" applyFill="1" applyBorder="1" applyAlignment="1">
      <alignment horizontal="center" vertical="center" wrapText="1"/>
    </xf>
    <xf numFmtId="0" fontId="58" fillId="0" borderId="0" xfId="24" applyFont="1" applyAlignment="1">
      <alignment horizontal="center"/>
    </xf>
    <xf numFmtId="0" fontId="9" fillId="24" borderId="0" xfId="0" applyFont="1" applyFill="1" applyAlignment="1">
      <alignment horizontal="center" vertical="center"/>
    </xf>
    <xf numFmtId="176" fontId="78" fillId="46" borderId="0" xfId="16" applyNumberFormat="1" applyFont="1" applyFill="1" applyBorder="1" applyAlignment="1">
      <alignment horizontal="center"/>
    </xf>
    <xf numFmtId="0" fontId="59" fillId="0" borderId="0" xfId="24" applyFont="1"/>
    <xf numFmtId="0" fontId="76" fillId="0" borderId="0" xfId="24" applyFont="1" applyAlignment="1">
      <alignment horizontal="center" vertical="center"/>
    </xf>
    <xf numFmtId="0" fontId="77" fillId="0" borderId="0" xfId="0" applyFont="1" applyAlignment="1">
      <alignment horizontal="center"/>
    </xf>
    <xf numFmtId="0" fontId="14" fillId="8" borderId="0" xfId="24" applyFont="1" applyFill="1" applyAlignment="1">
      <alignment horizontal="center" vertical="center"/>
    </xf>
    <xf numFmtId="0" fontId="80" fillId="5" borderId="99" xfId="4" applyFont="1" applyFill="1" applyBorder="1" applyAlignment="1">
      <alignment horizontal="center" vertical="center"/>
    </xf>
    <xf numFmtId="0" fontId="48" fillId="23" borderId="62" xfId="0" applyFont="1" applyFill="1" applyBorder="1" applyAlignment="1">
      <alignment horizontal="center" vertical="center" wrapText="1"/>
    </xf>
    <xf numFmtId="176" fontId="78" fillId="46" borderId="0" xfId="16" applyNumberFormat="1" applyFont="1" applyFill="1" applyAlignment="1">
      <alignment horizontal="center"/>
    </xf>
    <xf numFmtId="9" fontId="9" fillId="0" borderId="97" xfId="16" applyFont="1" applyBorder="1" applyAlignment="1">
      <alignment horizontal="center" vertical="center"/>
    </xf>
    <xf numFmtId="9" fontId="9" fillId="17" borderId="89" xfId="16" applyFont="1" applyFill="1" applyBorder="1" applyAlignment="1">
      <alignment horizontal="center" vertical="center"/>
    </xf>
    <xf numFmtId="10" fontId="36" fillId="19" borderId="0" xfId="16" applyNumberFormat="1" applyFont="1" applyFill="1" applyAlignment="1">
      <alignment horizontal="center"/>
    </xf>
    <xf numFmtId="168" fontId="36" fillId="19" borderId="0" xfId="16" applyNumberFormat="1" applyFont="1" applyFill="1" applyAlignment="1">
      <alignment horizontal="center"/>
    </xf>
    <xf numFmtId="10" fontId="36" fillId="19" borderId="0" xfId="0" applyNumberFormat="1" applyFont="1" applyFill="1" applyAlignment="1">
      <alignment horizontal="center"/>
    </xf>
    <xf numFmtId="4" fontId="6" fillId="0" borderId="158" xfId="29" applyNumberFormat="1" applyBorder="1" applyAlignment="1">
      <alignment horizontal="center"/>
    </xf>
    <xf numFmtId="173" fontId="9" fillId="24" borderId="17" xfId="0" applyNumberFormat="1" applyFont="1" applyFill="1" applyBorder="1" applyAlignment="1">
      <alignment horizontal="center" vertical="center"/>
    </xf>
    <xf numFmtId="1" fontId="55" fillId="0" borderId="137" xfId="0" applyNumberFormat="1" applyFont="1" applyBorder="1" applyAlignment="1">
      <alignment horizontal="center" vertical="center"/>
    </xf>
    <xf numFmtId="4" fontId="6" fillId="0" borderId="140" xfId="29" applyNumberFormat="1" applyBorder="1" applyAlignment="1">
      <alignment horizontal="center"/>
    </xf>
    <xf numFmtId="4" fontId="6" fillId="0" borderId="152" xfId="29" applyNumberFormat="1" applyBorder="1" applyAlignment="1">
      <alignment horizontal="center"/>
    </xf>
    <xf numFmtId="4" fontId="6" fillId="0" borderId="153" xfId="29" applyNumberFormat="1" applyBorder="1" applyAlignment="1">
      <alignment horizontal="center"/>
    </xf>
    <xf numFmtId="0" fontId="55" fillId="0" borderId="0" xfId="0" applyFont="1" applyAlignment="1">
      <alignment horizontal="center" vertical="center"/>
    </xf>
    <xf numFmtId="0" fontId="9" fillId="0" borderId="0" xfId="24" applyAlignment="1">
      <alignment horizontal="center"/>
    </xf>
    <xf numFmtId="0" fontId="55" fillId="0" borderId="215" xfId="0" applyFont="1" applyBorder="1" applyAlignment="1">
      <alignment horizontal="center" vertical="center"/>
    </xf>
    <xf numFmtId="10" fontId="9" fillId="0" borderId="40" xfId="0" applyNumberFormat="1" applyFont="1" applyBorder="1" applyAlignment="1">
      <alignment horizontal="center" vertical="center"/>
    </xf>
    <xf numFmtId="2" fontId="9" fillId="0" borderId="0" xfId="24" applyNumberFormat="1" applyAlignment="1">
      <alignment horizontal="center" vertical="center"/>
    </xf>
    <xf numFmtId="0" fontId="66" fillId="0" borderId="40" xfId="29" applyFont="1" applyBorder="1"/>
    <xf numFmtId="167" fontId="14" fillId="0" borderId="220" xfId="0" applyNumberFormat="1" applyFont="1" applyBorder="1" applyAlignment="1">
      <alignment horizontal="center"/>
    </xf>
    <xf numFmtId="167" fontId="14" fillId="0" borderId="35" xfId="0" applyNumberFormat="1" applyFont="1" applyBorder="1" applyAlignment="1">
      <alignment horizontal="center"/>
    </xf>
    <xf numFmtId="167" fontId="14" fillId="0" borderId="221" xfId="0" applyNumberFormat="1" applyFont="1" applyBorder="1" applyAlignment="1">
      <alignment horizontal="center"/>
    </xf>
    <xf numFmtId="0" fontId="14" fillId="0" borderId="220" xfId="0" applyFont="1" applyBorder="1" applyAlignment="1">
      <alignment horizontal="center"/>
    </xf>
    <xf numFmtId="10" fontId="0" fillId="33" borderId="65" xfId="0" applyNumberFormat="1" applyFill="1" applyBorder="1"/>
    <xf numFmtId="167" fontId="0" fillId="0" borderId="223" xfId="0" applyNumberFormat="1" applyBorder="1" applyAlignment="1">
      <alignment horizontal="center"/>
    </xf>
    <xf numFmtId="167" fontId="0" fillId="0" borderId="45" xfId="0" applyNumberFormat="1" applyBorder="1" applyAlignment="1">
      <alignment horizontal="center"/>
    </xf>
    <xf numFmtId="166" fontId="9" fillId="0" borderId="89" xfId="0" applyNumberFormat="1" applyFont="1" applyBorder="1" applyAlignment="1">
      <alignment horizontal="center"/>
    </xf>
    <xf numFmtId="0" fontId="57" fillId="0" borderId="104" xfId="0" applyFont="1" applyBorder="1" applyAlignment="1">
      <alignment horizontal="center"/>
    </xf>
    <xf numFmtId="0" fontId="9" fillId="37" borderId="241" xfId="0" applyFont="1" applyFill="1" applyBorder="1"/>
    <xf numFmtId="0" fontId="14" fillId="0" borderId="241" xfId="0" applyFont="1" applyBorder="1"/>
    <xf numFmtId="0" fontId="9" fillId="0" borderId="241" xfId="0" applyFont="1" applyBorder="1"/>
    <xf numFmtId="9" fontId="34" fillId="38" borderId="167" xfId="16" applyFont="1" applyFill="1" applyBorder="1" applyAlignment="1">
      <alignment horizontal="center" vertical="center"/>
    </xf>
    <xf numFmtId="168" fontId="34" fillId="38" borderId="39" xfId="16" applyNumberFormat="1" applyFont="1" applyFill="1" applyBorder="1" applyAlignment="1">
      <alignment horizontal="center" vertical="center"/>
    </xf>
    <xf numFmtId="0" fontId="14" fillId="37" borderId="241" xfId="0" applyFont="1" applyFill="1" applyBorder="1"/>
    <xf numFmtId="0" fontId="28" fillId="32" borderId="21" xfId="0" applyFont="1" applyFill="1" applyBorder="1" applyAlignment="1">
      <alignment horizontal="center"/>
    </xf>
    <xf numFmtId="14" fontId="14" fillId="0" borderId="244" xfId="0" applyNumberFormat="1" applyFont="1" applyBorder="1" applyAlignment="1">
      <alignment horizontal="center" vertical="center"/>
    </xf>
    <xf numFmtId="14" fontId="14" fillId="0" borderId="245" xfId="0" applyNumberFormat="1" applyFont="1" applyBorder="1" applyAlignment="1">
      <alignment horizontal="center" vertical="center"/>
    </xf>
    <xf numFmtId="0" fontId="9" fillId="0" borderId="249" xfId="0" applyFont="1" applyBorder="1" applyAlignment="1">
      <alignment horizontal="center" vertical="center"/>
    </xf>
    <xf numFmtId="0" fontId="0" fillId="0" borderId="250" xfId="0" applyBorder="1" applyAlignment="1">
      <alignment horizontal="center" vertical="center"/>
    </xf>
    <xf numFmtId="0" fontId="0" fillId="0" borderId="251" xfId="0" applyBorder="1"/>
    <xf numFmtId="0" fontId="0" fillId="0" borderId="251" xfId="0" quotePrefix="1" applyBorder="1"/>
    <xf numFmtId="2" fontId="0" fillId="24" borderId="252" xfId="16" applyNumberFormat="1" applyFont="1" applyFill="1" applyBorder="1" applyAlignment="1">
      <alignment horizontal="center"/>
    </xf>
    <xf numFmtId="168" fontId="0" fillId="24" borderId="252" xfId="16" applyNumberFormat="1" applyFont="1" applyFill="1" applyBorder="1" applyAlignment="1">
      <alignment horizontal="center"/>
    </xf>
    <xf numFmtId="169" fontId="0" fillId="24" borderId="252" xfId="16" applyNumberFormat="1" applyFont="1" applyFill="1" applyBorder="1" applyAlignment="1">
      <alignment horizontal="center"/>
    </xf>
    <xf numFmtId="169" fontId="0" fillId="24" borderId="252" xfId="0" applyNumberFormat="1" applyFill="1" applyBorder="1" applyAlignment="1">
      <alignment horizontal="center"/>
    </xf>
    <xf numFmtId="0" fontId="14" fillId="0" borderId="251" xfId="0" applyFont="1" applyBorder="1" applyAlignment="1">
      <alignment horizontal="center"/>
    </xf>
    <xf numFmtId="0" fontId="0" fillId="7" borderId="0" xfId="0" applyFill="1"/>
    <xf numFmtId="14" fontId="41" fillId="0" borderId="246" xfId="0" applyNumberFormat="1" applyFont="1" applyBorder="1" applyAlignment="1">
      <alignment horizontal="center" vertical="center"/>
    </xf>
    <xf numFmtId="177" fontId="9" fillId="24" borderId="17" xfId="0" applyNumberFormat="1" applyFont="1" applyFill="1" applyBorder="1" applyAlignment="1">
      <alignment horizontal="center"/>
    </xf>
    <xf numFmtId="10" fontId="0" fillId="24" borderId="252" xfId="16" applyNumberFormat="1" applyFont="1" applyFill="1" applyBorder="1" applyAlignment="1">
      <alignment horizontal="center"/>
    </xf>
    <xf numFmtId="9" fontId="0" fillId="0" borderId="72" xfId="0" applyNumberFormat="1" applyBorder="1" applyAlignment="1">
      <alignment horizontal="center"/>
    </xf>
    <xf numFmtId="3" fontId="36" fillId="30" borderId="0" xfId="0" applyNumberFormat="1" applyFont="1" applyFill="1" applyAlignment="1">
      <alignment horizontal="center" vertical="center"/>
    </xf>
    <xf numFmtId="3" fontId="37" fillId="30" borderId="0" xfId="21" applyNumberFormat="1" applyFont="1" applyFill="1" applyAlignment="1">
      <alignment horizontal="center" vertical="center"/>
    </xf>
    <xf numFmtId="3" fontId="37" fillId="30" borderId="0" xfId="0" applyNumberFormat="1" applyFont="1" applyFill="1" applyAlignment="1">
      <alignment horizontal="center" vertical="center"/>
    </xf>
    <xf numFmtId="0" fontId="9" fillId="0" borderId="256" xfId="24" applyBorder="1"/>
    <xf numFmtId="0" fontId="9" fillId="0" borderId="196" xfId="24" applyBorder="1"/>
    <xf numFmtId="0" fontId="9" fillId="0" borderId="151" xfId="24" applyBorder="1"/>
    <xf numFmtId="0" fontId="9" fillId="0" borderId="194" xfId="24" applyBorder="1"/>
    <xf numFmtId="0" fontId="9" fillId="0" borderId="195" xfId="24" applyBorder="1"/>
    <xf numFmtId="0" fontId="9" fillId="0" borderId="255" xfId="24" applyBorder="1"/>
    <xf numFmtId="10" fontId="9" fillId="0" borderId="141" xfId="16" applyNumberFormat="1" applyBorder="1"/>
    <xf numFmtId="10" fontId="9" fillId="0" borderId="151" xfId="16" applyNumberFormat="1" applyBorder="1"/>
    <xf numFmtId="0" fontId="9" fillId="35" borderId="0" xfId="24" applyFill="1"/>
    <xf numFmtId="4" fontId="0" fillId="0" borderId="0" xfId="0" applyNumberFormat="1"/>
    <xf numFmtId="0" fontId="87" fillId="14" borderId="0" xfId="0" applyFont="1" applyFill="1"/>
    <xf numFmtId="0" fontId="0" fillId="14" borderId="0" xfId="0" applyFill="1"/>
    <xf numFmtId="0" fontId="0" fillId="0" borderId="10" xfId="0" applyBorder="1"/>
    <xf numFmtId="0" fontId="0" fillId="0" borderId="169" xfId="0" applyBorder="1" applyAlignment="1">
      <alignment vertical="center" wrapText="1"/>
      <extLst>
        <ext xmlns:xfpb="http://schemas.microsoft.com/office/spreadsheetml/2022/featurepropertybag" uri="{C7286773-470A-42A8-94C5-96B5CB345126}">
          <xfpb:xfComplement i="0"/>
        </ext>
      </extLst>
    </xf>
    <xf numFmtId="0" fontId="0" fillId="0" borderId="0" xfId="0" applyAlignment="1">
      <alignment vertical="center" wrapText="1"/>
    </xf>
    <xf numFmtId="0" fontId="0" fillId="0" borderId="169" xfId="0" applyBorder="1" applyAlignment="1">
      <alignment horizontal="center"/>
      <extLst>
        <ext xmlns:xfpb="http://schemas.microsoft.com/office/spreadsheetml/2022/featurepropertybag" uri="{C7286773-470A-42A8-94C5-96B5CB345126}">
          <xfpb:xfComplement i="0"/>
        </ext>
      </extLst>
    </xf>
    <xf numFmtId="0" fontId="0" fillId="0" borderId="169" xfId="0" applyBorder="1">
      <extLst>
        <ext xmlns:xfpb="http://schemas.microsoft.com/office/spreadsheetml/2022/featurepropertybag" uri="{C7286773-470A-42A8-94C5-96B5CB345126}">
          <xfpb:xfComplement i="0"/>
        </ext>
      </extLst>
    </xf>
    <xf numFmtId="0" fontId="0" fillId="0" borderId="10" xfId="0" applyBorder="1" applyAlignment="1">
      <alignment vertical="center" wrapText="1"/>
    </xf>
    <xf numFmtId="0" fontId="0" fillId="0" borderId="12" xfId="0" applyBorder="1" applyAlignment="1">
      <alignment vertical="center" wrapText="1"/>
    </xf>
    <xf numFmtId="0" fontId="0" fillId="0" borderId="14" xfId="0" applyBorder="1"/>
    <xf numFmtId="0" fontId="0" fillId="0" borderId="260" xfId="0" applyBorder="1"/>
    <xf numFmtId="0" fontId="0" fillId="0" borderId="260" xfId="0" applyBorder="1" applyAlignment="1">
      <alignment horizontal="center"/>
    </xf>
    <xf numFmtId="0" fontId="0" fillId="0" borderId="261" xfId="0" applyBorder="1"/>
    <xf numFmtId="0" fontId="0" fillId="0" borderId="170" xfId="0" applyBorder="1" applyAlignment="1">
      <alignment vertical="center" wrapText="1"/>
      <extLst>
        <ext xmlns:xfpb="http://schemas.microsoft.com/office/spreadsheetml/2022/featurepropertybag" uri="{C7286773-470A-42A8-94C5-96B5CB345126}">
          <xfpb:xfComplement i="0"/>
        </ext>
      </extLst>
    </xf>
    <xf numFmtId="0" fontId="0" fillId="0" borderId="170" xfId="0" applyBorder="1">
      <extLst>
        <ext xmlns:xfpb="http://schemas.microsoft.com/office/spreadsheetml/2022/featurepropertybag" uri="{C7286773-470A-42A8-94C5-96B5CB345126}">
          <xfpb:xfComplement i="0"/>
        </ext>
      </extLst>
    </xf>
    <xf numFmtId="0" fontId="14" fillId="12" borderId="0" xfId="0" applyFont="1" applyFill="1"/>
    <xf numFmtId="0" fontId="87" fillId="0" borderId="0" xfId="0" applyFont="1"/>
    <xf numFmtId="3" fontId="0" fillId="8" borderId="0" xfId="0" applyNumberFormat="1" applyFill="1"/>
    <xf numFmtId="0" fontId="14" fillId="0" borderId="141" xfId="0" applyFont="1" applyBorder="1"/>
    <xf numFmtId="0" fontId="0" fillId="0" borderId="141" xfId="0" applyBorder="1"/>
    <xf numFmtId="3" fontId="0" fillId="0" borderId="141" xfId="0" applyNumberFormat="1" applyBorder="1"/>
    <xf numFmtId="0" fontId="14" fillId="14" borderId="0" xfId="0" applyFont="1" applyFill="1"/>
    <xf numFmtId="0" fontId="14" fillId="47" borderId="0" xfId="0" applyFont="1" applyFill="1"/>
    <xf numFmtId="3" fontId="0" fillId="47" borderId="0" xfId="0" applyNumberFormat="1" applyFill="1"/>
    <xf numFmtId="3" fontId="0" fillId="47" borderId="141" xfId="0" applyNumberFormat="1" applyFill="1" applyBorder="1"/>
    <xf numFmtId="0" fontId="0" fillId="47" borderId="0" xfId="0" applyFill="1"/>
    <xf numFmtId="10" fontId="0" fillId="47" borderId="0" xfId="16" applyNumberFormat="1" applyFont="1" applyFill="1"/>
    <xf numFmtId="166" fontId="0" fillId="17" borderId="89" xfId="0" applyNumberFormat="1" applyFill="1" applyBorder="1" applyAlignment="1">
      <alignment horizontal="center"/>
    </xf>
    <xf numFmtId="1" fontId="9" fillId="0" borderId="0" xfId="24" applyNumberFormat="1"/>
    <xf numFmtId="0" fontId="9" fillId="24" borderId="196" xfId="24" applyFill="1" applyBorder="1"/>
    <xf numFmtId="0" fontId="9" fillId="24" borderId="151" xfId="24" applyFill="1" applyBorder="1"/>
    <xf numFmtId="0" fontId="14" fillId="24" borderId="196" xfId="24" applyFont="1" applyFill="1" applyBorder="1"/>
    <xf numFmtId="9" fontId="9" fillId="0" borderId="0" xfId="24" applyNumberFormat="1"/>
    <xf numFmtId="168" fontId="9" fillId="0" borderId="0" xfId="16" applyNumberFormat="1"/>
    <xf numFmtId="0" fontId="1" fillId="0" borderId="40" xfId="0" applyFont="1" applyBorder="1"/>
    <xf numFmtId="166" fontId="1" fillId="0" borderId="40" xfId="0" applyNumberFormat="1" applyFont="1" applyBorder="1" applyAlignment="1">
      <alignment horizontal="center"/>
    </xf>
    <xf numFmtId="166" fontId="1" fillId="0" borderId="0" xfId="0" applyNumberFormat="1" applyFont="1" applyAlignment="1">
      <alignment horizontal="center"/>
    </xf>
    <xf numFmtId="9" fontId="0" fillId="47" borderId="0" xfId="16" applyFont="1" applyFill="1"/>
    <xf numFmtId="9" fontId="0" fillId="0" borderId="0" xfId="16" applyFont="1"/>
    <xf numFmtId="1" fontId="0" fillId="0" borderId="0" xfId="24" applyNumberFormat="1" applyFont="1"/>
    <xf numFmtId="169" fontId="9" fillId="0" borderId="0" xfId="24" applyNumberFormat="1"/>
    <xf numFmtId="168" fontId="9" fillId="0" borderId="196" xfId="16" applyNumberFormat="1" applyBorder="1"/>
    <xf numFmtId="168" fontId="14" fillId="0" borderId="0" xfId="16" applyNumberFormat="1" applyFont="1"/>
    <xf numFmtId="168" fontId="14" fillId="47" borderId="0" xfId="16" applyNumberFormat="1" applyFont="1" applyFill="1"/>
    <xf numFmtId="10" fontId="9" fillId="7" borderId="141" xfId="16" applyNumberFormat="1" applyFill="1" applyBorder="1"/>
    <xf numFmtId="1" fontId="0" fillId="7" borderId="0" xfId="24" applyNumberFormat="1" applyFont="1" applyFill="1"/>
    <xf numFmtId="1" fontId="0" fillId="0" borderId="267" xfId="24" applyNumberFormat="1" applyFont="1" applyBorder="1"/>
    <xf numFmtId="0" fontId="9" fillId="0" borderId="267" xfId="24" applyBorder="1"/>
    <xf numFmtId="169" fontId="9" fillId="7" borderId="0" xfId="24" applyNumberFormat="1" applyFill="1"/>
    <xf numFmtId="168" fontId="9" fillId="7" borderId="0" xfId="16" applyNumberFormat="1" applyFill="1" applyBorder="1"/>
    <xf numFmtId="168" fontId="9" fillId="0" borderId="0" xfId="16" applyNumberFormat="1" applyBorder="1"/>
    <xf numFmtId="168" fontId="9" fillId="0" borderId="267" xfId="16" applyNumberFormat="1" applyBorder="1"/>
    <xf numFmtId="169" fontId="9" fillId="0" borderId="267" xfId="24" applyNumberFormat="1" applyBorder="1"/>
    <xf numFmtId="9" fontId="9" fillId="7" borderId="141" xfId="24" applyNumberFormat="1" applyFill="1" applyBorder="1"/>
    <xf numFmtId="9" fontId="0" fillId="7" borderId="141" xfId="24" applyNumberFormat="1" applyFont="1" applyFill="1" applyBorder="1"/>
    <xf numFmtId="9" fontId="0" fillId="0" borderId="141" xfId="24" applyNumberFormat="1" applyFont="1" applyBorder="1"/>
    <xf numFmtId="9" fontId="9" fillId="0" borderId="141" xfId="24" applyNumberFormat="1" applyBorder="1"/>
    <xf numFmtId="9" fontId="9" fillId="0" borderId="141" xfId="16" applyBorder="1"/>
    <xf numFmtId="9" fontId="9" fillId="0" borderId="133" xfId="16" applyBorder="1"/>
    <xf numFmtId="1" fontId="9" fillId="7" borderId="0" xfId="24" applyNumberFormat="1" applyFill="1"/>
    <xf numFmtId="0" fontId="14" fillId="0" borderId="256" xfId="24" applyFont="1" applyBorder="1"/>
    <xf numFmtId="0" fontId="14" fillId="0" borderId="196" xfId="24" applyFont="1" applyBorder="1"/>
    <xf numFmtId="0" fontId="14" fillId="0" borderId="194" xfId="24" applyFont="1" applyBorder="1" applyAlignment="1">
      <alignment horizontal="center"/>
    </xf>
    <xf numFmtId="0" fontId="14" fillId="0" borderId="195" xfId="24" applyFont="1" applyBorder="1" applyAlignment="1">
      <alignment horizontal="center"/>
    </xf>
    <xf numFmtId="0" fontId="14" fillId="0" borderId="161" xfId="24" applyFont="1" applyBorder="1" applyAlignment="1">
      <alignment horizontal="center"/>
    </xf>
    <xf numFmtId="0" fontId="9" fillId="0" borderId="267" xfId="24" applyBorder="1" applyAlignment="1">
      <alignment horizontal="center"/>
    </xf>
    <xf numFmtId="0" fontId="14" fillId="8" borderId="195" xfId="24" applyFont="1" applyFill="1" applyBorder="1" applyAlignment="1">
      <alignment horizontal="center"/>
    </xf>
    <xf numFmtId="0" fontId="14" fillId="7" borderId="195" xfId="24" applyFont="1" applyFill="1" applyBorder="1" applyAlignment="1">
      <alignment horizontal="center"/>
    </xf>
    <xf numFmtId="0" fontId="14" fillId="17" borderId="195" xfId="24" applyFont="1" applyFill="1" applyBorder="1" applyAlignment="1">
      <alignment horizontal="center"/>
    </xf>
    <xf numFmtId="0" fontId="14" fillId="17" borderId="161" xfId="24" applyFont="1" applyFill="1" applyBorder="1" applyAlignment="1">
      <alignment horizontal="center"/>
    </xf>
    <xf numFmtId="9" fontId="14" fillId="7" borderId="0" xfId="16" applyFont="1" applyFill="1" applyBorder="1" applyAlignment="1">
      <alignment horizontal="center"/>
    </xf>
    <xf numFmtId="9" fontId="14" fillId="17" borderId="0" xfId="16" applyFont="1" applyFill="1" applyBorder="1" applyAlignment="1">
      <alignment horizontal="center"/>
    </xf>
    <xf numFmtId="9" fontId="14" fillId="17" borderId="267" xfId="16" applyFont="1" applyFill="1" applyBorder="1" applyAlignment="1">
      <alignment horizontal="center"/>
    </xf>
    <xf numFmtId="1" fontId="14" fillId="24" borderId="0" xfId="16" applyNumberFormat="1" applyFont="1" applyFill="1" applyBorder="1" applyAlignment="1">
      <alignment horizontal="center"/>
    </xf>
    <xf numFmtId="1" fontId="14" fillId="24" borderId="267" xfId="16" applyNumberFormat="1" applyFont="1" applyFill="1" applyBorder="1" applyAlignment="1">
      <alignment horizontal="center"/>
    </xf>
    <xf numFmtId="9" fontId="9" fillId="0" borderId="40" xfId="24" applyNumberFormat="1" applyBorder="1"/>
    <xf numFmtId="176" fontId="9" fillId="0" borderId="0" xfId="16" applyNumberFormat="1"/>
    <xf numFmtId="3" fontId="9" fillId="0" borderId="0" xfId="24" applyNumberFormat="1"/>
    <xf numFmtId="0" fontId="14" fillId="0" borderId="0" xfId="24" applyFont="1" applyAlignment="1">
      <alignment horizontal="right"/>
    </xf>
    <xf numFmtId="0" fontId="0" fillId="0" borderId="0" xfId="24" applyFont="1"/>
    <xf numFmtId="1" fontId="9" fillId="7" borderId="0" xfId="0" applyNumberFormat="1" applyFont="1" applyFill="1" applyAlignment="1">
      <alignment horizontal="center"/>
    </xf>
    <xf numFmtId="9" fontId="9" fillId="8" borderId="37" xfId="16" applyFont="1" applyFill="1" applyBorder="1" applyAlignment="1">
      <alignment horizontal="center"/>
    </xf>
    <xf numFmtId="168" fontId="9" fillId="8" borderId="0" xfId="16" applyNumberFormat="1" applyFont="1" applyFill="1" applyBorder="1" applyAlignment="1">
      <alignment horizontal="center"/>
    </xf>
    <xf numFmtId="168" fontId="9" fillId="7" borderId="0" xfId="16" applyNumberFormat="1" applyFont="1" applyFill="1" applyBorder="1" applyAlignment="1">
      <alignment horizontal="center"/>
    </xf>
    <xf numFmtId="168" fontId="9" fillId="17" borderId="0" xfId="16" applyNumberFormat="1" applyFont="1" applyFill="1" applyBorder="1" applyAlignment="1">
      <alignment horizontal="center"/>
    </xf>
    <xf numFmtId="168" fontId="9" fillId="17" borderId="267" xfId="16" applyNumberFormat="1" applyFont="1" applyFill="1" applyBorder="1" applyAlignment="1">
      <alignment horizontal="center"/>
    </xf>
    <xf numFmtId="0" fontId="9" fillId="0" borderId="37" xfId="24" applyBorder="1" applyAlignment="1">
      <alignment horizontal="center"/>
    </xf>
    <xf numFmtId="0" fontId="9" fillId="8" borderId="0" xfId="0" applyFont="1" applyFill="1" applyAlignment="1">
      <alignment horizontal="center"/>
    </xf>
    <xf numFmtId="0" fontId="9" fillId="7" borderId="0" xfId="0" applyFont="1" applyFill="1" applyAlignment="1">
      <alignment horizontal="center"/>
    </xf>
    <xf numFmtId="1" fontId="9" fillId="17" borderId="0" xfId="0" applyNumberFormat="1" applyFont="1" applyFill="1" applyAlignment="1">
      <alignment horizontal="center"/>
    </xf>
    <xf numFmtId="1" fontId="9" fillId="17" borderId="267" xfId="0" applyNumberFormat="1" applyFont="1" applyFill="1" applyBorder="1" applyAlignment="1">
      <alignment horizontal="center"/>
    </xf>
    <xf numFmtId="9" fontId="9" fillId="8" borderId="0" xfId="16" applyFont="1" applyFill="1" applyBorder="1" applyAlignment="1">
      <alignment horizontal="center"/>
    </xf>
    <xf numFmtId="9" fontId="9" fillId="7" borderId="0" xfId="16" applyFont="1" applyFill="1" applyBorder="1" applyAlignment="1">
      <alignment horizontal="center"/>
    </xf>
    <xf numFmtId="9" fontId="9" fillId="17" borderId="0" xfId="16" applyFont="1" applyFill="1" applyBorder="1" applyAlignment="1">
      <alignment horizontal="center"/>
    </xf>
    <xf numFmtId="9" fontId="9" fillId="17" borderId="267" xfId="16" applyFont="1" applyFill="1" applyBorder="1" applyAlignment="1">
      <alignment horizontal="center"/>
    </xf>
    <xf numFmtId="9" fontId="9" fillId="24" borderId="0" xfId="16" applyFont="1" applyFill="1" applyBorder="1" applyAlignment="1">
      <alignment horizontal="center"/>
    </xf>
    <xf numFmtId="168" fontId="9" fillId="24" borderId="0" xfId="16" applyNumberFormat="1" applyFont="1" applyFill="1" applyBorder="1" applyAlignment="1">
      <alignment horizontal="center"/>
    </xf>
    <xf numFmtId="9" fontId="9" fillId="24" borderId="267" xfId="16" applyFont="1" applyFill="1" applyBorder="1" applyAlignment="1">
      <alignment horizontal="center"/>
    </xf>
    <xf numFmtId="9" fontId="9" fillId="24" borderId="37" xfId="16" applyFont="1" applyFill="1" applyBorder="1" applyAlignment="1">
      <alignment horizontal="center"/>
    </xf>
    <xf numFmtId="9" fontId="9" fillId="24" borderId="266" xfId="16" applyFont="1" applyFill="1" applyBorder="1" applyAlignment="1">
      <alignment horizontal="center"/>
    </xf>
    <xf numFmtId="9" fontId="9" fillId="24" borderId="141" xfId="16" applyFont="1" applyFill="1" applyBorder="1" applyAlignment="1">
      <alignment horizontal="center"/>
    </xf>
    <xf numFmtId="9" fontId="9" fillId="24" borderId="133" xfId="16" applyFont="1" applyFill="1" applyBorder="1" applyAlignment="1">
      <alignment horizontal="center"/>
    </xf>
    <xf numFmtId="1" fontId="14" fillId="24" borderId="37" xfId="16" applyNumberFormat="1" applyFont="1" applyFill="1" applyBorder="1" applyAlignment="1">
      <alignment horizontal="center"/>
    </xf>
    <xf numFmtId="9" fontId="14" fillId="8" borderId="37" xfId="16" applyFont="1" applyFill="1" applyBorder="1" applyAlignment="1">
      <alignment horizontal="center"/>
    </xf>
    <xf numFmtId="9" fontId="14" fillId="8" borderId="0" xfId="16" applyFont="1" applyFill="1" applyBorder="1" applyAlignment="1">
      <alignment horizontal="center"/>
    </xf>
    <xf numFmtId="0" fontId="14" fillId="0" borderId="115" xfId="0" applyFont="1" applyBorder="1"/>
    <xf numFmtId="0" fontId="0" fillId="0" borderId="112" xfId="0" applyBorder="1"/>
    <xf numFmtId="0" fontId="14" fillId="0" borderId="112" xfId="0" applyFont="1" applyBorder="1"/>
    <xf numFmtId="0" fontId="14" fillId="0" borderId="271" xfId="0" applyFont="1" applyBorder="1"/>
    <xf numFmtId="0" fontId="14" fillId="48" borderId="134" xfId="0" applyFont="1" applyFill="1" applyBorder="1" applyAlignment="1">
      <alignment horizontal="center" vertical="center"/>
    </xf>
    <xf numFmtId="0" fontId="14" fillId="0" borderId="114" xfId="0" applyFont="1" applyBorder="1" applyAlignment="1">
      <alignment horizontal="center" vertical="center"/>
    </xf>
    <xf numFmtId="0" fontId="14" fillId="0" borderId="0" xfId="0" applyFont="1" applyAlignment="1">
      <alignment horizontal="center" vertical="center"/>
    </xf>
    <xf numFmtId="0" fontId="14" fillId="0" borderId="115" xfId="0" applyFont="1" applyBorder="1" applyAlignment="1">
      <alignment horizontal="center" vertical="center"/>
    </xf>
    <xf numFmtId="0" fontId="14" fillId="40" borderId="115" xfId="0" applyFont="1" applyFill="1" applyBorder="1"/>
    <xf numFmtId="0" fontId="0" fillId="40" borderId="169" xfId="0" applyFill="1" applyBorder="1" applyAlignment="1">
      <alignment horizontal="center" vertical="center"/>
    </xf>
    <xf numFmtId="0" fontId="0" fillId="40" borderId="115" xfId="0" applyFill="1" applyBorder="1" applyAlignment="1">
      <alignment horizontal="center" vertical="center"/>
    </xf>
    <xf numFmtId="0" fontId="14" fillId="40" borderId="112" xfId="0" applyFont="1" applyFill="1" applyBorder="1"/>
    <xf numFmtId="0" fontId="0" fillId="40" borderId="0" xfId="0" applyFill="1" applyAlignment="1">
      <alignment horizontal="center" vertical="center"/>
    </xf>
    <xf numFmtId="0" fontId="0" fillId="40" borderId="112" xfId="0" applyFill="1" applyBorder="1" applyAlignment="1">
      <alignment horizontal="center" vertical="center"/>
    </xf>
    <xf numFmtId="168" fontId="0" fillId="0" borderId="0" xfId="0" applyNumberFormat="1" applyAlignment="1">
      <alignment horizontal="center" vertical="center"/>
    </xf>
    <xf numFmtId="168" fontId="0" fillId="0" borderId="112" xfId="0" applyNumberFormat="1" applyBorder="1" applyAlignment="1">
      <alignment horizontal="center" vertical="center"/>
    </xf>
    <xf numFmtId="0" fontId="65" fillId="0" borderId="112" xfId="0" applyFont="1" applyBorder="1"/>
    <xf numFmtId="0" fontId="0" fillId="0" borderId="112" xfId="0" applyBorder="1" applyAlignment="1">
      <alignment horizontal="center" vertical="center"/>
    </xf>
    <xf numFmtId="0" fontId="0" fillId="40" borderId="112" xfId="0" applyFill="1" applyBorder="1"/>
    <xf numFmtId="3" fontId="0" fillId="40" borderId="0" xfId="0" applyNumberFormat="1" applyFill="1" applyAlignment="1">
      <alignment horizontal="center" vertical="center"/>
    </xf>
    <xf numFmtId="10" fontId="0" fillId="40" borderId="112" xfId="0" applyNumberFormat="1" applyFill="1" applyBorder="1" applyAlignment="1">
      <alignment horizontal="center" vertical="center"/>
    </xf>
    <xf numFmtId="168" fontId="0" fillId="12" borderId="275" xfId="0" applyNumberFormat="1" applyFill="1" applyBorder="1" applyAlignment="1">
      <alignment horizontal="center" vertical="center"/>
    </xf>
    <xf numFmtId="168" fontId="0" fillId="0" borderId="0" xfId="0" applyNumberFormat="1"/>
    <xf numFmtId="0" fontId="14" fillId="0" borderId="116" xfId="0" applyFont="1" applyBorder="1" applyAlignment="1">
      <alignment horizontal="center"/>
    </xf>
    <xf numFmtId="0" fontId="14" fillId="0" borderId="169" xfId="0" applyFont="1" applyBorder="1" applyAlignment="1">
      <alignment horizontal="center"/>
    </xf>
    <xf numFmtId="0" fontId="14" fillId="0" borderId="115" xfId="0" applyFont="1" applyBorder="1" applyAlignment="1">
      <alignment horizontal="center"/>
    </xf>
    <xf numFmtId="0" fontId="0" fillId="0" borderId="268" xfId="0" applyBorder="1" applyAlignment="1">
      <alignment horizontal="center" vertical="center"/>
    </xf>
    <xf numFmtId="0" fontId="0" fillId="0" borderId="269" xfId="0" applyBorder="1" applyAlignment="1">
      <alignment horizontal="center" vertical="center"/>
    </xf>
    <xf numFmtId="0" fontId="0" fillId="0" borderId="273" xfId="0" applyBorder="1" applyAlignment="1">
      <alignment horizontal="center"/>
    </xf>
    <xf numFmtId="0" fontId="0" fillId="0" borderId="37" xfId="0" applyBorder="1" applyAlignment="1">
      <alignment horizontal="center" vertical="center"/>
    </xf>
    <xf numFmtId="0" fontId="0" fillId="0" borderId="276" xfId="0" applyBorder="1" applyAlignment="1">
      <alignment horizontal="center"/>
    </xf>
    <xf numFmtId="168" fontId="0" fillId="0" borderId="37" xfId="0" applyNumberFormat="1" applyBorder="1" applyAlignment="1">
      <alignment horizontal="center" vertical="center"/>
    </xf>
    <xf numFmtId="168" fontId="0" fillId="0" borderId="276" xfId="0" applyNumberFormat="1" applyBorder="1" applyAlignment="1">
      <alignment horizontal="center"/>
    </xf>
    <xf numFmtId="168" fontId="0" fillId="0" borderId="194" xfId="0" applyNumberFormat="1" applyBorder="1" applyAlignment="1">
      <alignment horizontal="center" vertical="center"/>
    </xf>
    <xf numFmtId="168" fontId="0" fillId="0" borderId="195" xfId="0" applyNumberFormat="1" applyBorder="1" applyAlignment="1">
      <alignment horizontal="center" vertical="center"/>
    </xf>
    <xf numFmtId="168" fontId="14" fillId="0" borderId="277" xfId="0" applyNumberFormat="1" applyFont="1" applyBorder="1" applyAlignment="1">
      <alignment horizontal="center"/>
    </xf>
    <xf numFmtId="9" fontId="9" fillId="0" borderId="0" xfId="16"/>
    <xf numFmtId="17" fontId="9" fillId="0" borderId="0" xfId="24" applyNumberFormat="1"/>
    <xf numFmtId="0" fontId="14" fillId="49" borderId="126" xfId="0" applyFont="1" applyFill="1" applyBorder="1" applyAlignment="1">
      <alignment horizontal="center" vertical="center"/>
    </xf>
    <xf numFmtId="0" fontId="14" fillId="49" borderId="110" xfId="0" applyFont="1" applyFill="1" applyBorder="1" applyAlignment="1">
      <alignment horizontal="center" vertical="center"/>
    </xf>
    <xf numFmtId="0" fontId="14" fillId="49" borderId="270" xfId="0" applyFont="1" applyFill="1" applyBorder="1" applyAlignment="1">
      <alignment horizontal="center" vertical="center"/>
    </xf>
    <xf numFmtId="10" fontId="0" fillId="0" borderId="127" xfId="0" applyNumberFormat="1" applyBorder="1"/>
    <xf numFmtId="10" fontId="0" fillId="0" borderId="271" xfId="0" applyNumberFormat="1" applyBorder="1"/>
    <xf numFmtId="0" fontId="0" fillId="0" borderId="195" xfId="0" applyBorder="1"/>
    <xf numFmtId="168" fontId="0" fillId="0" borderId="37" xfId="16" applyNumberFormat="1" applyFont="1" applyBorder="1" applyAlignment="1">
      <alignment horizontal="center" vertical="center"/>
    </xf>
    <xf numFmtId="168" fontId="0" fillId="0" borderId="0" xfId="16" applyNumberFormat="1" applyFont="1" applyAlignment="1">
      <alignment horizontal="center" vertical="center"/>
    </xf>
    <xf numFmtId="10" fontId="14" fillId="0" borderId="0" xfId="16" applyNumberFormat="1" applyFont="1"/>
    <xf numFmtId="178" fontId="9" fillId="24" borderId="17" xfId="34" applyNumberFormat="1" applyFont="1" applyFill="1" applyBorder="1" applyAlignment="1">
      <alignment horizontal="center" vertical="center" wrapText="1"/>
    </xf>
    <xf numFmtId="168" fontId="14" fillId="0" borderId="37" xfId="16" applyNumberFormat="1" applyFont="1" applyBorder="1" applyAlignment="1">
      <alignment horizontal="center" vertical="center"/>
    </xf>
    <xf numFmtId="168" fontId="14" fillId="0" borderId="0" xfId="16" applyNumberFormat="1" applyFont="1" applyAlignment="1">
      <alignment horizontal="center" vertical="center"/>
    </xf>
    <xf numFmtId="168" fontId="14" fillId="0" borderId="276" xfId="0" applyNumberFormat="1" applyFont="1" applyBorder="1" applyAlignment="1">
      <alignment horizontal="center"/>
    </xf>
    <xf numFmtId="0" fontId="0" fillId="0" borderId="196" xfId="0" applyBorder="1"/>
    <xf numFmtId="0" fontId="14" fillId="0" borderId="196" xfId="0" applyFont="1" applyBorder="1"/>
    <xf numFmtId="0" fontId="14" fillId="0" borderId="255" xfId="0" applyFont="1" applyBorder="1"/>
    <xf numFmtId="0" fontId="9" fillId="0" borderId="196" xfId="0" applyFont="1" applyBorder="1"/>
    <xf numFmtId="0" fontId="14" fillId="0" borderId="194" xfId="24" applyFont="1" applyBorder="1"/>
    <xf numFmtId="0" fontId="14" fillId="14" borderId="194" xfId="24" applyFont="1" applyFill="1" applyBorder="1"/>
    <xf numFmtId="10" fontId="9" fillId="0" borderId="0" xfId="16" applyNumberFormat="1" applyAlignment="1">
      <alignment horizontal="center"/>
    </xf>
    <xf numFmtId="10" fontId="9" fillId="0" borderId="0" xfId="16" applyNumberFormat="1"/>
    <xf numFmtId="10" fontId="9" fillId="0" borderId="0" xfId="16" applyNumberFormat="1" applyFont="1" applyAlignment="1">
      <alignment horizontal="center"/>
    </xf>
    <xf numFmtId="0" fontId="9" fillId="40" borderId="112" xfId="0" applyFont="1" applyFill="1" applyBorder="1"/>
    <xf numFmtId="168" fontId="9" fillId="0" borderId="255" xfId="24" applyNumberFormat="1" applyBorder="1"/>
    <xf numFmtId="0" fontId="14" fillId="14" borderId="194" xfId="24" applyFont="1" applyFill="1" applyBorder="1" applyAlignment="1">
      <alignment horizontal="center"/>
    </xf>
    <xf numFmtId="0" fontId="14" fillId="14" borderId="255" xfId="24" applyFont="1" applyFill="1" applyBorder="1" applyAlignment="1">
      <alignment horizontal="center"/>
    </xf>
    <xf numFmtId="9" fontId="9" fillId="0" borderId="151" xfId="24" applyNumberFormat="1" applyBorder="1" applyAlignment="1">
      <alignment horizontal="center"/>
    </xf>
    <xf numFmtId="168" fontId="9" fillId="0" borderId="133" xfId="24" applyNumberFormat="1" applyBorder="1" applyAlignment="1">
      <alignment horizontal="center"/>
    </xf>
    <xf numFmtId="10" fontId="9" fillId="0" borderId="141" xfId="16" applyNumberFormat="1" applyBorder="1" applyAlignment="1"/>
    <xf numFmtId="10" fontId="9" fillId="0" borderId="151" xfId="16" applyNumberFormat="1" applyBorder="1" applyAlignment="1"/>
    <xf numFmtId="0" fontId="0" fillId="0" borderId="112" xfId="0" applyBorder="1" applyAlignment="1">
      <alignment horizontal="center"/>
    </xf>
    <xf numFmtId="168" fontId="0" fillId="0" borderId="127" xfId="0" applyNumberFormat="1" applyBorder="1" applyAlignment="1">
      <alignment horizontal="center"/>
    </xf>
    <xf numFmtId="168" fontId="0" fillId="0" borderId="271" xfId="0" applyNumberFormat="1" applyBorder="1" applyAlignment="1">
      <alignment horizontal="center"/>
    </xf>
    <xf numFmtId="0" fontId="14" fillId="14" borderId="126" xfId="0" applyFont="1" applyFill="1" applyBorder="1" applyAlignment="1">
      <alignment horizontal="center"/>
    </xf>
    <xf numFmtId="0" fontId="14" fillId="14" borderId="110" xfId="0" applyFont="1" applyFill="1" applyBorder="1" applyAlignment="1">
      <alignment horizontal="center"/>
    </xf>
    <xf numFmtId="0" fontId="14" fillId="14" borderId="270" xfId="0" applyFont="1" applyFill="1" applyBorder="1" applyAlignment="1">
      <alignment horizontal="center"/>
    </xf>
    <xf numFmtId="0" fontId="14" fillId="14" borderId="195" xfId="24" applyFont="1" applyFill="1" applyBorder="1"/>
    <xf numFmtId="0" fontId="14" fillId="14" borderId="255" xfId="24" applyFont="1" applyFill="1" applyBorder="1"/>
    <xf numFmtId="0" fontId="14" fillId="0" borderId="151" xfId="24" applyFont="1" applyBorder="1"/>
    <xf numFmtId="9" fontId="0" fillId="51" borderId="89" xfId="16" applyFont="1" applyFill="1" applyBorder="1" applyAlignment="1">
      <alignment horizontal="center"/>
    </xf>
    <xf numFmtId="0" fontId="0" fillId="0" borderId="278" xfId="0" applyBorder="1"/>
    <xf numFmtId="0" fontId="48" fillId="0" borderId="0" xfId="0" applyFont="1" applyAlignment="1">
      <alignment horizontal="center" vertical="center" wrapText="1"/>
    </xf>
    <xf numFmtId="0" fontId="48" fillId="23" borderId="279" xfId="0" applyFont="1" applyFill="1" applyBorder="1" applyAlignment="1">
      <alignment horizontal="center" vertical="center" wrapText="1"/>
    </xf>
    <xf numFmtId="9" fontId="0" fillId="50" borderId="89" xfId="16" applyFont="1" applyFill="1" applyBorder="1" applyAlignment="1">
      <alignment horizontal="center"/>
    </xf>
    <xf numFmtId="10" fontId="0" fillId="51" borderId="95" xfId="16" applyNumberFormat="1" applyFont="1" applyFill="1" applyBorder="1" applyAlignment="1">
      <alignment horizontal="center" vertical="center"/>
    </xf>
    <xf numFmtId="0" fontId="48" fillId="15" borderId="98" xfId="0" applyFont="1" applyFill="1" applyBorder="1" applyAlignment="1">
      <alignment horizontal="center" vertical="center" wrapText="1"/>
    </xf>
    <xf numFmtId="0" fontId="48" fillId="11" borderId="98" xfId="0" applyFont="1" applyFill="1" applyBorder="1" applyAlignment="1">
      <alignment horizontal="center" vertical="center" wrapText="1"/>
    </xf>
    <xf numFmtId="0" fontId="48" fillId="10" borderId="98" xfId="0" applyFont="1" applyFill="1" applyBorder="1" applyAlignment="1">
      <alignment horizontal="center" vertical="center" wrapText="1"/>
    </xf>
    <xf numFmtId="10" fontId="9" fillId="0" borderId="40" xfId="24" applyNumberFormat="1" applyBorder="1"/>
    <xf numFmtId="168" fontId="55" fillId="0" borderId="195" xfId="0" applyNumberFormat="1" applyFont="1" applyBorder="1"/>
    <xf numFmtId="168" fontId="55" fillId="0" borderId="161" xfId="0" applyNumberFormat="1" applyFont="1" applyBorder="1"/>
    <xf numFmtId="9" fontId="0" fillId="0" borderId="195" xfId="0" applyNumberFormat="1" applyBorder="1"/>
    <xf numFmtId="9" fontId="0" fillId="0" borderId="161" xfId="0" applyNumberFormat="1" applyBorder="1"/>
    <xf numFmtId="9" fontId="0" fillId="0" borderId="195" xfId="16" applyFont="1" applyBorder="1"/>
    <xf numFmtId="9" fontId="0" fillId="0" borderId="161" xfId="16" applyFont="1" applyBorder="1"/>
    <xf numFmtId="0" fontId="14" fillId="0" borderId="255" xfId="0" applyFont="1" applyBorder="1" applyAlignment="1">
      <alignment horizontal="center"/>
    </xf>
    <xf numFmtId="0" fontId="55" fillId="0" borderId="0" xfId="0" applyFont="1" applyAlignment="1">
      <alignment horizontal="center"/>
    </xf>
    <xf numFmtId="168" fontId="57" fillId="0" borderId="255" xfId="16" applyNumberFormat="1" applyFont="1" applyBorder="1" applyAlignment="1">
      <alignment horizontal="center"/>
    </xf>
    <xf numFmtId="0" fontId="57" fillId="0" borderId="255" xfId="0" applyFont="1" applyBorder="1" applyAlignment="1">
      <alignment horizontal="center"/>
    </xf>
    <xf numFmtId="10" fontId="9" fillId="0" borderId="119" xfId="0" applyNumberFormat="1" applyFont="1" applyBorder="1" applyAlignment="1">
      <alignment horizontal="center" vertical="center"/>
    </xf>
    <xf numFmtId="0" fontId="14" fillId="0" borderId="37" xfId="24" applyFont="1" applyBorder="1"/>
    <xf numFmtId="10" fontId="9" fillId="0" borderId="267" xfId="24" applyNumberFormat="1" applyBorder="1"/>
    <xf numFmtId="9" fontId="9" fillId="0" borderId="267" xfId="24" applyNumberFormat="1" applyBorder="1"/>
    <xf numFmtId="0" fontId="14" fillId="0" borderId="266" xfId="24" applyFont="1" applyBorder="1"/>
    <xf numFmtId="10" fontId="9" fillId="0" borderId="133" xfId="24" applyNumberFormat="1" applyBorder="1"/>
    <xf numFmtId="0" fontId="14" fillId="52" borderId="196" xfId="24" applyFont="1" applyFill="1" applyBorder="1"/>
    <xf numFmtId="44" fontId="9" fillId="52" borderId="0" xfId="36" applyFont="1" applyFill="1" applyBorder="1" applyAlignment="1">
      <alignment horizontal="center"/>
    </xf>
    <xf numFmtId="0" fontId="9" fillId="0" borderId="0" xfId="16" applyNumberFormat="1"/>
    <xf numFmtId="182" fontId="9" fillId="0" borderId="0" xfId="16" applyNumberFormat="1"/>
    <xf numFmtId="164" fontId="9" fillId="0" borderId="0" xfId="24" applyNumberFormat="1"/>
    <xf numFmtId="164" fontId="9" fillId="0" borderId="31" xfId="24" applyNumberFormat="1" applyBorder="1"/>
    <xf numFmtId="164" fontId="9" fillId="0" borderId="33" xfId="24" applyNumberFormat="1" applyBorder="1"/>
    <xf numFmtId="0" fontId="9" fillId="0" borderId="31" xfId="24" applyBorder="1"/>
    <xf numFmtId="0" fontId="9" fillId="0" borderId="4" xfId="24" applyBorder="1"/>
    <xf numFmtId="0" fontId="9" fillId="0" borderId="2" xfId="24" applyBorder="1"/>
    <xf numFmtId="164" fontId="9" fillId="0" borderId="4" xfId="24" applyNumberFormat="1" applyBorder="1"/>
    <xf numFmtId="164" fontId="9" fillId="0" borderId="2" xfId="24" applyNumberFormat="1" applyBorder="1"/>
    <xf numFmtId="0" fontId="9" fillId="0" borderId="40" xfId="24" applyBorder="1" applyAlignment="1">
      <alignment horizontal="right"/>
    </xf>
    <xf numFmtId="0" fontId="9" fillId="0" borderId="39" xfId="24" applyBorder="1" applyAlignment="1">
      <alignment horizontal="right"/>
    </xf>
    <xf numFmtId="166" fontId="9" fillId="0" borderId="31" xfId="24" applyNumberFormat="1" applyBorder="1"/>
    <xf numFmtId="166" fontId="9" fillId="0" borderId="33" xfId="24" applyNumberFormat="1" applyBorder="1"/>
    <xf numFmtId="0" fontId="0" fillId="3" borderId="99" xfId="10" applyFont="1" applyBorder="1" applyAlignment="1">
      <alignment horizontal="center" vertical="center"/>
    </xf>
    <xf numFmtId="0" fontId="9" fillId="28" borderId="99" xfId="10" applyFont="1" applyFill="1" applyBorder="1" applyAlignment="1">
      <alignment horizontal="right" vertical="center"/>
    </xf>
    <xf numFmtId="174" fontId="0" fillId="0" borderId="99" xfId="26" applyNumberFormat="1" applyFont="1" applyBorder="1"/>
    <xf numFmtId="0" fontId="0" fillId="0" borderId="99" xfId="26" applyFont="1" applyBorder="1" applyAlignment="1">
      <alignment vertical="center"/>
    </xf>
    <xf numFmtId="0" fontId="48" fillId="31" borderId="280" xfId="0" applyFont="1" applyFill="1" applyBorder="1" applyAlignment="1">
      <alignment horizontal="center" vertical="center"/>
    </xf>
    <xf numFmtId="0" fontId="48" fillId="9" borderId="281" xfId="0" applyFont="1" applyFill="1" applyBorder="1" applyAlignment="1">
      <alignment horizontal="center" vertical="center"/>
    </xf>
    <xf numFmtId="0" fontId="48" fillId="10" borderId="282" xfId="0" applyFont="1" applyFill="1" applyBorder="1" applyAlignment="1">
      <alignment horizontal="center" vertical="center" wrapText="1"/>
    </xf>
    <xf numFmtId="0" fontId="48" fillId="11" borderId="282" xfId="0" applyFont="1" applyFill="1" applyBorder="1" applyAlignment="1">
      <alignment horizontal="center" vertical="center" wrapText="1"/>
    </xf>
    <xf numFmtId="0" fontId="48" fillId="15" borderId="282" xfId="0" applyFont="1" applyFill="1" applyBorder="1" applyAlignment="1">
      <alignment horizontal="center" vertical="center" wrapText="1"/>
    </xf>
    <xf numFmtId="0" fontId="48" fillId="23" borderId="283" xfId="0" applyFont="1" applyFill="1" applyBorder="1" applyAlignment="1">
      <alignment horizontal="center" vertical="center" wrapText="1"/>
    </xf>
    <xf numFmtId="0" fontId="28" fillId="32" borderId="284" xfId="0" applyFont="1" applyFill="1" applyBorder="1" applyAlignment="1">
      <alignment horizontal="center"/>
    </xf>
    <xf numFmtId="0" fontId="0" fillId="32" borderId="285" xfId="0" applyFill="1" applyBorder="1"/>
    <xf numFmtId="0" fontId="14" fillId="17" borderId="286" xfId="0" applyFont="1" applyFill="1" applyBorder="1"/>
    <xf numFmtId="173" fontId="0" fillId="0" borderId="287" xfId="0" applyNumberFormat="1" applyBorder="1" applyAlignment="1">
      <alignment horizontal="center"/>
    </xf>
    <xf numFmtId="166" fontId="0" fillId="0" borderId="0" xfId="0" applyNumberFormat="1" applyAlignment="1">
      <alignment horizontal="center"/>
    </xf>
    <xf numFmtId="0" fontId="28" fillId="32" borderId="286" xfId="0" applyFont="1" applyFill="1" applyBorder="1" applyAlignment="1">
      <alignment horizontal="center"/>
    </xf>
    <xf numFmtId="0" fontId="0" fillId="32" borderId="287" xfId="0" applyFill="1" applyBorder="1"/>
    <xf numFmtId="0" fontId="14" fillId="17" borderId="288" xfId="0" applyFont="1" applyFill="1" applyBorder="1"/>
    <xf numFmtId="173" fontId="0" fillId="24" borderId="289" xfId="0" applyNumberFormat="1" applyFill="1" applyBorder="1" applyAlignment="1">
      <alignment horizontal="center"/>
    </xf>
    <xf numFmtId="173" fontId="0" fillId="0" borderId="289" xfId="0" applyNumberFormat="1" applyBorder="1" applyAlignment="1">
      <alignment horizontal="center"/>
    </xf>
    <xf numFmtId="173" fontId="0" fillId="0" borderId="290" xfId="0" applyNumberFormat="1" applyBorder="1" applyAlignment="1">
      <alignment horizontal="center"/>
    </xf>
    <xf numFmtId="0" fontId="14" fillId="14" borderId="161" xfId="24" applyFont="1" applyFill="1" applyBorder="1" applyAlignment="1">
      <alignment horizontal="center"/>
    </xf>
    <xf numFmtId="0" fontId="57" fillId="0" borderId="291" xfId="0" applyFont="1" applyBorder="1" applyAlignment="1">
      <alignment horizontal="center"/>
    </xf>
    <xf numFmtId="0" fontId="58" fillId="0" borderId="292" xfId="0" applyFont="1" applyBorder="1" applyAlignment="1">
      <alignment horizontal="center"/>
    </xf>
    <xf numFmtId="0" fontId="14" fillId="0" borderId="128" xfId="0" applyFont="1" applyBorder="1" applyAlignment="1">
      <alignment horizontal="center"/>
    </xf>
    <xf numFmtId="0" fontId="14" fillId="0" borderId="131" xfId="0" applyFont="1" applyBorder="1" applyAlignment="1">
      <alignment horizontal="center"/>
    </xf>
    <xf numFmtId="0" fontId="9" fillId="0" borderId="293" xfId="0" applyFont="1" applyBorder="1"/>
    <xf numFmtId="9" fontId="0" fillId="0" borderId="194" xfId="0" applyNumberFormat="1" applyBorder="1" applyAlignment="1">
      <alignment horizontal="center"/>
    </xf>
    <xf numFmtId="0" fontId="14" fillId="24" borderId="194" xfId="0" applyFont="1" applyFill="1" applyBorder="1"/>
    <xf numFmtId="0" fontId="14" fillId="24" borderId="268" xfId="0" applyFont="1" applyFill="1" applyBorder="1" applyAlignment="1">
      <alignment horizontal="center"/>
    </xf>
    <xf numFmtId="0" fontId="14" fillId="24" borderId="256" xfId="0" applyFont="1" applyFill="1" applyBorder="1" applyAlignment="1">
      <alignment horizontal="center"/>
    </xf>
    <xf numFmtId="9" fontId="0" fillId="0" borderId="255" xfId="0" applyNumberFormat="1" applyBorder="1" applyAlignment="1">
      <alignment horizontal="center"/>
    </xf>
    <xf numFmtId="0" fontId="9" fillId="0" borderId="268" xfId="24" applyBorder="1"/>
    <xf numFmtId="9" fontId="9" fillId="0" borderId="36" xfId="24" applyNumberFormat="1" applyBorder="1"/>
    <xf numFmtId="0" fontId="9" fillId="0" borderId="37" xfId="24" applyBorder="1"/>
    <xf numFmtId="3" fontId="9" fillId="0" borderId="267" xfId="24" applyNumberFormat="1" applyBorder="1"/>
    <xf numFmtId="0" fontId="14" fillId="0" borderId="268" xfId="24" applyFont="1" applyBorder="1"/>
    <xf numFmtId="0" fontId="9" fillId="0" borderId="36" xfId="24" applyBorder="1"/>
    <xf numFmtId="0" fontId="14" fillId="12" borderId="194" xfId="24" applyFont="1" applyFill="1" applyBorder="1"/>
    <xf numFmtId="10" fontId="9" fillId="12" borderId="161" xfId="24" applyNumberFormat="1" applyFill="1" applyBorder="1"/>
    <xf numFmtId="181" fontId="9" fillId="0" borderId="269" xfId="24" applyNumberFormat="1" applyBorder="1" applyAlignment="1">
      <alignment horizontal="center"/>
    </xf>
    <xf numFmtId="181" fontId="9" fillId="0" borderId="36" xfId="24" applyNumberFormat="1" applyBorder="1" applyAlignment="1">
      <alignment horizontal="center"/>
    </xf>
    <xf numFmtId="168" fontId="9" fillId="0" borderId="141" xfId="16" applyNumberFormat="1" applyBorder="1" applyAlignment="1">
      <alignment horizontal="center"/>
    </xf>
    <xf numFmtId="168" fontId="9" fillId="0" borderId="133" xfId="16" applyNumberFormat="1" applyBorder="1" applyAlignment="1">
      <alignment horizontal="center"/>
    </xf>
    <xf numFmtId="0" fontId="14" fillId="14" borderId="195" xfId="24" applyFont="1" applyFill="1" applyBorder="1" applyAlignment="1">
      <alignment horizontal="center"/>
    </xf>
    <xf numFmtId="0" fontId="0" fillId="0" borderId="82" xfId="16" applyNumberFormat="1" applyFont="1" applyBorder="1" applyAlignment="1">
      <alignment horizontal="center"/>
    </xf>
    <xf numFmtId="9" fontId="0" fillId="0" borderId="82" xfId="16" applyFont="1" applyBorder="1" applyAlignment="1">
      <alignment horizontal="center"/>
    </xf>
    <xf numFmtId="9" fontId="0" fillId="0" borderId="66" xfId="0" applyNumberFormat="1" applyBorder="1" applyAlignment="1">
      <alignment horizontal="center"/>
    </xf>
    <xf numFmtId="169" fontId="0" fillId="0" borderId="0" xfId="16" applyNumberFormat="1" applyFont="1" applyAlignment="1">
      <alignment horizontal="center" vertical="center"/>
    </xf>
    <xf numFmtId="1" fontId="0" fillId="0" borderId="0" xfId="16" applyNumberFormat="1" applyFont="1" applyAlignment="1">
      <alignment horizontal="center" vertical="center"/>
    </xf>
    <xf numFmtId="168" fontId="9" fillId="0" borderId="0" xfId="16" applyNumberFormat="1" applyFont="1" applyAlignment="1">
      <alignment horizontal="center" vertical="center"/>
    </xf>
    <xf numFmtId="169" fontId="9" fillId="0" borderId="0" xfId="16" applyNumberFormat="1" applyFont="1" applyAlignment="1">
      <alignment horizontal="center" vertical="center"/>
    </xf>
    <xf numFmtId="168" fontId="9" fillId="0" borderId="37" xfId="16" applyNumberFormat="1" applyFont="1" applyBorder="1" applyAlignment="1">
      <alignment horizontal="center" vertical="center"/>
    </xf>
    <xf numFmtId="0" fontId="9" fillId="24" borderId="0" xfId="24" applyFill="1"/>
    <xf numFmtId="0" fontId="27" fillId="5" borderId="259" xfId="0" applyFont="1" applyFill="1" applyBorder="1" applyAlignment="1">
      <alignment vertical="center" wrapText="1"/>
    </xf>
    <xf numFmtId="0" fontId="27" fillId="5" borderId="259" xfId="0" applyFont="1" applyFill="1" applyBorder="1" applyAlignment="1">
      <alignment horizontal="center" vertical="center" wrapText="1"/>
    </xf>
    <xf numFmtId="0" fontId="27" fillId="5" borderId="258" xfId="0" applyFont="1" applyFill="1" applyBorder="1" applyAlignment="1">
      <alignment horizontal="center" vertical="center" wrapText="1"/>
    </xf>
    <xf numFmtId="0" fontId="14" fillId="0" borderId="255" xfId="24" applyFont="1" applyBorder="1" applyAlignment="1">
      <alignment horizontal="center"/>
    </xf>
    <xf numFmtId="0" fontId="14" fillId="0" borderId="195" xfId="0" applyFont="1" applyBorder="1" applyAlignment="1">
      <alignment horizontal="center"/>
    </xf>
    <xf numFmtId="0" fontId="14" fillId="0" borderId="161" xfId="0" applyFont="1" applyBorder="1" applyAlignment="1">
      <alignment horizontal="center"/>
    </xf>
    <xf numFmtId="0" fontId="14" fillId="0" borderId="256" xfId="0" applyFont="1" applyBorder="1"/>
    <xf numFmtId="181" fontId="9" fillId="7" borderId="269" xfId="24" applyNumberFormat="1" applyFill="1" applyBorder="1" applyAlignment="1">
      <alignment horizontal="center"/>
    </xf>
    <xf numFmtId="0" fontId="9" fillId="7" borderId="0" xfId="24" applyFill="1" applyAlignment="1">
      <alignment horizontal="center"/>
    </xf>
    <xf numFmtId="168" fontId="9" fillId="7" borderId="141" xfId="16" applyNumberFormat="1" applyFill="1" applyBorder="1" applyAlignment="1">
      <alignment horizontal="center"/>
    </xf>
    <xf numFmtId="0" fontId="14" fillId="52" borderId="256" xfId="24" applyFont="1" applyFill="1" applyBorder="1"/>
    <xf numFmtId="44" fontId="0" fillId="52" borderId="0" xfId="36" applyFont="1" applyFill="1" applyBorder="1" applyAlignment="1">
      <alignment horizontal="center"/>
    </xf>
    <xf numFmtId="179" fontId="9" fillId="52" borderId="268" xfId="24" applyNumberFormat="1" applyFill="1" applyBorder="1" applyAlignment="1">
      <alignment horizontal="left"/>
    </xf>
    <xf numFmtId="179" fontId="9" fillId="52" borderId="269" xfId="24" applyNumberFormat="1" applyFill="1" applyBorder="1" applyAlignment="1">
      <alignment horizontal="left"/>
    </xf>
    <xf numFmtId="44" fontId="0" fillId="52" borderId="269" xfId="36" applyFont="1" applyFill="1" applyBorder="1" applyAlignment="1">
      <alignment horizontal="left"/>
    </xf>
    <xf numFmtId="180" fontId="0" fillId="52" borderId="269" xfId="36" applyNumberFormat="1" applyFont="1" applyFill="1" applyBorder="1" applyAlignment="1">
      <alignment horizontal="left"/>
    </xf>
    <xf numFmtId="44" fontId="0" fillId="52" borderId="36" xfId="36" applyFont="1" applyFill="1" applyBorder="1" applyAlignment="1">
      <alignment horizontal="left"/>
    </xf>
    <xf numFmtId="179" fontId="9" fillId="0" borderId="37" xfId="24" applyNumberFormat="1" applyBorder="1" applyAlignment="1">
      <alignment horizontal="left"/>
    </xf>
    <xf numFmtId="168" fontId="9" fillId="0" borderId="0" xfId="16" applyNumberFormat="1" applyBorder="1" applyAlignment="1">
      <alignment horizontal="left"/>
    </xf>
    <xf numFmtId="168" fontId="0" fillId="0" borderId="0" xfId="16" applyNumberFormat="1" applyFont="1" applyBorder="1" applyAlignment="1">
      <alignment horizontal="left"/>
    </xf>
    <xf numFmtId="168" fontId="0" fillId="0" borderId="267" xfId="16" applyNumberFormat="1" applyFont="1" applyBorder="1" applyAlignment="1">
      <alignment horizontal="left"/>
    </xf>
    <xf numFmtId="0" fontId="9" fillId="52" borderId="37" xfId="24" applyFill="1" applyBorder="1" applyAlignment="1">
      <alignment horizontal="left"/>
    </xf>
    <xf numFmtId="0" fontId="9" fillId="52" borderId="0" xfId="24" applyFill="1" applyAlignment="1">
      <alignment horizontal="left"/>
    </xf>
    <xf numFmtId="0" fontId="9" fillId="52" borderId="267" xfId="24" applyFill="1" applyBorder="1" applyAlignment="1">
      <alignment horizontal="left"/>
    </xf>
    <xf numFmtId="168" fontId="9" fillId="0" borderId="37" xfId="16" applyNumberFormat="1" applyBorder="1" applyAlignment="1">
      <alignment horizontal="left"/>
    </xf>
    <xf numFmtId="168" fontId="9" fillId="0" borderId="267" xfId="16" applyNumberFormat="1" applyBorder="1" applyAlignment="1">
      <alignment horizontal="left"/>
    </xf>
    <xf numFmtId="44" fontId="9" fillId="52" borderId="37" xfId="36" applyFont="1" applyFill="1" applyBorder="1" applyAlignment="1">
      <alignment horizontal="left"/>
    </xf>
    <xf numFmtId="44" fontId="9" fillId="52" borderId="0" xfId="36" applyFont="1" applyFill="1" applyBorder="1" applyAlignment="1">
      <alignment horizontal="left"/>
    </xf>
    <xf numFmtId="44" fontId="9" fillId="52" borderId="267" xfId="36" applyFont="1" applyFill="1" applyBorder="1" applyAlignment="1">
      <alignment horizontal="left"/>
    </xf>
    <xf numFmtId="44" fontId="9" fillId="0" borderId="37" xfId="36" applyFont="1" applyBorder="1" applyAlignment="1">
      <alignment horizontal="left"/>
    </xf>
    <xf numFmtId="44" fontId="9" fillId="0" borderId="0" xfId="36" applyFont="1" applyBorder="1" applyAlignment="1">
      <alignment horizontal="left"/>
    </xf>
    <xf numFmtId="44" fontId="9" fillId="0" borderId="267" xfId="36" applyFont="1" applyBorder="1" applyAlignment="1">
      <alignment horizontal="left"/>
    </xf>
    <xf numFmtId="179" fontId="9" fillId="52" borderId="0" xfId="16" applyNumberFormat="1" applyFill="1" applyBorder="1" applyAlignment="1">
      <alignment horizontal="left"/>
    </xf>
    <xf numFmtId="180" fontId="9" fillId="0" borderId="37" xfId="36" applyNumberFormat="1" applyFont="1" applyBorder="1" applyAlignment="1">
      <alignment horizontal="left"/>
    </xf>
    <xf numFmtId="44" fontId="14" fillId="52" borderId="0" xfId="36" applyFont="1" applyFill="1" applyBorder="1" applyAlignment="1">
      <alignment horizontal="left"/>
    </xf>
    <xf numFmtId="44" fontId="14" fillId="52" borderId="267" xfId="36" applyFont="1" applyFill="1" applyBorder="1" applyAlignment="1">
      <alignment horizontal="left"/>
    </xf>
    <xf numFmtId="179" fontId="9" fillId="0" borderId="0" xfId="16" applyNumberFormat="1" applyBorder="1" applyAlignment="1">
      <alignment horizontal="left"/>
    </xf>
    <xf numFmtId="0" fontId="14" fillId="12" borderId="255" xfId="24" applyFont="1" applyFill="1" applyBorder="1"/>
    <xf numFmtId="44" fontId="9" fillId="12" borderId="194" xfId="24" applyNumberFormat="1" applyFill="1" applyBorder="1" applyAlignment="1">
      <alignment horizontal="left"/>
    </xf>
    <xf numFmtId="179" fontId="14" fillId="12" borderId="195" xfId="16" applyNumberFormat="1" applyFont="1" applyFill="1" applyBorder="1" applyAlignment="1">
      <alignment horizontal="left"/>
    </xf>
    <xf numFmtId="179" fontId="14" fillId="12" borderId="161" xfId="16" applyNumberFormat="1" applyFont="1" applyFill="1" applyBorder="1" applyAlignment="1">
      <alignment horizontal="left"/>
    </xf>
    <xf numFmtId="0" fontId="0" fillId="0" borderId="255" xfId="0" applyBorder="1"/>
    <xf numFmtId="0" fontId="14" fillId="52" borderId="194" xfId="0" applyFont="1" applyFill="1" applyBorder="1"/>
    <xf numFmtId="10" fontId="0" fillId="0" borderId="255" xfId="0" applyNumberFormat="1" applyBorder="1"/>
    <xf numFmtId="169" fontId="9" fillId="53" borderId="87" xfId="0" applyNumberFormat="1" applyFont="1" applyFill="1" applyBorder="1" applyAlignment="1">
      <alignment horizontal="center"/>
    </xf>
    <xf numFmtId="9" fontId="9" fillId="54" borderId="97" xfId="16" applyFont="1" applyFill="1" applyBorder="1" applyAlignment="1">
      <alignment horizontal="center" vertical="center"/>
    </xf>
    <xf numFmtId="9" fontId="9" fillId="54" borderId="89" xfId="16" applyFont="1" applyFill="1" applyBorder="1" applyAlignment="1">
      <alignment horizontal="center" vertical="center"/>
    </xf>
    <xf numFmtId="169" fontId="0" fillId="54" borderId="87" xfId="0" applyNumberFormat="1" applyFill="1" applyBorder="1" applyAlignment="1">
      <alignment horizontal="center"/>
    </xf>
    <xf numFmtId="169" fontId="0" fillId="54" borderId="88" xfId="0" applyNumberFormat="1" applyFill="1" applyBorder="1" applyAlignment="1">
      <alignment horizontal="center"/>
    </xf>
    <xf numFmtId="0" fontId="14" fillId="52" borderId="37" xfId="24" applyFont="1" applyFill="1" applyBorder="1"/>
    <xf numFmtId="0" fontId="14" fillId="48" borderId="126" xfId="0" applyFont="1" applyFill="1" applyBorder="1" applyAlignment="1">
      <alignment horizontal="center"/>
    </xf>
    <xf numFmtId="0" fontId="14" fillId="48" borderId="110" xfId="0" applyFont="1" applyFill="1" applyBorder="1" applyAlignment="1">
      <alignment horizontal="center"/>
    </xf>
    <xf numFmtId="168" fontId="0" fillId="0" borderId="0" xfId="16" applyNumberFormat="1" applyFont="1" applyAlignment="1">
      <alignment horizontal="left"/>
    </xf>
    <xf numFmtId="0" fontId="14" fillId="12" borderId="255" xfId="0" applyFont="1" applyFill="1" applyBorder="1"/>
    <xf numFmtId="168" fontId="0" fillId="12" borderId="194" xfId="0" applyNumberFormat="1" applyFill="1" applyBorder="1" applyAlignment="1">
      <alignment horizontal="center" vertical="center"/>
    </xf>
    <xf numFmtId="168" fontId="0" fillId="12" borderId="195" xfId="0" applyNumberFormat="1" applyFill="1" applyBorder="1" applyAlignment="1">
      <alignment horizontal="center" vertical="center"/>
    </xf>
    <xf numFmtId="168" fontId="14" fillId="12" borderId="277" xfId="0" applyNumberFormat="1" applyFont="1" applyFill="1" applyBorder="1" applyAlignment="1">
      <alignment horizontal="center"/>
    </xf>
    <xf numFmtId="0" fontId="9" fillId="46" borderId="196" xfId="24" applyFill="1" applyBorder="1"/>
    <xf numFmtId="180" fontId="9" fillId="46" borderId="37" xfId="36" applyNumberFormat="1" applyFont="1" applyFill="1" applyBorder="1" applyAlignment="1">
      <alignment horizontal="left"/>
    </xf>
    <xf numFmtId="44" fontId="9" fillId="46" borderId="0" xfId="36" applyFont="1" applyFill="1" applyBorder="1" applyAlignment="1">
      <alignment horizontal="left"/>
    </xf>
    <xf numFmtId="44" fontId="9" fillId="46" borderId="267" xfId="36" applyFont="1" applyFill="1" applyBorder="1" applyAlignment="1">
      <alignment horizontal="left"/>
    </xf>
    <xf numFmtId="0" fontId="9" fillId="0" borderId="141" xfId="24" applyBorder="1"/>
    <xf numFmtId="168" fontId="9" fillId="0" borderId="141" xfId="16" applyNumberFormat="1" applyBorder="1"/>
    <xf numFmtId="0" fontId="0" fillId="28" borderId="37" xfId="0" applyFill="1" applyBorder="1" applyAlignment="1">
      <alignment horizontal="center" vertical="center"/>
    </xf>
    <xf numFmtId="0" fontId="0" fillId="28" borderId="0" xfId="0" applyFill="1" applyAlignment="1">
      <alignment horizontal="center" vertical="center"/>
    </xf>
    <xf numFmtId="1" fontId="0" fillId="28" borderId="0" xfId="16" applyNumberFormat="1" applyFont="1" applyFill="1" applyAlignment="1">
      <alignment horizontal="center" vertical="center"/>
    </xf>
    <xf numFmtId="169" fontId="9" fillId="28" borderId="0" xfId="16" applyNumberFormat="1" applyFont="1" applyFill="1" applyAlignment="1">
      <alignment horizontal="center" vertical="center"/>
    </xf>
    <xf numFmtId="169" fontId="0" fillId="28" borderId="0" xfId="16" applyNumberFormat="1" applyFont="1" applyFill="1" applyAlignment="1">
      <alignment horizontal="center" vertical="center"/>
    </xf>
    <xf numFmtId="179" fontId="9" fillId="52" borderId="0" xfId="16" applyNumberFormat="1" applyFill="1" applyBorder="1" applyAlignment="1">
      <alignment horizontal="right"/>
    </xf>
    <xf numFmtId="2" fontId="9" fillId="52" borderId="37" xfId="24" applyNumberFormat="1" applyFill="1" applyBorder="1" applyAlignment="1">
      <alignment horizontal="center"/>
    </xf>
    <xf numFmtId="2" fontId="9" fillId="52" borderId="0" xfId="24" applyNumberFormat="1" applyFill="1" applyAlignment="1">
      <alignment horizontal="center"/>
    </xf>
    <xf numFmtId="2" fontId="9" fillId="52" borderId="267" xfId="24" applyNumberFormat="1" applyFill="1" applyBorder="1" applyAlignment="1">
      <alignment horizontal="center"/>
    </xf>
    <xf numFmtId="0" fontId="0" fillId="52" borderId="267" xfId="0" applyFill="1" applyBorder="1"/>
    <xf numFmtId="0" fontId="0" fillId="0" borderId="267" xfId="0" applyBorder="1"/>
    <xf numFmtId="0" fontId="14" fillId="52" borderId="196" xfId="0" applyFont="1" applyFill="1" applyBorder="1"/>
    <xf numFmtId="173" fontId="0" fillId="8" borderId="89" xfId="0" applyNumberFormat="1" applyFill="1" applyBorder="1" applyAlignment="1">
      <alignment horizontal="center"/>
    </xf>
    <xf numFmtId="183" fontId="55" fillId="8" borderId="129" xfId="0" applyNumberFormat="1" applyFont="1" applyFill="1" applyBorder="1" applyAlignment="1">
      <alignment horizontal="center" vertical="center"/>
    </xf>
    <xf numFmtId="0" fontId="0" fillId="14" borderId="37" xfId="0" applyFill="1" applyBorder="1" applyAlignment="1">
      <alignment horizontal="center" vertical="center"/>
    </xf>
    <xf numFmtId="0" fontId="0" fillId="14" borderId="0" xfId="0" applyFill="1" applyAlignment="1">
      <alignment horizontal="center" vertical="center"/>
    </xf>
    <xf numFmtId="183" fontId="6" fillId="0" borderId="139" xfId="29" applyNumberFormat="1" applyBorder="1" applyAlignment="1">
      <alignment horizontal="center"/>
    </xf>
    <xf numFmtId="183" fontId="55" fillId="0" borderId="128" xfId="0" applyNumberFormat="1" applyFont="1" applyBorder="1" applyAlignment="1">
      <alignment horizontal="center" vertical="center"/>
    </xf>
    <xf numFmtId="183" fontId="6" fillId="0" borderId="40" xfId="29" applyNumberFormat="1" applyBorder="1" applyAlignment="1">
      <alignment horizontal="center"/>
    </xf>
    <xf numFmtId="183" fontId="55" fillId="0" borderId="2" xfId="0" applyNumberFormat="1" applyFont="1" applyBorder="1" applyAlignment="1">
      <alignment horizontal="center" vertical="center"/>
    </xf>
    <xf numFmtId="183" fontId="55" fillId="0" borderId="158" xfId="0" applyNumberFormat="1" applyFont="1" applyBorder="1" applyAlignment="1">
      <alignment horizontal="center" vertical="center"/>
    </xf>
    <xf numFmtId="183" fontId="55" fillId="0" borderId="136" xfId="0" applyNumberFormat="1" applyFont="1" applyBorder="1" applyAlignment="1">
      <alignment horizontal="center" vertical="center"/>
    </xf>
    <xf numFmtId="183" fontId="55" fillId="0" borderId="137" xfId="0" applyNumberFormat="1" applyFont="1" applyBorder="1" applyAlignment="1">
      <alignment horizontal="center" vertical="center"/>
    </xf>
    <xf numFmtId="183" fontId="55" fillId="0" borderId="138" xfId="0" applyNumberFormat="1" applyFont="1" applyBorder="1" applyAlignment="1">
      <alignment horizontal="center" vertical="center"/>
    </xf>
    <xf numFmtId="0" fontId="14" fillId="0" borderId="37" xfId="0" applyFont="1" applyBorder="1"/>
    <xf numFmtId="0" fontId="14" fillId="52" borderId="269" xfId="0" applyFont="1" applyFill="1" applyBorder="1"/>
    <xf numFmtId="0" fontId="14" fillId="55" borderId="269" xfId="0" applyFont="1" applyFill="1" applyBorder="1"/>
    <xf numFmtId="0" fontId="14" fillId="55" borderId="36" xfId="0" applyFont="1" applyFill="1" applyBorder="1"/>
    <xf numFmtId="0" fontId="0" fillId="52" borderId="0" xfId="0" applyFill="1"/>
    <xf numFmtId="0" fontId="0" fillId="0" borderId="133" xfId="0" applyBorder="1"/>
    <xf numFmtId="0" fontId="14" fillId="0" borderId="151" xfId="0" applyFont="1" applyBorder="1"/>
    <xf numFmtId="183" fontId="55" fillId="40" borderId="136" xfId="0" applyNumberFormat="1" applyFont="1" applyFill="1" applyBorder="1" applyAlignment="1">
      <alignment horizontal="center" vertical="center"/>
    </xf>
    <xf numFmtId="183" fontId="55" fillId="40" borderId="137" xfId="0" applyNumberFormat="1" applyFont="1" applyFill="1" applyBorder="1" applyAlignment="1">
      <alignment horizontal="center" vertical="center"/>
    </xf>
    <xf numFmtId="183" fontId="55" fillId="40" borderId="154" xfId="0" applyNumberFormat="1" applyFont="1" applyFill="1" applyBorder="1" applyAlignment="1">
      <alignment horizontal="center" vertical="center"/>
    </xf>
    <xf numFmtId="183" fontId="0" fillId="0" borderId="136" xfId="0" applyNumberFormat="1" applyBorder="1" applyAlignment="1">
      <alignment horizontal="center" vertical="center"/>
    </xf>
    <xf numFmtId="183" fontId="0" fillId="0" borderId="137" xfId="0" applyNumberFormat="1" applyBorder="1" applyAlignment="1">
      <alignment horizontal="center" vertical="center"/>
    </xf>
    <xf numFmtId="183" fontId="0" fillId="0" borderId="138" xfId="0" applyNumberFormat="1" applyBorder="1" applyAlignment="1">
      <alignment horizontal="center" vertical="center"/>
    </xf>
    <xf numFmtId="183" fontId="0" fillId="0" borderId="167" xfId="0" applyNumberFormat="1" applyBorder="1" applyAlignment="1">
      <alignment horizontal="center" vertical="center"/>
    </xf>
    <xf numFmtId="183" fontId="55" fillId="40" borderId="139" xfId="0" applyNumberFormat="1" applyFont="1" applyFill="1" applyBorder="1" applyAlignment="1">
      <alignment horizontal="center" vertical="center"/>
    </xf>
    <xf numFmtId="183" fontId="55" fillId="40" borderId="40" xfId="0" applyNumberFormat="1" applyFont="1" applyFill="1" applyBorder="1" applyAlignment="1">
      <alignment horizontal="center" vertical="center"/>
    </xf>
    <xf numFmtId="183" fontId="55" fillId="40" borderId="38" xfId="0" applyNumberFormat="1" applyFont="1" applyFill="1" applyBorder="1" applyAlignment="1">
      <alignment horizontal="center" vertical="center"/>
    </xf>
    <xf numFmtId="183" fontId="0" fillId="0" borderId="139" xfId="0" applyNumberFormat="1" applyBorder="1" applyAlignment="1">
      <alignment horizontal="center" vertical="center"/>
    </xf>
    <xf numFmtId="183" fontId="0" fillId="0" borderId="40" xfId="0" applyNumberFormat="1" applyBorder="1" applyAlignment="1">
      <alignment horizontal="center" vertical="center"/>
    </xf>
    <xf numFmtId="183" fontId="0" fillId="0" borderId="130" xfId="0" applyNumberFormat="1" applyBorder="1" applyAlignment="1">
      <alignment horizontal="center" vertical="center"/>
    </xf>
    <xf numFmtId="183" fontId="0" fillId="0" borderId="39" xfId="0" applyNumberFormat="1" applyBorder="1" applyAlignment="1">
      <alignment horizontal="center" vertical="center"/>
    </xf>
    <xf numFmtId="183" fontId="55" fillId="40" borderId="160" xfId="0" applyNumberFormat="1" applyFont="1" applyFill="1" applyBorder="1" applyAlignment="1">
      <alignment horizontal="center" vertical="center"/>
    </xf>
    <xf numFmtId="183" fontId="55" fillId="40" borderId="3" xfId="0" applyNumberFormat="1" applyFont="1" applyFill="1" applyBorder="1" applyAlignment="1">
      <alignment horizontal="center" vertical="center"/>
    </xf>
    <xf numFmtId="183" fontId="55" fillId="40" borderId="29" xfId="0" applyNumberFormat="1" applyFont="1" applyFill="1" applyBorder="1" applyAlignment="1">
      <alignment horizontal="center" vertical="center"/>
    </xf>
    <xf numFmtId="183" fontId="0" fillId="0" borderId="160" xfId="0" applyNumberFormat="1" applyBorder="1" applyAlignment="1">
      <alignment horizontal="center" vertical="center"/>
    </xf>
    <xf numFmtId="183" fontId="0" fillId="0" borderId="3" xfId="0" applyNumberFormat="1" applyBorder="1" applyAlignment="1">
      <alignment horizontal="center" vertical="center"/>
    </xf>
    <xf numFmtId="183" fontId="0" fillId="0" borderId="165" xfId="0" applyNumberFormat="1" applyBorder="1" applyAlignment="1">
      <alignment horizontal="center" vertical="center"/>
    </xf>
    <xf numFmtId="183" fontId="0" fillId="0" borderId="30" xfId="0" applyNumberFormat="1" applyBorder="1" applyAlignment="1">
      <alignment horizontal="center" vertical="center"/>
    </xf>
    <xf numFmtId="183" fontId="55" fillId="40" borderId="128" xfId="0" applyNumberFormat="1" applyFont="1" applyFill="1" applyBorder="1" applyAlignment="1">
      <alignment horizontal="center" vertical="center"/>
    </xf>
    <xf numFmtId="183" fontId="55" fillId="40" borderId="2" xfId="0" applyNumberFormat="1" applyFont="1" applyFill="1" applyBorder="1" applyAlignment="1">
      <alignment horizontal="center" vertical="center"/>
    </xf>
    <xf numFmtId="183" fontId="55" fillId="40" borderId="32" xfId="0" applyNumberFormat="1" applyFont="1" applyFill="1" applyBorder="1" applyAlignment="1">
      <alignment horizontal="center" vertical="center"/>
    </xf>
    <xf numFmtId="183" fontId="55" fillId="40" borderId="193" xfId="0" applyNumberFormat="1" applyFont="1" applyFill="1" applyBorder="1" applyAlignment="1">
      <alignment horizontal="center" vertical="center"/>
    </xf>
    <xf numFmtId="183" fontId="55" fillId="40" borderId="107" xfId="0" applyNumberFormat="1" applyFont="1" applyFill="1" applyBorder="1" applyAlignment="1">
      <alignment horizontal="center" vertical="center"/>
    </xf>
    <xf numFmtId="183" fontId="55" fillId="40" borderId="159" xfId="0" applyNumberFormat="1" applyFont="1" applyFill="1" applyBorder="1" applyAlignment="1">
      <alignment horizontal="center" vertical="center"/>
    </xf>
    <xf numFmtId="183" fontId="55" fillId="40" borderId="166" xfId="0" applyNumberFormat="1" applyFont="1" applyFill="1" applyBorder="1" applyAlignment="1">
      <alignment horizontal="center" vertical="center"/>
    </xf>
    <xf numFmtId="183" fontId="55" fillId="40" borderId="33" xfId="0" applyNumberFormat="1" applyFont="1" applyFill="1" applyBorder="1" applyAlignment="1">
      <alignment horizontal="center" vertical="center"/>
    </xf>
    <xf numFmtId="183" fontId="55" fillId="40" borderId="129" xfId="0" applyNumberFormat="1" applyFont="1" applyFill="1" applyBorder="1" applyAlignment="1">
      <alignment horizontal="center" vertical="center"/>
    </xf>
    <xf numFmtId="183" fontId="60" fillId="40" borderId="140" xfId="0" applyNumberFormat="1" applyFont="1" applyFill="1" applyBorder="1" applyAlignment="1">
      <alignment horizontal="center" vertical="center"/>
    </xf>
    <xf numFmtId="183" fontId="60" fillId="40" borderId="152" xfId="0" applyNumberFormat="1" applyFont="1" applyFill="1" applyBorder="1" applyAlignment="1">
      <alignment horizontal="center" vertical="center"/>
    </xf>
    <xf numFmtId="183" fontId="55" fillId="40" borderId="155" xfId="0" applyNumberFormat="1" applyFont="1" applyFill="1" applyBorder="1" applyAlignment="1">
      <alignment horizontal="center" vertical="center"/>
    </xf>
    <xf numFmtId="183" fontId="55" fillId="40" borderId="131" xfId="0" applyNumberFormat="1" applyFont="1" applyFill="1" applyBorder="1" applyAlignment="1">
      <alignment horizontal="center" vertical="center"/>
    </xf>
    <xf numFmtId="183" fontId="55" fillId="40" borderId="132" xfId="0" applyNumberFormat="1" applyFont="1" applyFill="1" applyBorder="1" applyAlignment="1">
      <alignment horizontal="center" vertical="center"/>
    </xf>
    <xf numFmtId="183" fontId="55" fillId="40" borderId="133" xfId="0" applyNumberFormat="1" applyFont="1" applyFill="1" applyBorder="1" applyAlignment="1">
      <alignment horizontal="center" vertical="center"/>
    </xf>
    <xf numFmtId="183" fontId="55" fillId="0" borderId="33" xfId="0" applyNumberFormat="1" applyFont="1" applyBorder="1" applyAlignment="1">
      <alignment horizontal="center" vertical="center"/>
    </xf>
    <xf numFmtId="183" fontId="55" fillId="0" borderId="129" xfId="0" applyNumberFormat="1" applyFont="1" applyBorder="1" applyAlignment="1">
      <alignment horizontal="center" vertical="center"/>
    </xf>
    <xf numFmtId="183" fontId="60" fillId="0" borderId="136" xfId="0" applyNumberFormat="1" applyFont="1" applyBorder="1" applyAlignment="1">
      <alignment horizontal="center" vertical="center"/>
    </xf>
    <xf numFmtId="183" fontId="60" fillId="0" borderId="137" xfId="0" applyNumberFormat="1" applyFont="1" applyBorder="1" applyAlignment="1">
      <alignment horizontal="center" vertical="center"/>
    </xf>
    <xf numFmtId="183" fontId="60" fillId="0" borderId="154" xfId="0" applyNumberFormat="1" applyFont="1" applyBorder="1" applyAlignment="1">
      <alignment horizontal="center" vertical="center"/>
    </xf>
    <xf numFmtId="183" fontId="60" fillId="0" borderId="139" xfId="0" applyNumberFormat="1" applyFont="1" applyBorder="1" applyAlignment="1">
      <alignment horizontal="center" vertical="center"/>
    </xf>
    <xf numFmtId="183" fontId="60" fillId="0" borderId="40" xfId="0" applyNumberFormat="1" applyFont="1" applyBorder="1" applyAlignment="1">
      <alignment horizontal="center" vertical="center"/>
    </xf>
    <xf numFmtId="183" fontId="60" fillId="0" borderId="38" xfId="0" applyNumberFormat="1" applyFont="1" applyBorder="1" applyAlignment="1">
      <alignment horizontal="center" vertical="center"/>
    </xf>
    <xf numFmtId="183" fontId="60" fillId="40" borderId="139" xfId="0" applyNumberFormat="1" applyFont="1" applyFill="1" applyBorder="1" applyAlignment="1">
      <alignment horizontal="center" vertical="center"/>
    </xf>
    <xf numFmtId="183" fontId="60" fillId="40" borderId="40" xfId="0" applyNumberFormat="1" applyFont="1" applyFill="1" applyBorder="1" applyAlignment="1">
      <alignment horizontal="center" vertical="center"/>
    </xf>
    <xf numFmtId="183" fontId="60" fillId="40" borderId="38" xfId="0" applyNumberFormat="1" applyFont="1" applyFill="1" applyBorder="1" applyAlignment="1">
      <alignment horizontal="center" vertical="center"/>
    </xf>
    <xf numFmtId="183" fontId="60" fillId="41" borderId="139" xfId="0" applyNumberFormat="1" applyFont="1" applyFill="1" applyBorder="1" applyAlignment="1">
      <alignment horizontal="center" vertical="center"/>
    </xf>
    <xf numFmtId="183" fontId="60" fillId="41" borderId="40" xfId="0" applyNumberFormat="1" applyFont="1" applyFill="1" applyBorder="1" applyAlignment="1">
      <alignment horizontal="center" vertical="center"/>
    </xf>
    <xf numFmtId="183" fontId="60" fillId="41" borderId="38" xfId="0" applyNumberFormat="1" applyFont="1" applyFill="1" applyBorder="1" applyAlignment="1">
      <alignment horizontal="center" vertical="center"/>
    </xf>
    <xf numFmtId="183" fontId="60" fillId="40" borderId="139" xfId="0" quotePrefix="1" applyNumberFormat="1" applyFont="1" applyFill="1" applyBorder="1" applyAlignment="1">
      <alignment horizontal="center" vertical="center"/>
    </xf>
    <xf numFmtId="183" fontId="60" fillId="40" borderId="40" xfId="0" quotePrefix="1" applyNumberFormat="1" applyFont="1" applyFill="1" applyBorder="1" applyAlignment="1">
      <alignment horizontal="center" vertical="center"/>
    </xf>
    <xf numFmtId="183" fontId="60" fillId="40" borderId="38" xfId="0" quotePrefix="1" applyNumberFormat="1" applyFont="1" applyFill="1" applyBorder="1" applyAlignment="1">
      <alignment horizontal="center" vertical="center"/>
    </xf>
    <xf numFmtId="183" fontId="60" fillId="7" borderId="139" xfId="0" applyNumberFormat="1" applyFont="1" applyFill="1" applyBorder="1" applyAlignment="1">
      <alignment horizontal="center" vertical="center"/>
    </xf>
    <xf numFmtId="183" fontId="60" fillId="7" borderId="40" xfId="0" applyNumberFormat="1" applyFont="1" applyFill="1" applyBorder="1" applyAlignment="1">
      <alignment horizontal="center" vertical="center"/>
    </xf>
    <xf numFmtId="183" fontId="60" fillId="7" borderId="38" xfId="0" applyNumberFormat="1" applyFont="1" applyFill="1" applyBorder="1" applyAlignment="1">
      <alignment horizontal="center" vertical="center"/>
    </xf>
    <xf numFmtId="183" fontId="60" fillId="41" borderId="160" xfId="0" applyNumberFormat="1" applyFont="1" applyFill="1" applyBorder="1" applyAlignment="1">
      <alignment horizontal="center" vertical="center"/>
    </xf>
    <xf numFmtId="183" fontId="60" fillId="41" borderId="3" xfId="0" applyNumberFormat="1" applyFont="1" applyFill="1" applyBorder="1" applyAlignment="1">
      <alignment horizontal="center" vertical="center"/>
    </xf>
    <xf numFmtId="183" fontId="60" fillId="41" borderId="29" xfId="0" applyNumberFormat="1" applyFont="1" applyFill="1" applyBorder="1" applyAlignment="1">
      <alignment horizontal="center" vertical="center"/>
    </xf>
    <xf numFmtId="183" fontId="1" fillId="43" borderId="1" xfId="30" applyNumberFormat="1" applyFont="1" applyFill="1" applyBorder="1" applyAlignment="1">
      <alignment horizontal="center" vertical="center"/>
    </xf>
    <xf numFmtId="183" fontId="1" fillId="43" borderId="38" xfId="30" applyNumberFormat="1" applyFont="1" applyFill="1" applyBorder="1" applyAlignment="1">
      <alignment horizontal="center" vertical="center"/>
    </xf>
    <xf numFmtId="183" fontId="5" fillId="43" borderId="38" xfId="30" applyNumberFormat="1" applyFill="1" applyBorder="1" applyAlignment="1">
      <alignment horizontal="center" vertical="center"/>
    </xf>
    <xf numFmtId="183" fontId="63" fillId="0" borderId="39" xfId="0" applyNumberFormat="1" applyFont="1" applyBorder="1" applyAlignment="1">
      <alignment horizontal="center" vertical="center"/>
    </xf>
    <xf numFmtId="183" fontId="63" fillId="0" borderId="40" xfId="0" applyNumberFormat="1" applyFont="1" applyBorder="1" applyAlignment="1">
      <alignment horizontal="center" vertical="center"/>
    </xf>
    <xf numFmtId="183" fontId="63" fillId="0" borderId="38" xfId="0" applyNumberFormat="1" applyFont="1" applyBorder="1" applyAlignment="1">
      <alignment horizontal="center" vertical="center"/>
    </xf>
    <xf numFmtId="183" fontId="70" fillId="38" borderId="39" xfId="0" applyNumberFormat="1" applyFont="1" applyFill="1" applyBorder="1" applyAlignment="1">
      <alignment horizontal="center" vertical="center"/>
    </xf>
    <xf numFmtId="183" fontId="70" fillId="38" borderId="40" xfId="0" applyNumberFormat="1" applyFont="1" applyFill="1" applyBorder="1" applyAlignment="1">
      <alignment horizontal="center" vertical="center"/>
    </xf>
    <xf numFmtId="183" fontId="70" fillId="38" borderId="38" xfId="0" applyNumberFormat="1" applyFont="1" applyFill="1" applyBorder="1" applyAlignment="1">
      <alignment horizontal="center" vertical="center"/>
    </xf>
    <xf numFmtId="183" fontId="26" fillId="38" borderId="39" xfId="0" applyNumberFormat="1" applyFont="1" applyFill="1" applyBorder="1" applyAlignment="1">
      <alignment horizontal="center" vertical="center"/>
    </xf>
    <xf numFmtId="183" fontId="26" fillId="38" borderId="40" xfId="0" applyNumberFormat="1" applyFont="1" applyFill="1" applyBorder="1" applyAlignment="1">
      <alignment horizontal="center" vertical="center"/>
    </xf>
    <xf numFmtId="183" fontId="26" fillId="38" borderId="38" xfId="0" applyNumberFormat="1" applyFont="1" applyFill="1" applyBorder="1" applyAlignment="1">
      <alignment horizontal="center" vertical="center"/>
    </xf>
    <xf numFmtId="183" fontId="63" fillId="38" borderId="39" xfId="0" applyNumberFormat="1" applyFont="1" applyFill="1" applyBorder="1" applyAlignment="1">
      <alignment horizontal="center" vertical="center"/>
    </xf>
    <xf numFmtId="183" fontId="63" fillId="38" borderId="40" xfId="0" applyNumberFormat="1" applyFont="1" applyFill="1" applyBorder="1" applyAlignment="1">
      <alignment horizontal="center" vertical="center"/>
    </xf>
    <xf numFmtId="183" fontId="63" fillId="38" borderId="38" xfId="0" applyNumberFormat="1" applyFont="1" applyFill="1" applyBorder="1" applyAlignment="1">
      <alignment horizontal="center" vertical="center"/>
    </xf>
    <xf numFmtId="183" fontId="70" fillId="38" borderId="39" xfId="0" quotePrefix="1" applyNumberFormat="1" applyFont="1" applyFill="1" applyBorder="1" applyAlignment="1">
      <alignment horizontal="center" vertical="center"/>
    </xf>
    <xf numFmtId="183" fontId="70" fillId="38" borderId="40" xfId="0" quotePrefix="1" applyNumberFormat="1" applyFont="1" applyFill="1" applyBorder="1" applyAlignment="1">
      <alignment horizontal="center" vertical="center"/>
    </xf>
    <xf numFmtId="183" fontId="70" fillId="38" borderId="38" xfId="0" quotePrefix="1" applyNumberFormat="1" applyFont="1" applyFill="1" applyBorder="1" applyAlignment="1">
      <alignment horizontal="center" vertical="center"/>
    </xf>
    <xf numFmtId="183" fontId="63" fillId="38" borderId="242" xfId="0" applyNumberFormat="1" applyFont="1" applyFill="1" applyBorder="1" applyAlignment="1">
      <alignment horizontal="center" vertical="center"/>
    </xf>
    <xf numFmtId="183" fontId="63" fillId="38" borderId="155" xfId="0" applyNumberFormat="1" applyFont="1" applyFill="1" applyBorder="1" applyAlignment="1">
      <alignment horizontal="center" vertical="center"/>
    </xf>
    <xf numFmtId="183" fontId="55" fillId="0" borderId="139" xfId="0" applyNumberFormat="1" applyFont="1" applyBorder="1" applyAlignment="1">
      <alignment horizontal="center" vertical="center"/>
    </xf>
    <xf numFmtId="183" fontId="55" fillId="0" borderId="40" xfId="0" applyNumberFormat="1" applyFont="1" applyBorder="1" applyAlignment="1">
      <alignment horizontal="center" vertical="center"/>
    </xf>
    <xf numFmtId="183" fontId="55" fillId="0" borderId="130" xfId="0" applyNumberFormat="1" applyFont="1" applyBorder="1" applyAlignment="1">
      <alignment horizontal="center" vertical="center"/>
    </xf>
    <xf numFmtId="183" fontId="70" fillId="0" borderId="139" xfId="0" applyNumberFormat="1" applyFont="1" applyBorder="1" applyAlignment="1">
      <alignment horizontal="center" vertical="center"/>
    </xf>
    <xf numFmtId="183" fontId="70" fillId="0" borderId="40" xfId="0" quotePrefix="1" applyNumberFormat="1" applyFont="1" applyBorder="1" applyAlignment="1">
      <alignment horizontal="center" vertical="center"/>
    </xf>
    <xf numFmtId="183" fontId="70" fillId="0" borderId="130" xfId="0" quotePrefix="1" applyNumberFormat="1" applyFont="1" applyBorder="1" applyAlignment="1">
      <alignment horizontal="center" vertical="center"/>
    </xf>
    <xf numFmtId="183" fontId="26" fillId="0" borderId="139" xfId="0" applyNumberFormat="1" applyFont="1" applyBorder="1" applyAlignment="1">
      <alignment horizontal="center" vertical="center"/>
    </xf>
    <xf numFmtId="183" fontId="26" fillId="0" borderId="40" xfId="0" applyNumberFormat="1" applyFont="1" applyBorder="1" applyAlignment="1">
      <alignment horizontal="center" vertical="center"/>
    </xf>
    <xf numFmtId="183" fontId="26" fillId="0" borderId="130" xfId="0" applyNumberFormat="1" applyFont="1" applyBorder="1" applyAlignment="1">
      <alignment horizontal="center" vertical="center"/>
    </xf>
    <xf numFmtId="183" fontId="70" fillId="0" borderId="40" xfId="0" applyNumberFormat="1" applyFont="1" applyBorder="1" applyAlignment="1">
      <alignment horizontal="center" vertical="center"/>
    </xf>
    <xf numFmtId="183" fontId="70" fillId="0" borderId="130" xfId="0" applyNumberFormat="1" applyFont="1" applyBorder="1" applyAlignment="1">
      <alignment horizontal="center" vertical="center"/>
    </xf>
    <xf numFmtId="183" fontId="63" fillId="0" borderId="139" xfId="0" applyNumberFormat="1" applyFont="1" applyBorder="1" applyAlignment="1">
      <alignment horizontal="center" vertical="center"/>
    </xf>
    <xf numFmtId="183" fontId="63" fillId="0" borderId="130" xfId="0" applyNumberFormat="1" applyFont="1" applyBorder="1" applyAlignment="1">
      <alignment horizontal="center" vertical="center"/>
    </xf>
    <xf numFmtId="183" fontId="70" fillId="0" borderId="139" xfId="0" quotePrefix="1" applyNumberFormat="1" applyFont="1" applyBorder="1" applyAlignment="1">
      <alignment horizontal="center" vertical="center"/>
    </xf>
    <xf numFmtId="183" fontId="63" fillId="38" borderId="140" xfId="0" applyNumberFormat="1" applyFont="1" applyFill="1" applyBorder="1" applyAlignment="1">
      <alignment horizontal="center" vertical="center"/>
    </xf>
    <xf numFmtId="183" fontId="63" fillId="38" borderId="152" xfId="0" applyNumberFormat="1" applyFont="1" applyFill="1" applyBorder="1" applyAlignment="1">
      <alignment horizontal="center" vertical="center"/>
    </xf>
    <xf numFmtId="183" fontId="63" fillId="38" borderId="153" xfId="0" applyNumberFormat="1" applyFont="1" applyFill="1" applyBorder="1" applyAlignment="1">
      <alignment horizontal="center" vertical="center"/>
    </xf>
    <xf numFmtId="183" fontId="9" fillId="0" borderId="224" xfId="0" applyNumberFormat="1" applyFont="1" applyBorder="1" applyAlignment="1">
      <alignment horizontal="center" vertical="center"/>
    </xf>
    <xf numFmtId="183" fontId="9" fillId="0" borderId="225" xfId="0" applyNumberFormat="1" applyFont="1" applyBorder="1" applyAlignment="1">
      <alignment horizontal="center" vertical="center"/>
    </xf>
    <xf numFmtId="183" fontId="9" fillId="0" borderId="226" xfId="0" applyNumberFormat="1" applyFont="1" applyBorder="1" applyAlignment="1">
      <alignment horizontal="center" vertical="center"/>
    </xf>
    <xf numFmtId="183" fontId="9" fillId="0" borderId="227" xfId="0" applyNumberFormat="1" applyFont="1" applyBorder="1" applyAlignment="1">
      <alignment horizontal="center" vertical="center"/>
    </xf>
    <xf numFmtId="183" fontId="9" fillId="0" borderId="228" xfId="0" applyNumberFormat="1" applyFont="1" applyBorder="1" applyAlignment="1">
      <alignment horizontal="center" vertical="center"/>
    </xf>
    <xf numFmtId="183" fontId="9" fillId="0" borderId="229" xfId="0" applyNumberFormat="1" applyFont="1" applyBorder="1" applyAlignment="1">
      <alignment horizontal="center" vertical="center"/>
    </xf>
    <xf numFmtId="183" fontId="9" fillId="0" borderId="3" xfId="0" applyNumberFormat="1" applyFont="1" applyBorder="1" applyAlignment="1">
      <alignment horizontal="center" vertical="center"/>
    </xf>
    <xf numFmtId="183" fontId="9" fillId="0" borderId="29" xfId="0" applyNumberFormat="1" applyFont="1" applyBorder="1" applyAlignment="1">
      <alignment horizontal="center" vertical="center"/>
    </xf>
    <xf numFmtId="183" fontId="9" fillId="0" borderId="160" xfId="0" applyNumberFormat="1" applyFont="1" applyBorder="1" applyAlignment="1">
      <alignment horizontal="center" vertical="center"/>
    </xf>
    <xf numFmtId="183" fontId="9" fillId="0" borderId="230" xfId="0" applyNumberFormat="1" applyFont="1" applyBorder="1" applyAlignment="1">
      <alignment horizontal="center" vertical="center"/>
    </xf>
    <xf numFmtId="183" fontId="9" fillId="0" borderId="231" xfId="0" applyNumberFormat="1" applyFont="1" applyBorder="1" applyAlignment="1">
      <alignment horizontal="center" vertical="center"/>
    </xf>
    <xf numFmtId="183" fontId="60" fillId="0" borderId="232" xfId="0" applyNumberFormat="1" applyFont="1" applyBorder="1" applyAlignment="1">
      <alignment horizontal="center" vertical="center"/>
    </xf>
    <xf numFmtId="183" fontId="60" fillId="41" borderId="233" xfId="0" applyNumberFormat="1" applyFont="1" applyFill="1" applyBorder="1" applyAlignment="1">
      <alignment horizontal="center" vertical="center"/>
    </xf>
    <xf numFmtId="183" fontId="60" fillId="41" borderId="2" xfId="0" applyNumberFormat="1" applyFont="1" applyFill="1" applyBorder="1" applyAlignment="1">
      <alignment horizontal="center" vertical="center"/>
    </xf>
    <xf numFmtId="183" fontId="60" fillId="41" borderId="32" xfId="0" applyNumberFormat="1" applyFont="1" applyFill="1" applyBorder="1" applyAlignment="1">
      <alignment horizontal="center" vertical="center"/>
    </xf>
    <xf numFmtId="183" fontId="60" fillId="41" borderId="128" xfId="0" applyNumberFormat="1" applyFont="1" applyFill="1" applyBorder="1" applyAlignment="1">
      <alignment horizontal="center" vertical="center"/>
    </xf>
    <xf numFmtId="183" fontId="60" fillId="41" borderId="234" xfId="0" applyNumberFormat="1" applyFont="1" applyFill="1" applyBorder="1" applyAlignment="1">
      <alignment horizontal="center" vertical="center"/>
    </xf>
    <xf numFmtId="183" fontId="60" fillId="0" borderId="231" xfId="0" applyNumberFormat="1" applyFont="1" applyBorder="1" applyAlignment="1">
      <alignment horizontal="center" vertical="center"/>
    </xf>
    <xf numFmtId="183" fontId="60" fillId="41" borderId="231" xfId="0" applyNumberFormat="1" applyFont="1" applyFill="1" applyBorder="1" applyAlignment="1">
      <alignment horizontal="center" vertical="center"/>
    </xf>
    <xf numFmtId="183" fontId="60" fillId="41" borderId="232" xfId="0" applyNumberFormat="1" applyFont="1" applyFill="1" applyBorder="1" applyAlignment="1">
      <alignment horizontal="center" vertical="center"/>
    </xf>
    <xf numFmtId="183" fontId="9" fillId="0" borderId="235" xfId="0" quotePrefix="1" applyNumberFormat="1" applyFont="1" applyBorder="1" applyAlignment="1">
      <alignment horizontal="center" vertical="center"/>
    </xf>
    <xf numFmtId="183" fontId="9" fillId="0" borderId="40" xfId="0" quotePrefix="1" applyNumberFormat="1" applyFont="1" applyBorder="1" applyAlignment="1">
      <alignment horizontal="center" vertical="center"/>
    </xf>
    <xf numFmtId="183" fontId="9" fillId="0" borderId="39" xfId="0" quotePrefix="1" applyNumberFormat="1" applyFont="1" applyBorder="1" applyAlignment="1">
      <alignment horizontal="center" vertical="center"/>
    </xf>
    <xf numFmtId="183" fontId="9" fillId="0" borderId="219" xfId="0" quotePrefix="1" applyNumberFormat="1" applyFont="1" applyBorder="1" applyAlignment="1">
      <alignment horizontal="center" vertical="center"/>
    </xf>
    <xf numFmtId="183" fontId="9" fillId="0" borderId="232" xfId="0" quotePrefix="1" applyNumberFormat="1" applyFont="1" applyBorder="1" applyAlignment="1">
      <alignment horizontal="center" vertical="center"/>
    </xf>
    <xf numFmtId="183" fontId="60" fillId="0" borderId="128" xfId="0" applyNumberFormat="1" applyFont="1" applyBorder="1" applyAlignment="1">
      <alignment horizontal="center" vertical="center"/>
    </xf>
    <xf numFmtId="183" fontId="60" fillId="0" borderId="2" xfId="0" applyNumberFormat="1" applyFont="1" applyBorder="1" applyAlignment="1">
      <alignment horizontal="center" vertical="center"/>
    </xf>
    <xf numFmtId="183" fontId="60" fillId="0" borderId="234" xfId="0" applyNumberFormat="1" applyFont="1" applyBorder="1" applyAlignment="1">
      <alignment horizontal="center" vertical="center"/>
    </xf>
    <xf numFmtId="183" fontId="60" fillId="41" borderId="236" xfId="0" applyNumberFormat="1" applyFont="1" applyFill="1" applyBorder="1" applyAlignment="1">
      <alignment horizontal="center" vertical="center"/>
    </xf>
    <xf numFmtId="183" fontId="60" fillId="41" borderId="237" xfId="0" applyNumberFormat="1" applyFont="1" applyFill="1" applyBorder="1" applyAlignment="1">
      <alignment horizontal="center" vertical="center"/>
    </xf>
    <xf numFmtId="183" fontId="60" fillId="41" borderId="238" xfId="0" applyNumberFormat="1" applyFont="1" applyFill="1" applyBorder="1" applyAlignment="1">
      <alignment horizontal="center" vertical="center"/>
    </xf>
    <xf numFmtId="183" fontId="60" fillId="41" borderId="239" xfId="0" applyNumberFormat="1" applyFont="1" applyFill="1" applyBorder="1" applyAlignment="1">
      <alignment horizontal="center" vertical="center"/>
    </xf>
    <xf numFmtId="183" fontId="60" fillId="41" borderId="240" xfId="0" applyNumberFormat="1" applyFont="1" applyFill="1" applyBorder="1" applyAlignment="1">
      <alignment horizontal="center" vertical="center"/>
    </xf>
    <xf numFmtId="183" fontId="0" fillId="0" borderId="40" xfId="0" applyNumberFormat="1" applyBorder="1" applyAlignment="1">
      <alignment horizontal="center"/>
    </xf>
    <xf numFmtId="183" fontId="1" fillId="0" borderId="40" xfId="0" applyNumberFormat="1" applyFont="1" applyBorder="1" applyAlignment="1">
      <alignment horizontal="center"/>
    </xf>
    <xf numFmtId="0" fontId="14" fillId="0" borderId="161" xfId="24" applyFont="1" applyBorder="1" applyAlignment="1">
      <alignment horizontal="right"/>
    </xf>
    <xf numFmtId="10" fontId="9" fillId="0" borderId="194" xfId="24" applyNumberFormat="1" applyBorder="1"/>
    <xf numFmtId="0" fontId="14" fillId="14" borderId="194" xfId="24" applyFont="1" applyFill="1" applyBorder="1" applyAlignment="1">
      <alignment horizontal="right"/>
    </xf>
    <xf numFmtId="0" fontId="14" fillId="14" borderId="255" xfId="24" applyFont="1" applyFill="1" applyBorder="1" applyAlignment="1">
      <alignment horizontal="right"/>
    </xf>
    <xf numFmtId="0" fontId="28" fillId="29" borderId="0" xfId="24" applyFont="1" applyFill="1"/>
    <xf numFmtId="0" fontId="9" fillId="29" borderId="0" xfId="24" applyFill="1"/>
    <xf numFmtId="0" fontId="51" fillId="29" borderId="0" xfId="24" applyFont="1" applyFill="1"/>
    <xf numFmtId="0" fontId="14" fillId="29" borderId="0" xfId="24" applyFont="1" applyFill="1"/>
    <xf numFmtId="0" fontId="14" fillId="12" borderId="0" xfId="24" applyFont="1" applyFill="1"/>
    <xf numFmtId="0" fontId="87" fillId="0" borderId="0" xfId="24" applyFont="1"/>
    <xf numFmtId="0" fontId="9" fillId="12" borderId="0" xfId="24" applyFill="1"/>
    <xf numFmtId="0" fontId="14" fillId="42" borderId="115" xfId="0" applyFont="1" applyFill="1" applyBorder="1"/>
    <xf numFmtId="3" fontId="0" fillId="42" borderId="169" xfId="0" applyNumberFormat="1" applyFill="1" applyBorder="1" applyAlignment="1">
      <alignment horizontal="center" vertical="center"/>
    </xf>
    <xf numFmtId="0" fontId="0" fillId="42" borderId="169" xfId="0" applyFill="1" applyBorder="1" applyAlignment="1">
      <alignment horizontal="center" vertical="center"/>
    </xf>
    <xf numFmtId="3" fontId="0" fillId="42" borderId="115" xfId="0" applyNumberFormat="1" applyFill="1" applyBorder="1" applyAlignment="1">
      <alignment horizontal="center" vertical="center"/>
    </xf>
    <xf numFmtId="0" fontId="14" fillId="8" borderId="272" xfId="0" applyFont="1" applyFill="1" applyBorder="1"/>
    <xf numFmtId="168" fontId="0" fillId="8" borderId="269" xfId="0" applyNumberFormat="1" applyFill="1" applyBorder="1" applyAlignment="1">
      <alignment horizontal="center" vertical="center"/>
    </xf>
    <xf numFmtId="168" fontId="9" fillId="8" borderId="269" xfId="0" applyNumberFormat="1" applyFont="1" applyFill="1" applyBorder="1" applyAlignment="1">
      <alignment horizontal="center" vertical="center"/>
    </xf>
    <xf numFmtId="168" fontId="0" fillId="8" borderId="273" xfId="0" applyNumberFormat="1" applyFill="1" applyBorder="1" applyAlignment="1">
      <alignment horizontal="center" vertical="center"/>
    </xf>
    <xf numFmtId="0" fontId="14" fillId="0" borderId="274" xfId="0" applyFont="1" applyBorder="1"/>
    <xf numFmtId="168" fontId="0" fillId="0" borderId="141" xfId="0" applyNumberFormat="1" applyBorder="1" applyAlignment="1">
      <alignment horizontal="center" vertical="center"/>
    </xf>
    <xf numFmtId="168" fontId="9" fillId="0" borderId="195" xfId="24" applyNumberFormat="1" applyBorder="1" applyAlignment="1">
      <alignment horizontal="center"/>
    </xf>
    <xf numFmtId="168" fontId="9" fillId="0" borderId="161" xfId="24" applyNumberFormat="1" applyBorder="1" applyAlignment="1">
      <alignment horizontal="center"/>
    </xf>
    <xf numFmtId="1" fontId="9" fillId="0" borderId="269" xfId="24" applyNumberFormat="1" applyBorder="1"/>
    <xf numFmtId="176" fontId="9" fillId="0" borderId="141" xfId="16" applyNumberFormat="1" applyBorder="1"/>
    <xf numFmtId="176" fontId="14" fillId="0" borderId="133" xfId="24" applyNumberFormat="1" applyFont="1" applyBorder="1"/>
    <xf numFmtId="0" fontId="14" fillId="0" borderId="256" xfId="24" applyFont="1" applyBorder="1" applyAlignment="1">
      <alignment horizontal="left"/>
    </xf>
    <xf numFmtId="0" fontId="14" fillId="0" borderId="196" xfId="24" applyFont="1" applyBorder="1" applyAlignment="1">
      <alignment horizontal="left"/>
    </xf>
    <xf numFmtId="0" fontId="14" fillId="0" borderId="151" xfId="24" applyFont="1" applyBorder="1" applyAlignment="1">
      <alignment horizontal="left"/>
    </xf>
    <xf numFmtId="10" fontId="9" fillId="0" borderId="195" xfId="16" applyNumberFormat="1" applyBorder="1" applyAlignment="1">
      <alignment horizontal="center"/>
    </xf>
    <xf numFmtId="9" fontId="9" fillId="0" borderId="161" xfId="16" applyBorder="1" applyAlignment="1">
      <alignment horizontal="center"/>
    </xf>
    <xf numFmtId="0" fontId="14" fillId="14" borderId="40" xfId="24" applyFont="1" applyFill="1" applyBorder="1"/>
    <xf numFmtId="0" fontId="14" fillId="0" borderId="255" xfId="24" applyFont="1" applyBorder="1"/>
    <xf numFmtId="9" fontId="9" fillId="0" borderId="195" xfId="16" applyBorder="1" applyAlignment="1">
      <alignment horizontal="center"/>
    </xf>
    <xf numFmtId="3" fontId="9" fillId="0" borderId="269" xfId="24" applyNumberFormat="1" applyBorder="1"/>
    <xf numFmtId="3" fontId="9" fillId="0" borderId="36" xfId="24" applyNumberFormat="1" applyBorder="1"/>
    <xf numFmtId="2" fontId="9" fillId="0" borderId="0" xfId="16" applyNumberFormat="1" applyBorder="1"/>
    <xf numFmtId="2" fontId="9" fillId="0" borderId="267" xfId="16" applyNumberFormat="1" applyBorder="1"/>
    <xf numFmtId="2" fontId="9" fillId="0" borderId="0" xfId="16" applyNumberFormat="1" applyFont="1" applyBorder="1"/>
    <xf numFmtId="2" fontId="9" fillId="0" borderId="141" xfId="16" applyNumberFormat="1" applyBorder="1"/>
    <xf numFmtId="2" fontId="9" fillId="0" borderId="141" xfId="16" applyNumberFormat="1" applyFont="1" applyBorder="1"/>
    <xf numFmtId="2" fontId="9" fillId="0" borderId="133" xfId="16" applyNumberFormat="1" applyBorder="1"/>
    <xf numFmtId="0" fontId="14" fillId="0" borderId="195" xfId="24" applyFont="1" applyBorder="1"/>
    <xf numFmtId="0" fontId="14" fillId="12" borderId="256" xfId="0" applyFont="1" applyFill="1" applyBorder="1"/>
    <xf numFmtId="0" fontId="14" fillId="0" borderId="194" xfId="24" applyFont="1" applyBorder="1" applyAlignment="1">
      <alignment vertical="center"/>
    </xf>
    <xf numFmtId="0" fontId="14" fillId="0" borderId="195" xfId="24" applyFont="1" applyBorder="1" applyAlignment="1">
      <alignment vertical="center"/>
    </xf>
    <xf numFmtId="0" fontId="14" fillId="0" borderId="161" xfId="24" applyFont="1" applyBorder="1" applyAlignment="1">
      <alignment vertical="center"/>
    </xf>
    <xf numFmtId="179" fontId="9" fillId="52" borderId="269" xfId="24" applyNumberFormat="1" applyFill="1" applyBorder="1" applyAlignment="1">
      <alignment vertical="center"/>
    </xf>
    <xf numFmtId="0" fontId="0" fillId="52" borderId="269" xfId="0" applyFill="1" applyBorder="1" applyAlignment="1">
      <alignment vertical="center"/>
    </xf>
    <xf numFmtId="44" fontId="0" fillId="52" borderId="269" xfId="36" applyFont="1" applyFill="1" applyBorder="1" applyAlignment="1">
      <alignment vertical="center"/>
    </xf>
    <xf numFmtId="180" fontId="0" fillId="52" borderId="269" xfId="36" applyNumberFormat="1" applyFont="1" applyFill="1" applyBorder="1" applyAlignment="1">
      <alignment vertical="center"/>
    </xf>
    <xf numFmtId="44" fontId="0" fillId="52" borderId="36" xfId="36" applyFont="1" applyFill="1" applyBorder="1" applyAlignment="1">
      <alignment vertical="center"/>
    </xf>
    <xf numFmtId="168" fontId="0" fillId="0" borderId="0" xfId="16" applyNumberFormat="1" applyFont="1" applyBorder="1" applyAlignment="1">
      <alignment vertical="center"/>
    </xf>
    <xf numFmtId="168" fontId="0" fillId="0" borderId="267" xfId="16" applyNumberFormat="1" applyFont="1" applyBorder="1" applyAlignment="1">
      <alignment vertical="center"/>
    </xf>
    <xf numFmtId="2" fontId="9" fillId="52" borderId="0" xfId="24" applyNumberFormat="1" applyFill="1" applyAlignment="1">
      <alignment vertical="center"/>
    </xf>
    <xf numFmtId="2" fontId="9" fillId="52" borderId="267" xfId="24" applyNumberFormat="1" applyFill="1" applyBorder="1" applyAlignment="1">
      <alignment vertical="center"/>
    </xf>
    <xf numFmtId="168" fontId="9" fillId="0" borderId="0" xfId="16" applyNumberFormat="1" applyBorder="1" applyAlignment="1">
      <alignment vertical="center"/>
    </xf>
    <xf numFmtId="168" fontId="9" fillId="0" borderId="267" xfId="16" applyNumberFormat="1" applyBorder="1" applyAlignment="1">
      <alignment vertical="center"/>
    </xf>
    <xf numFmtId="44" fontId="9" fillId="52" borderId="0" xfId="36" applyFont="1" applyFill="1" applyBorder="1" applyAlignment="1">
      <alignment vertical="center"/>
    </xf>
    <xf numFmtId="44" fontId="0" fillId="52" borderId="0" xfId="36" applyFont="1" applyFill="1" applyBorder="1" applyAlignment="1">
      <alignment vertical="center"/>
    </xf>
    <xf numFmtId="44" fontId="0" fillId="52" borderId="267" xfId="36" applyFont="1" applyFill="1" applyBorder="1" applyAlignment="1">
      <alignment vertical="center"/>
    </xf>
    <xf numFmtId="44" fontId="9" fillId="0" borderId="0" xfId="36" applyFont="1" applyBorder="1" applyAlignment="1">
      <alignment vertical="center"/>
    </xf>
    <xf numFmtId="180" fontId="9" fillId="0" borderId="0" xfId="36" applyNumberFormat="1" applyFont="1" applyBorder="1" applyAlignment="1">
      <alignment vertical="center"/>
    </xf>
    <xf numFmtId="44" fontId="9" fillId="0" borderId="267" xfId="36" applyFont="1" applyBorder="1" applyAlignment="1">
      <alignment vertical="center"/>
    </xf>
    <xf numFmtId="44" fontId="14" fillId="52" borderId="0" xfId="36" applyFont="1" applyFill="1" applyBorder="1" applyAlignment="1">
      <alignment vertical="center"/>
    </xf>
    <xf numFmtId="44" fontId="14" fillId="52" borderId="267" xfId="36" applyFont="1" applyFill="1" applyBorder="1" applyAlignment="1">
      <alignment vertical="center"/>
    </xf>
    <xf numFmtId="44" fontId="0" fillId="0" borderId="0" xfId="36" applyFont="1" applyBorder="1" applyAlignment="1">
      <alignment vertical="center"/>
    </xf>
    <xf numFmtId="44" fontId="0" fillId="0" borderId="267" xfId="36" applyFont="1" applyBorder="1" applyAlignment="1">
      <alignment vertical="center"/>
    </xf>
    <xf numFmtId="44" fontId="9" fillId="12" borderId="194" xfId="24" applyNumberFormat="1" applyFill="1" applyBorder="1" applyAlignment="1">
      <alignment vertical="center"/>
    </xf>
    <xf numFmtId="179" fontId="14" fillId="12" borderId="195" xfId="16" applyNumberFormat="1" applyFont="1" applyFill="1" applyBorder="1" applyAlignment="1">
      <alignment vertical="center"/>
    </xf>
    <xf numFmtId="179" fontId="14" fillId="12" borderId="161" xfId="16" applyNumberFormat="1" applyFont="1" applyFill="1" applyBorder="1" applyAlignment="1">
      <alignment vertical="center"/>
    </xf>
    <xf numFmtId="0" fontId="0" fillId="29" borderId="0" xfId="0" applyFill="1"/>
    <xf numFmtId="0" fontId="95" fillId="29" borderId="0" xfId="0" applyFont="1" applyFill="1"/>
    <xf numFmtId="0" fontId="14" fillId="28" borderId="196" xfId="0" applyFont="1" applyFill="1" applyBorder="1"/>
    <xf numFmtId="0" fontId="14" fillId="14" borderId="196" xfId="0" applyFont="1" applyFill="1" applyBorder="1"/>
    <xf numFmtId="0" fontId="9" fillId="0" borderId="269" xfId="24" applyBorder="1"/>
    <xf numFmtId="0" fontId="9" fillId="0" borderId="266" xfId="24" applyBorder="1"/>
    <xf numFmtId="0" fontId="14" fillId="0" borderId="296" xfId="24" applyFont="1" applyBorder="1"/>
    <xf numFmtId="0" fontId="14" fillId="0" borderId="295" xfId="24" applyFont="1" applyBorder="1"/>
    <xf numFmtId="0" fontId="9" fillId="0" borderId="133" xfId="24" applyBorder="1"/>
    <xf numFmtId="0" fontId="14" fillId="24" borderId="195" xfId="0" applyFont="1" applyFill="1" applyBorder="1"/>
    <xf numFmtId="0" fontId="9" fillId="0" borderId="161" xfId="24" applyBorder="1"/>
    <xf numFmtId="0" fontId="14" fillId="0" borderId="297" xfId="24" applyFont="1" applyBorder="1"/>
    <xf numFmtId="168" fontId="9" fillId="0" borderId="0" xfId="16" applyNumberFormat="1" applyBorder="1" applyAlignment="1">
      <alignment horizontal="right"/>
    </xf>
    <xf numFmtId="44" fontId="9" fillId="0" borderId="0" xfId="36" applyFont="1" applyBorder="1" applyAlignment="1">
      <alignment horizontal="right"/>
    </xf>
    <xf numFmtId="44" fontId="9" fillId="0" borderId="267" xfId="36" applyFont="1" applyBorder="1" applyAlignment="1">
      <alignment horizontal="right"/>
    </xf>
    <xf numFmtId="0" fontId="0" fillId="0" borderId="194" xfId="0" applyBorder="1"/>
    <xf numFmtId="9" fontId="9" fillId="0" borderId="0" xfId="16" applyBorder="1" applyAlignment="1">
      <alignment horizontal="right"/>
    </xf>
    <xf numFmtId="9" fontId="9" fillId="0" borderId="0" xfId="16" applyFont="1" applyBorder="1" applyAlignment="1">
      <alignment horizontal="right"/>
    </xf>
    <xf numFmtId="9" fontId="9" fillId="0" borderId="267" xfId="16" applyFont="1" applyBorder="1" applyAlignment="1">
      <alignment horizontal="right"/>
    </xf>
    <xf numFmtId="44" fontId="9" fillId="52" borderId="37" xfId="36" applyFont="1" applyFill="1" applyBorder="1" applyAlignment="1">
      <alignment horizontal="right"/>
    </xf>
    <xf numFmtId="44" fontId="9" fillId="52" borderId="0" xfId="36" applyFont="1" applyFill="1" applyBorder="1" applyAlignment="1">
      <alignment horizontal="right"/>
    </xf>
    <xf numFmtId="44" fontId="9" fillId="52" borderId="267" xfId="36" applyFont="1" applyFill="1" applyBorder="1" applyAlignment="1">
      <alignment horizontal="right"/>
    </xf>
    <xf numFmtId="179" fontId="9" fillId="0" borderId="0" xfId="16" applyNumberFormat="1" applyBorder="1" applyAlignment="1">
      <alignment horizontal="right"/>
    </xf>
    <xf numFmtId="0" fontId="28" fillId="29" borderId="0" xfId="0" applyFont="1" applyFill="1"/>
    <xf numFmtId="168" fontId="9" fillId="0" borderId="151" xfId="24" applyNumberFormat="1" applyBorder="1" applyAlignment="1">
      <alignment horizontal="center"/>
    </xf>
    <xf numFmtId="10" fontId="9" fillId="0" borderId="151" xfId="24" applyNumberFormat="1" applyBorder="1" applyAlignment="1">
      <alignment horizontal="center"/>
    </xf>
    <xf numFmtId="166" fontId="9" fillId="0" borderId="4" xfId="24" applyNumberFormat="1" applyBorder="1"/>
    <xf numFmtId="166" fontId="9" fillId="0" borderId="2" xfId="24" applyNumberFormat="1" applyBorder="1"/>
    <xf numFmtId="0" fontId="9" fillId="0" borderId="255" xfId="0" applyFont="1" applyBorder="1"/>
    <xf numFmtId="180" fontId="26" fillId="0" borderId="37" xfId="36" applyNumberFormat="1" applyFont="1" applyBorder="1" applyAlignment="1">
      <alignment horizontal="left"/>
    </xf>
    <xf numFmtId="44" fontId="26" fillId="0" borderId="0" xfId="36" applyFont="1" applyBorder="1" applyAlignment="1">
      <alignment horizontal="left"/>
    </xf>
    <xf numFmtId="0" fontId="27" fillId="29" borderId="0" xfId="24" applyFont="1" applyFill="1"/>
    <xf numFmtId="0" fontId="28" fillId="8" borderId="0" xfId="24" applyFont="1" applyFill="1"/>
    <xf numFmtId="10" fontId="14" fillId="12" borderId="161" xfId="24" applyNumberFormat="1" applyFont="1" applyFill="1" applyBorder="1"/>
    <xf numFmtId="0" fontId="14" fillId="24" borderId="255" xfId="24" applyFont="1" applyFill="1" applyBorder="1"/>
    <xf numFmtId="10" fontId="14" fillId="12" borderId="151" xfId="16" applyNumberFormat="1" applyFont="1" applyFill="1" applyBorder="1"/>
    <xf numFmtId="0" fontId="14" fillId="24" borderId="255" xfId="24" applyFont="1" applyFill="1" applyBorder="1" applyAlignment="1">
      <alignment horizontal="center"/>
    </xf>
    <xf numFmtId="0" fontId="9" fillId="0" borderId="256" xfId="24" applyBorder="1" applyAlignment="1">
      <alignment horizontal="center"/>
    </xf>
    <xf numFmtId="0" fontId="9" fillId="0" borderId="196" xfId="24" applyBorder="1" applyAlignment="1">
      <alignment horizontal="center"/>
    </xf>
    <xf numFmtId="168" fontId="9" fillId="0" borderId="196" xfId="16" applyNumberFormat="1" applyBorder="1" applyAlignment="1">
      <alignment horizontal="center"/>
    </xf>
    <xf numFmtId="168" fontId="9" fillId="0" borderId="196" xfId="24" applyNumberFormat="1" applyBorder="1" applyAlignment="1">
      <alignment horizontal="center"/>
    </xf>
    <xf numFmtId="0" fontId="14" fillId="0" borderId="294" xfId="24" applyFont="1" applyBorder="1" applyAlignment="1">
      <alignment horizontal="center"/>
    </xf>
    <xf numFmtId="10" fontId="9" fillId="0" borderId="151" xfId="24" applyNumberFormat="1" applyBorder="1"/>
    <xf numFmtId="10" fontId="14" fillId="12" borderId="276" xfId="0" applyNumberFormat="1" applyFont="1" applyFill="1" applyBorder="1" applyAlignment="1">
      <alignment horizontal="center"/>
    </xf>
    <xf numFmtId="10" fontId="9" fillId="0" borderId="255" xfId="24" applyNumberFormat="1" applyBorder="1"/>
    <xf numFmtId="0" fontId="14" fillId="49" borderId="40" xfId="24" applyFont="1" applyFill="1" applyBorder="1"/>
    <xf numFmtId="183" fontId="55" fillId="0" borderId="0" xfId="0" applyNumberFormat="1" applyFont="1"/>
    <xf numFmtId="0" fontId="9" fillId="12" borderId="37" xfId="24" applyFill="1" applyBorder="1"/>
    <xf numFmtId="0" fontId="9" fillId="12" borderId="266" xfId="24" applyFill="1" applyBorder="1"/>
    <xf numFmtId="9" fontId="9" fillId="12" borderId="196" xfId="24" applyNumberFormat="1" applyFill="1" applyBorder="1"/>
    <xf numFmtId="9" fontId="9" fillId="0" borderId="196" xfId="24" applyNumberFormat="1" applyBorder="1"/>
    <xf numFmtId="9" fontId="9" fillId="12" borderId="151" xfId="16" applyFill="1" applyBorder="1"/>
    <xf numFmtId="0" fontId="26" fillId="12" borderId="17" xfId="0" applyFont="1" applyFill="1" applyBorder="1" applyAlignment="1">
      <alignment horizontal="center"/>
    </xf>
    <xf numFmtId="0" fontId="9" fillId="23" borderId="17" xfId="0" applyFont="1" applyFill="1" applyBorder="1" applyAlignment="1">
      <alignment horizontal="center"/>
    </xf>
    <xf numFmtId="0" fontId="9" fillId="0" borderId="6" xfId="26" applyBorder="1"/>
    <xf numFmtId="0" fontId="9" fillId="8" borderId="298" xfId="0" applyFont="1" applyFill="1" applyBorder="1" applyAlignment="1">
      <alignment horizontal="right"/>
    </xf>
    <xf numFmtId="168" fontId="55" fillId="0" borderId="0" xfId="0" applyNumberFormat="1" applyFont="1"/>
    <xf numFmtId="168" fontId="55" fillId="0" borderId="255" xfId="0" applyNumberFormat="1" applyFont="1" applyBorder="1"/>
    <xf numFmtId="0" fontId="14" fillId="12" borderId="256" xfId="24" applyFont="1" applyFill="1" applyBorder="1"/>
    <xf numFmtId="1" fontId="14" fillId="12" borderId="37" xfId="24" applyNumberFormat="1" applyFont="1" applyFill="1" applyBorder="1" applyAlignment="1">
      <alignment horizontal="center"/>
    </xf>
    <xf numFmtId="1" fontId="14" fillId="12" borderId="0" xfId="24" applyNumberFormat="1" applyFont="1" applyFill="1" applyAlignment="1">
      <alignment horizontal="center"/>
    </xf>
    <xf numFmtId="1" fontId="14" fillId="12" borderId="0" xfId="0" applyNumberFormat="1" applyFont="1" applyFill="1" applyAlignment="1">
      <alignment horizontal="center"/>
    </xf>
    <xf numFmtId="1" fontId="14" fillId="12" borderId="267" xfId="24" applyNumberFormat="1" applyFont="1" applyFill="1" applyBorder="1" applyAlignment="1">
      <alignment horizontal="center"/>
    </xf>
    <xf numFmtId="9" fontId="24" fillId="0" borderId="0" xfId="16" applyFont="1" applyAlignment="1">
      <alignment horizontal="center"/>
    </xf>
    <xf numFmtId="9" fontId="36" fillId="0" borderId="0" xfId="0" applyNumberFormat="1" applyFont="1"/>
    <xf numFmtId="0" fontId="24" fillId="0" borderId="194" xfId="0" applyFont="1" applyBorder="1" applyAlignment="1">
      <alignment vertical="center"/>
    </xf>
    <xf numFmtId="0" fontId="24" fillId="0" borderId="195" xfId="0" applyFont="1" applyBorder="1" applyAlignment="1">
      <alignment vertical="center"/>
    </xf>
    <xf numFmtId="168" fontId="9" fillId="0" borderId="266" xfId="16" applyNumberFormat="1" applyBorder="1" applyAlignment="1"/>
    <xf numFmtId="168" fontId="9" fillId="0" borderId="141" xfId="16" applyNumberFormat="1" applyBorder="1" applyAlignment="1"/>
    <xf numFmtId="0" fontId="14" fillId="14" borderId="194" xfId="0" applyFont="1" applyFill="1" applyBorder="1" applyAlignment="1">
      <alignment horizontal="center"/>
    </xf>
    <xf numFmtId="0" fontId="57" fillId="14" borderId="255" xfId="0" applyFont="1" applyFill="1" applyBorder="1" applyAlignment="1">
      <alignment horizontal="center"/>
    </xf>
    <xf numFmtId="168" fontId="57" fillId="14" borderId="255" xfId="16" applyNumberFormat="1" applyFont="1" applyFill="1" applyBorder="1" applyAlignment="1">
      <alignment horizontal="center"/>
    </xf>
    <xf numFmtId="0" fontId="14" fillId="14" borderId="255" xfId="0" applyFont="1" applyFill="1" applyBorder="1" applyAlignment="1">
      <alignment horizontal="center"/>
    </xf>
    <xf numFmtId="0" fontId="14" fillId="0" borderId="194" xfId="0" applyFont="1" applyBorder="1" applyAlignment="1">
      <alignment horizontal="center"/>
    </xf>
    <xf numFmtId="168" fontId="9" fillId="0" borderId="0" xfId="16" applyNumberFormat="1" applyBorder="1" applyAlignment="1"/>
    <xf numFmtId="168" fontId="9" fillId="0" borderId="0" xfId="24" applyNumberFormat="1" applyAlignment="1">
      <alignment horizontal="center"/>
    </xf>
    <xf numFmtId="0" fontId="28" fillId="9" borderId="54" xfId="0" applyFont="1" applyFill="1" applyBorder="1" applyAlignment="1">
      <alignment horizontal="center" vertical="center"/>
    </xf>
    <xf numFmtId="0" fontId="48" fillId="5" borderId="46" xfId="0" applyFont="1" applyFill="1" applyBorder="1" applyAlignment="1">
      <alignment horizontal="center"/>
    </xf>
    <xf numFmtId="0" fontId="48" fillId="5" borderId="50" xfId="0" applyFont="1" applyFill="1" applyBorder="1" applyAlignment="1">
      <alignment horizontal="center"/>
    </xf>
    <xf numFmtId="0" fontId="9" fillId="0" borderId="148" xfId="0" applyFont="1" applyBorder="1" applyAlignment="1">
      <alignment horizontal="left" vertical="center" wrapText="1"/>
    </xf>
    <xf numFmtId="0" fontId="71" fillId="0" borderId="143" xfId="0" applyFont="1" applyBorder="1" applyAlignment="1">
      <alignment horizontal="left" vertical="center"/>
    </xf>
    <xf numFmtId="0" fontId="71" fillId="0" borderId="144" xfId="0" applyFont="1" applyBorder="1" applyAlignment="1">
      <alignment horizontal="left" vertical="center"/>
    </xf>
    <xf numFmtId="0" fontId="71" fillId="0" borderId="149" xfId="0" applyFont="1" applyBorder="1" applyAlignment="1">
      <alignment horizontal="left" vertical="center"/>
    </xf>
    <xf numFmtId="0" fontId="71" fillId="0" borderId="0" xfId="0" applyFont="1" applyAlignment="1">
      <alignment horizontal="left" vertical="center"/>
    </xf>
    <xf numFmtId="0" fontId="71" fillId="0" borderId="145" xfId="0" applyFont="1" applyBorder="1" applyAlignment="1">
      <alignment horizontal="left" vertical="center"/>
    </xf>
    <xf numFmtId="0" fontId="71" fillId="0" borderId="150" xfId="0" applyFont="1" applyBorder="1" applyAlignment="1">
      <alignment horizontal="left" vertical="center"/>
    </xf>
    <xf numFmtId="0" fontId="71" fillId="0" borderId="146" xfId="0" applyFont="1" applyBorder="1" applyAlignment="1">
      <alignment horizontal="left" vertical="center"/>
    </xf>
    <xf numFmtId="0" fontId="71" fillId="0" borderId="147" xfId="0" applyFont="1" applyBorder="1" applyAlignment="1">
      <alignment horizontal="left" vertical="center"/>
    </xf>
    <xf numFmtId="0" fontId="9" fillId="0" borderId="143" xfId="0" applyFont="1" applyBorder="1" applyAlignment="1">
      <alignment horizontal="left" vertical="center"/>
    </xf>
    <xf numFmtId="0" fontId="9" fillId="0" borderId="144" xfId="0" applyFont="1" applyBorder="1" applyAlignment="1">
      <alignment horizontal="left" vertical="center"/>
    </xf>
    <xf numFmtId="0" fontId="9" fillId="0" borderId="149" xfId="0" applyFont="1" applyBorder="1" applyAlignment="1">
      <alignment horizontal="left" vertical="center"/>
    </xf>
    <xf numFmtId="0" fontId="0" fillId="0" borderId="0" xfId="0" applyAlignment="1">
      <alignment horizontal="left" vertical="center"/>
    </xf>
    <xf numFmtId="0" fontId="9" fillId="0" borderId="145" xfId="0" applyFont="1" applyBorder="1" applyAlignment="1">
      <alignment horizontal="left" vertical="center"/>
    </xf>
    <xf numFmtId="0" fontId="9" fillId="0" borderId="150" xfId="0" applyFont="1" applyBorder="1" applyAlignment="1">
      <alignment horizontal="left" vertical="center"/>
    </xf>
    <xf numFmtId="0" fontId="9" fillId="0" borderId="146" xfId="0" applyFont="1" applyBorder="1" applyAlignment="1">
      <alignment horizontal="left" vertical="center"/>
    </xf>
    <xf numFmtId="0" fontId="9" fillId="0" borderId="147" xfId="0" applyFont="1" applyBorder="1" applyAlignment="1">
      <alignment horizontal="left" vertical="center"/>
    </xf>
    <xf numFmtId="0" fontId="28" fillId="32" borderId="46" xfId="0" applyFont="1" applyFill="1" applyBorder="1" applyAlignment="1">
      <alignment horizontal="center"/>
    </xf>
    <xf numFmtId="0" fontId="0" fillId="0" borderId="209" xfId="0" applyBorder="1" applyAlignment="1">
      <alignment horizontal="left" vertical="center" wrapText="1"/>
    </xf>
    <xf numFmtId="0" fontId="71" fillId="0" borderId="10" xfId="0" applyFont="1" applyBorder="1" applyAlignment="1">
      <alignment horizontal="left" vertical="center"/>
    </xf>
    <xf numFmtId="0" fontId="71" fillId="0" borderId="210" xfId="0" applyFont="1" applyBorder="1" applyAlignment="1">
      <alignment horizontal="left" vertical="center"/>
    </xf>
    <xf numFmtId="0" fontId="64" fillId="8" borderId="51" xfId="0" applyFont="1" applyFill="1" applyBorder="1" applyAlignment="1">
      <alignment horizontal="center"/>
    </xf>
    <xf numFmtId="0" fontId="64" fillId="8" borderId="73" xfId="0" applyFont="1" applyFill="1" applyBorder="1" applyAlignment="1">
      <alignment horizontal="center"/>
    </xf>
    <xf numFmtId="0" fontId="64" fillId="8" borderId="52" xfId="0" applyFont="1" applyFill="1" applyBorder="1" applyAlignment="1">
      <alignment horizontal="center"/>
    </xf>
    <xf numFmtId="0" fontId="64" fillId="8" borderId="46" xfId="0" applyFont="1" applyFill="1" applyBorder="1" applyAlignment="1">
      <alignment horizontal="center"/>
    </xf>
    <xf numFmtId="0" fontId="28" fillId="8" borderId="46" xfId="0" applyFont="1" applyFill="1" applyBorder="1" applyAlignment="1">
      <alignment horizontal="center"/>
    </xf>
    <xf numFmtId="0" fontId="64" fillId="8" borderId="48" xfId="0" applyFont="1" applyFill="1" applyBorder="1" applyAlignment="1">
      <alignment horizontal="center"/>
    </xf>
    <xf numFmtId="0" fontId="28" fillId="8" borderId="48" xfId="0" applyFont="1" applyFill="1" applyBorder="1" applyAlignment="1">
      <alignment horizontal="center"/>
    </xf>
    <xf numFmtId="0" fontId="84" fillId="8" borderId="48" xfId="0" applyFont="1" applyFill="1" applyBorder="1" applyAlignment="1">
      <alignment horizontal="center"/>
    </xf>
    <xf numFmtId="0" fontId="85" fillId="8" borderId="48" xfId="0" applyFont="1" applyFill="1" applyBorder="1" applyAlignment="1">
      <alignment horizontal="center"/>
    </xf>
    <xf numFmtId="0" fontId="94" fillId="0" borderId="10" xfId="0" applyFont="1" applyBorder="1" applyAlignment="1">
      <alignment vertical="center" wrapText="1"/>
    </xf>
    <xf numFmtId="0" fontId="9" fillId="0" borderId="2" xfId="0" applyFont="1" applyBorder="1" applyAlignment="1">
      <alignment horizontal="left" vertical="center" wrapText="1"/>
    </xf>
    <xf numFmtId="0" fontId="9" fillId="0" borderId="49" xfId="0" applyFont="1" applyBorder="1" applyAlignment="1">
      <alignment horizontal="left" vertical="center" wrapText="1"/>
    </xf>
    <xf numFmtId="0" fontId="0" fillId="0" borderId="211" xfId="0" applyBorder="1" applyAlignment="1">
      <alignment horizontal="left" vertical="center" wrapText="1"/>
    </xf>
    <xf numFmtId="0" fontId="9" fillId="0" borderId="40" xfId="0" applyFont="1" applyBorder="1" applyAlignment="1">
      <alignment horizontal="left" vertical="center" wrapText="1"/>
    </xf>
    <xf numFmtId="0" fontId="9" fillId="0" borderId="47" xfId="0" applyFont="1" applyBorder="1" applyAlignment="1">
      <alignment horizontal="left" vertical="center" wrapText="1"/>
    </xf>
    <xf numFmtId="0" fontId="0" fillId="0" borderId="212" xfId="0" applyBorder="1" applyAlignment="1">
      <alignment horizontal="left" vertical="center" wrapText="1"/>
    </xf>
    <xf numFmtId="0" fontId="0" fillId="0" borderId="213" xfId="0" applyBorder="1" applyAlignment="1">
      <alignment horizontal="left" vertical="center" wrapText="1"/>
    </xf>
    <xf numFmtId="0" fontId="0" fillId="0" borderId="214" xfId="0" applyBorder="1" applyAlignment="1">
      <alignment horizontal="left" vertical="center" wrapText="1"/>
    </xf>
    <xf numFmtId="0" fontId="48" fillId="31" borderId="208" xfId="0" applyFont="1" applyFill="1" applyBorder="1" applyAlignment="1">
      <alignment horizontal="center"/>
    </xf>
    <xf numFmtId="0" fontId="48" fillId="31" borderId="46" xfId="0" applyFont="1" applyFill="1" applyBorder="1" applyAlignment="1">
      <alignment horizontal="center"/>
    </xf>
    <xf numFmtId="0" fontId="28" fillId="32" borderId="113" xfId="0" applyFont="1" applyFill="1" applyBorder="1" applyAlignment="1">
      <alignment horizontal="center"/>
    </xf>
    <xf numFmtId="0" fontId="28" fillId="32" borderId="127" xfId="0" applyFont="1" applyFill="1" applyBorder="1" applyAlignment="1">
      <alignment horizontal="center"/>
    </xf>
    <xf numFmtId="0" fontId="28" fillId="32" borderId="135" xfId="0" applyFont="1" applyFill="1" applyBorder="1" applyAlignment="1">
      <alignment horizontal="center"/>
    </xf>
    <xf numFmtId="0" fontId="35" fillId="8" borderId="172" xfId="0" applyFont="1" applyFill="1" applyBorder="1" applyAlignment="1">
      <alignment horizontal="center" vertical="center" wrapText="1"/>
    </xf>
    <xf numFmtId="0" fontId="0" fillId="8" borderId="173" xfId="0" applyFill="1" applyBorder="1" applyAlignment="1">
      <alignment horizontal="center" vertical="center" wrapText="1"/>
    </xf>
    <xf numFmtId="0" fontId="0" fillId="8" borderId="174" xfId="0" applyFill="1" applyBorder="1" applyAlignment="1">
      <alignment horizontal="center" vertical="center" wrapText="1"/>
    </xf>
    <xf numFmtId="0" fontId="10" fillId="8" borderId="115" xfId="0" applyFont="1" applyFill="1" applyBorder="1" applyAlignment="1">
      <alignment horizontal="center" vertical="center" wrapText="1"/>
    </xf>
    <xf numFmtId="0" fontId="10" fillId="8" borderId="112" xfId="0" applyFont="1" applyFill="1" applyBorder="1" applyAlignment="1">
      <alignment horizontal="center" vertical="center" wrapText="1"/>
    </xf>
    <xf numFmtId="168" fontId="46" fillId="12" borderId="116" xfId="16" applyNumberFormat="1" applyFont="1" applyFill="1" applyBorder="1" applyAlignment="1">
      <alignment horizontal="center" vertical="center"/>
    </xf>
    <xf numFmtId="168" fontId="46" fillId="12" borderId="134" xfId="16" applyNumberFormat="1" applyFont="1" applyFill="1" applyBorder="1" applyAlignment="1">
      <alignment horizontal="center" vertical="center"/>
    </xf>
    <xf numFmtId="168" fontId="46" fillId="12" borderId="113" xfId="16" applyNumberFormat="1" applyFont="1" applyFill="1" applyBorder="1" applyAlignment="1">
      <alignment horizontal="center" vertical="center"/>
    </xf>
    <xf numFmtId="168" fontId="46" fillId="12" borderId="135" xfId="16" applyNumberFormat="1" applyFont="1" applyFill="1" applyBorder="1" applyAlignment="1">
      <alignment horizontal="center" vertical="center"/>
    </xf>
    <xf numFmtId="168" fontId="46" fillId="12" borderId="114" xfId="16" applyNumberFormat="1" applyFont="1" applyFill="1" applyBorder="1" applyAlignment="1">
      <alignment horizontal="center" vertical="center"/>
    </xf>
    <xf numFmtId="168" fontId="46" fillId="12" borderId="111" xfId="16" applyNumberFormat="1" applyFont="1" applyFill="1" applyBorder="1" applyAlignment="1">
      <alignment horizontal="center" vertical="center"/>
    </xf>
    <xf numFmtId="168" fontId="10" fillId="0" borderId="115" xfId="16" applyNumberFormat="1" applyFont="1" applyBorder="1" applyAlignment="1">
      <alignment horizontal="center" vertical="center" wrapText="1"/>
    </xf>
    <xf numFmtId="168" fontId="10" fillId="0" borderId="218" xfId="16" applyNumberFormat="1" applyFont="1" applyBorder="1" applyAlignment="1">
      <alignment horizontal="center" vertical="center" wrapText="1"/>
    </xf>
    <xf numFmtId="168" fontId="10" fillId="0" borderId="112" xfId="16" applyNumberFormat="1" applyFont="1" applyBorder="1" applyAlignment="1">
      <alignment horizontal="center" vertical="center" wrapText="1"/>
    </xf>
    <xf numFmtId="168" fontId="10" fillId="0" borderId="216" xfId="16" applyNumberFormat="1" applyFont="1" applyBorder="1" applyAlignment="1">
      <alignment horizontal="center" vertical="center" wrapText="1"/>
    </xf>
    <xf numFmtId="9" fontId="46" fillId="12" borderId="217" xfId="16" applyFont="1" applyFill="1" applyBorder="1" applyAlignment="1">
      <alignment horizontal="center" vertical="center"/>
    </xf>
    <xf numFmtId="9" fontId="46" fillId="12" borderId="187" xfId="16" applyFont="1" applyFill="1" applyBorder="1" applyAlignment="1">
      <alignment horizontal="center" vertical="center"/>
    </xf>
    <xf numFmtId="9" fontId="46" fillId="12" borderId="177" xfId="16" applyFont="1" applyFill="1" applyBorder="1" applyAlignment="1">
      <alignment horizontal="center" vertical="center"/>
    </xf>
    <xf numFmtId="0" fontId="48" fillId="5" borderId="127" xfId="0" applyFont="1" applyFill="1" applyBorder="1" applyAlignment="1">
      <alignment horizontal="center"/>
    </xf>
    <xf numFmtId="0" fontId="48" fillId="5" borderId="175" xfId="0" applyFont="1" applyFill="1" applyBorder="1" applyAlignment="1">
      <alignment horizontal="center"/>
    </xf>
    <xf numFmtId="0" fontId="48" fillId="5" borderId="251" xfId="0" applyFont="1" applyFill="1" applyBorder="1" applyAlignment="1">
      <alignment horizontal="center"/>
    </xf>
    <xf numFmtId="0" fontId="48" fillId="5" borderId="17" xfId="0" applyFont="1" applyFill="1" applyBorder="1" applyAlignment="1">
      <alignment horizontal="center"/>
    </xf>
    <xf numFmtId="0" fontId="48" fillId="5" borderId="28" xfId="0" applyFont="1" applyFill="1" applyBorder="1" applyAlignment="1">
      <alignment horizontal="center"/>
    </xf>
    <xf numFmtId="0" fontId="48" fillId="5" borderId="23" xfId="0" applyFont="1" applyFill="1" applyBorder="1" applyAlignment="1">
      <alignment horizontal="center"/>
    </xf>
    <xf numFmtId="0" fontId="47" fillId="18" borderId="44" xfId="0" applyFont="1" applyFill="1" applyBorder="1" applyAlignment="1">
      <alignment horizontal="center"/>
    </xf>
    <xf numFmtId="0" fontId="47" fillId="18" borderId="0" xfId="0" applyFont="1" applyFill="1" applyAlignment="1">
      <alignment horizontal="center"/>
    </xf>
    <xf numFmtId="0" fontId="47" fillId="18" borderId="45" xfId="0" applyFont="1" applyFill="1" applyBorder="1" applyAlignment="1">
      <alignment horizontal="center"/>
    </xf>
    <xf numFmtId="0" fontId="47" fillId="18" borderId="59" xfId="0" applyFont="1" applyFill="1" applyBorder="1" applyAlignment="1">
      <alignment horizontal="center"/>
    </xf>
    <xf numFmtId="0" fontId="47" fillId="18" borderId="64" xfId="0" applyFont="1" applyFill="1" applyBorder="1" applyAlignment="1">
      <alignment horizontal="center"/>
    </xf>
    <xf numFmtId="0" fontId="47" fillId="18" borderId="65" xfId="0" applyFont="1" applyFill="1" applyBorder="1" applyAlignment="1">
      <alignment horizontal="center"/>
    </xf>
    <xf numFmtId="167" fontId="10" fillId="12" borderId="134" xfId="0" applyNumberFormat="1" applyFont="1" applyFill="1" applyBorder="1" applyAlignment="1">
      <alignment horizontal="center" vertical="center"/>
    </xf>
    <xf numFmtId="167" fontId="10" fillId="12" borderId="111" xfId="0" applyNumberFormat="1" applyFont="1" applyFill="1" applyBorder="1" applyAlignment="1">
      <alignment horizontal="center" vertical="center"/>
    </xf>
    <xf numFmtId="167" fontId="10" fillId="12" borderId="135" xfId="0" applyNumberFormat="1" applyFont="1" applyFill="1" applyBorder="1" applyAlignment="1">
      <alignment horizontal="center" vertical="center"/>
    </xf>
    <xf numFmtId="0" fontId="14" fillId="0" borderId="19" xfId="0" applyFont="1" applyBorder="1" applyAlignment="1">
      <alignment horizontal="center"/>
    </xf>
    <xf numFmtId="0" fontId="14" fillId="0" borderId="20" xfId="0" applyFont="1" applyBorder="1" applyAlignment="1">
      <alignment horizontal="center"/>
    </xf>
    <xf numFmtId="0" fontId="9" fillId="8" borderId="21" xfId="0" applyFont="1" applyFill="1" applyBorder="1" applyAlignment="1">
      <alignment horizontal="left" vertical="center"/>
    </xf>
    <xf numFmtId="0" fontId="9" fillId="8" borderId="20" xfId="0" applyFont="1" applyFill="1" applyBorder="1" applyAlignment="1">
      <alignment horizontal="left" vertical="center"/>
    </xf>
    <xf numFmtId="0" fontId="14" fillId="8" borderId="21" xfId="16" applyNumberFormat="1" applyFont="1" applyFill="1" applyBorder="1" applyAlignment="1">
      <alignment horizontal="center"/>
    </xf>
    <xf numFmtId="0" fontId="14" fillId="8" borderId="20" xfId="16" applyNumberFormat="1" applyFont="1" applyFill="1" applyBorder="1" applyAlignment="1">
      <alignment horizontal="center"/>
    </xf>
    <xf numFmtId="0" fontId="10" fillId="23" borderId="0" xfId="0" applyFont="1" applyFill="1" applyAlignment="1">
      <alignment horizontal="center" vertical="center" wrapText="1"/>
    </xf>
    <xf numFmtId="0" fontId="10" fillId="23" borderId="127" xfId="0" applyFont="1" applyFill="1" applyBorder="1" applyAlignment="1">
      <alignment horizontal="center" vertical="center" wrapText="1"/>
    </xf>
    <xf numFmtId="0" fontId="35" fillId="8" borderId="113" xfId="0" applyFont="1" applyFill="1" applyBorder="1" applyAlignment="1">
      <alignment horizontal="center" vertical="center" wrapText="1"/>
    </xf>
    <xf numFmtId="0" fontId="35" fillId="8" borderId="127" xfId="0" applyFont="1" applyFill="1" applyBorder="1" applyAlignment="1">
      <alignment horizontal="center" vertical="center" wrapText="1"/>
    </xf>
    <xf numFmtId="0" fontId="35" fillId="8" borderId="135" xfId="0" applyFont="1" applyFill="1" applyBorder="1" applyAlignment="1">
      <alignment horizontal="center" vertical="center" wrapText="1"/>
    </xf>
    <xf numFmtId="0" fontId="0" fillId="8" borderId="178" xfId="0" applyFill="1" applyBorder="1" applyAlignment="1">
      <alignment horizontal="center" vertical="center" wrapText="1"/>
    </xf>
    <xf numFmtId="0" fontId="0" fillId="8" borderId="179" xfId="0" applyFill="1" applyBorder="1" applyAlignment="1">
      <alignment horizontal="center" vertical="center" wrapText="1"/>
    </xf>
    <xf numFmtId="0" fontId="0" fillId="8" borderId="180" xfId="0" applyFill="1" applyBorder="1" applyAlignment="1">
      <alignment horizontal="center" vertical="center" wrapText="1"/>
    </xf>
    <xf numFmtId="0" fontId="48" fillId="5" borderId="168" xfId="0" applyFont="1" applyFill="1" applyBorder="1" applyAlignment="1">
      <alignment horizontal="center"/>
    </xf>
    <xf numFmtId="0" fontId="48" fillId="5" borderId="110" xfId="0" applyFont="1" applyFill="1" applyBorder="1" applyAlignment="1">
      <alignment horizontal="center"/>
    </xf>
    <xf numFmtId="0" fontId="48" fillId="5" borderId="22" xfId="0" applyFont="1" applyFill="1" applyBorder="1" applyAlignment="1">
      <alignment horizontal="center"/>
    </xf>
    <xf numFmtId="0" fontId="0" fillId="8" borderId="184" xfId="0" applyFill="1" applyBorder="1" applyAlignment="1">
      <alignment horizontal="center"/>
    </xf>
    <xf numFmtId="0" fontId="0" fillId="8" borderId="185" xfId="0" applyFill="1" applyBorder="1" applyAlignment="1">
      <alignment horizontal="center"/>
    </xf>
    <xf numFmtId="0" fontId="0" fillId="8" borderId="186" xfId="0" applyFill="1" applyBorder="1" applyAlignment="1">
      <alignment horizontal="center"/>
    </xf>
    <xf numFmtId="0" fontId="0" fillId="8" borderId="181" xfId="0" applyFill="1" applyBorder="1" applyAlignment="1">
      <alignment horizontal="center"/>
    </xf>
    <xf numFmtId="0" fontId="0" fillId="8" borderId="182" xfId="0" applyFill="1" applyBorder="1" applyAlignment="1">
      <alignment horizontal="center"/>
    </xf>
    <xf numFmtId="0" fontId="0" fillId="8" borderId="183" xfId="0" applyFill="1" applyBorder="1" applyAlignment="1">
      <alignment horizontal="center"/>
    </xf>
    <xf numFmtId="0" fontId="9" fillId="0" borderId="17" xfId="0" applyFont="1" applyBorder="1" applyAlignment="1">
      <alignment horizontal="left" vertical="center"/>
    </xf>
    <xf numFmtId="0" fontId="9" fillId="0" borderId="17" xfId="0" applyFont="1" applyBorder="1" applyAlignment="1">
      <alignment horizontal="left"/>
    </xf>
    <xf numFmtId="0" fontId="48" fillId="5" borderId="116" xfId="0" applyFont="1" applyFill="1" applyBorder="1" applyAlignment="1">
      <alignment horizontal="center"/>
    </xf>
    <xf numFmtId="0" fontId="48" fillId="5" borderId="169" xfId="0" applyFont="1" applyFill="1" applyBorder="1" applyAlignment="1">
      <alignment horizontal="center"/>
    </xf>
    <xf numFmtId="0" fontId="48" fillId="5" borderId="170" xfId="0" applyFont="1" applyFill="1" applyBorder="1" applyAlignment="1">
      <alignment horizontal="center"/>
    </xf>
    <xf numFmtId="0" fontId="48" fillId="5" borderId="10" xfId="0" applyFont="1" applyFill="1" applyBorder="1" applyAlignment="1">
      <alignment horizontal="center"/>
    </xf>
    <xf numFmtId="0" fontId="48" fillId="5" borderId="0" xfId="0" applyFont="1" applyFill="1" applyAlignment="1">
      <alignment horizontal="center"/>
    </xf>
    <xf numFmtId="0" fontId="48" fillId="5" borderId="111" xfId="0" applyFont="1" applyFill="1" applyBorder="1" applyAlignment="1">
      <alignment horizontal="center"/>
    </xf>
    <xf numFmtId="0" fontId="28" fillId="32" borderId="126" xfId="0" applyFont="1" applyFill="1" applyBorder="1" applyAlignment="1">
      <alignment horizontal="center"/>
    </xf>
    <xf numFmtId="0" fontId="28" fillId="32" borderId="110" xfId="0" applyFont="1" applyFill="1" applyBorder="1" applyAlignment="1">
      <alignment horizontal="center"/>
    </xf>
    <xf numFmtId="0" fontId="28" fillId="32" borderId="176" xfId="0" applyFont="1" applyFill="1" applyBorder="1" applyAlignment="1">
      <alignment horizontal="center"/>
    </xf>
    <xf numFmtId="0" fontId="28" fillId="32" borderId="21" xfId="0" applyFont="1" applyFill="1" applyBorder="1" applyAlignment="1">
      <alignment horizontal="center"/>
    </xf>
    <xf numFmtId="0" fontId="28" fillId="32" borderId="20" xfId="0" applyFont="1" applyFill="1" applyBorder="1" applyAlignment="1">
      <alignment horizontal="center"/>
    </xf>
    <xf numFmtId="0" fontId="0" fillId="8" borderId="28" xfId="0" applyFill="1" applyBorder="1" applyAlignment="1">
      <alignment horizontal="center" vertical="center" wrapText="1"/>
    </xf>
    <xf numFmtId="0" fontId="0" fillId="8" borderId="23" xfId="0" applyFill="1" applyBorder="1" applyAlignment="1">
      <alignment horizontal="center" vertical="center" wrapText="1"/>
    </xf>
    <xf numFmtId="0" fontId="22" fillId="0" borderId="251" xfId="0" applyFont="1" applyBorder="1" applyAlignment="1">
      <alignment horizontal="center" wrapText="1"/>
    </xf>
    <xf numFmtId="0" fontId="22" fillId="0" borderId="21" xfId="0" applyFont="1" applyBorder="1" applyAlignment="1">
      <alignment horizontal="center" wrapText="1"/>
    </xf>
    <xf numFmtId="0" fontId="22" fillId="0" borderId="251" xfId="0" applyFont="1" applyBorder="1" applyAlignment="1">
      <alignment horizontal="center" vertical="center" wrapText="1"/>
    </xf>
    <xf numFmtId="0" fontId="22" fillId="0" borderId="21" xfId="0" applyFont="1" applyBorder="1" applyAlignment="1">
      <alignment horizontal="center" vertical="center" wrapText="1"/>
    </xf>
    <xf numFmtId="0" fontId="48" fillId="5" borderId="254" xfId="0" applyFont="1" applyFill="1" applyBorder="1" applyAlignment="1">
      <alignment horizontal="center"/>
    </xf>
    <xf numFmtId="0" fontId="0" fillId="8" borderId="21" xfId="0" applyFill="1" applyBorder="1" applyAlignment="1">
      <alignment horizontal="center" vertical="center" wrapText="1"/>
    </xf>
    <xf numFmtId="0" fontId="0" fillId="8" borderId="20" xfId="0" applyFill="1" applyBorder="1" applyAlignment="1">
      <alignment horizontal="center" vertical="center" wrapText="1"/>
    </xf>
    <xf numFmtId="0" fontId="28" fillId="32" borderId="19" xfId="0" applyFont="1" applyFill="1" applyBorder="1" applyAlignment="1">
      <alignment horizontal="center" vertical="center" wrapText="1"/>
    </xf>
    <xf numFmtId="0" fontId="28" fillId="32" borderId="253" xfId="0" applyFont="1" applyFill="1" applyBorder="1" applyAlignment="1">
      <alignment horizontal="center" vertical="center" wrapText="1"/>
    </xf>
    <xf numFmtId="0" fontId="0" fillId="8" borderId="253" xfId="0" applyFill="1" applyBorder="1" applyAlignment="1">
      <alignment horizontal="center" vertical="center" wrapText="1"/>
    </xf>
    <xf numFmtId="0" fontId="48" fillId="5" borderId="208" xfId="0" applyFont="1" applyFill="1" applyBorder="1" applyAlignment="1">
      <alignment horizontal="center"/>
    </xf>
    <xf numFmtId="0" fontId="47" fillId="18" borderId="10" xfId="0" applyFont="1" applyFill="1" applyBorder="1" applyAlignment="1">
      <alignment horizontal="center"/>
    </xf>
    <xf numFmtId="0" fontId="47" fillId="18" borderId="12" xfId="0" applyFont="1" applyFill="1" applyBorder="1" applyAlignment="1">
      <alignment horizontal="center"/>
    </xf>
    <xf numFmtId="0" fontId="28" fillId="32" borderId="208" xfId="0" applyFont="1" applyFill="1" applyBorder="1" applyAlignment="1">
      <alignment horizontal="center"/>
    </xf>
    <xf numFmtId="0" fontId="0" fillId="0" borderId="10" xfId="0" applyBorder="1" applyAlignment="1">
      <alignment horizontal="left" vertical="center"/>
    </xf>
    <xf numFmtId="0" fontId="0" fillId="0" borderId="210" xfId="0" applyBorder="1" applyAlignment="1">
      <alignment horizontal="left" vertical="center"/>
    </xf>
    <xf numFmtId="0" fontId="10" fillId="0" borderId="247" xfId="0" applyFont="1" applyBorder="1" applyAlignment="1">
      <alignment horizontal="center" vertical="center"/>
    </xf>
    <xf numFmtId="0" fontId="10" fillId="0" borderId="57" xfId="0" applyFont="1" applyBorder="1" applyAlignment="1">
      <alignment horizontal="center" vertical="center"/>
    </xf>
    <xf numFmtId="0" fontId="10" fillId="0" borderId="248" xfId="0" applyFont="1" applyBorder="1" applyAlignment="1">
      <alignment horizontal="center" vertical="center"/>
    </xf>
    <xf numFmtId="0" fontId="28" fillId="32" borderId="28" xfId="0" applyFont="1" applyFill="1" applyBorder="1" applyAlignment="1">
      <alignment horizontal="center"/>
    </xf>
    <xf numFmtId="0" fontId="28" fillId="32" borderId="22" xfId="0" applyFont="1" applyFill="1" applyBorder="1" applyAlignment="1">
      <alignment horizontal="center"/>
    </xf>
    <xf numFmtId="0" fontId="28" fillId="32" borderId="19" xfId="0" applyFont="1" applyFill="1" applyBorder="1" applyAlignment="1">
      <alignment horizontal="center"/>
    </xf>
    <xf numFmtId="14" fontId="14" fillId="0" borderId="21" xfId="0" applyNumberFormat="1" applyFont="1" applyBorder="1" applyAlignment="1">
      <alignment horizontal="center"/>
    </xf>
    <xf numFmtId="14" fontId="14" fillId="0" borderId="20" xfId="0" applyNumberFormat="1" applyFont="1" applyBorder="1" applyAlignment="1">
      <alignment horizontal="center"/>
    </xf>
    <xf numFmtId="0" fontId="9" fillId="0" borderId="17" xfId="0" quotePrefix="1" applyFont="1" applyBorder="1" applyAlignment="1">
      <alignment horizontal="left"/>
    </xf>
    <xf numFmtId="0" fontId="14" fillId="8" borderId="21" xfId="16" applyNumberFormat="1" applyFont="1" applyFill="1" applyBorder="1" applyAlignment="1">
      <alignment horizontal="left"/>
    </xf>
    <xf numFmtId="0" fontId="14" fillId="8" borderId="20" xfId="16" applyNumberFormat="1" applyFont="1" applyFill="1" applyBorder="1" applyAlignment="1">
      <alignment horizontal="left"/>
    </xf>
    <xf numFmtId="0" fontId="68" fillId="8" borderId="17" xfId="0" applyFont="1" applyFill="1" applyBorder="1" applyAlignment="1">
      <alignment horizontal="left" vertical="center" wrapText="1"/>
    </xf>
    <xf numFmtId="0" fontId="48" fillId="31" borderId="24" xfId="0" applyFont="1" applyFill="1" applyBorder="1" applyAlignment="1">
      <alignment horizontal="center" vertical="center" wrapText="1"/>
    </xf>
    <xf numFmtId="0" fontId="48" fillId="31" borderId="17" xfId="0" applyFont="1" applyFill="1" applyBorder="1" applyAlignment="1">
      <alignment horizontal="center" vertical="center" wrapText="1"/>
    </xf>
    <xf numFmtId="0" fontId="48" fillId="31" borderId="243" xfId="0" applyFont="1" applyFill="1" applyBorder="1" applyAlignment="1">
      <alignment horizontal="center" vertical="center" wrapText="1"/>
    </xf>
    <xf numFmtId="0" fontId="48" fillId="31" borderId="252" xfId="0" applyFont="1" applyFill="1" applyBorder="1" applyAlignment="1">
      <alignment horizontal="center" vertical="center" wrapText="1"/>
    </xf>
    <xf numFmtId="0" fontId="48" fillId="5" borderId="41" xfId="0" applyFont="1" applyFill="1" applyBorder="1" applyAlignment="1">
      <alignment horizontal="center"/>
    </xf>
    <xf numFmtId="0" fontId="48" fillId="5" borderId="42" xfId="0" applyFont="1" applyFill="1" applyBorder="1" applyAlignment="1">
      <alignment horizontal="center"/>
    </xf>
    <xf numFmtId="0" fontId="48" fillId="5" borderId="43" xfId="0" applyFont="1" applyFill="1" applyBorder="1" applyAlignment="1">
      <alignment horizontal="center"/>
    </xf>
    <xf numFmtId="0" fontId="9" fillId="0" borderId="51" xfId="0" applyFont="1" applyBorder="1" applyAlignment="1">
      <alignment horizontal="left"/>
    </xf>
    <xf numFmtId="0" fontId="9" fillId="0" borderId="52" xfId="0" applyFont="1" applyBorder="1" applyAlignment="1">
      <alignment horizontal="left"/>
    </xf>
    <xf numFmtId="0" fontId="9" fillId="0" borderId="51" xfId="0" applyFont="1" applyBorder="1" applyAlignment="1">
      <alignment horizontal="left" indent="1"/>
    </xf>
    <xf numFmtId="0" fontId="9" fillId="0" borderId="52" xfId="0" applyFont="1" applyBorder="1" applyAlignment="1">
      <alignment horizontal="left" indent="1"/>
    </xf>
    <xf numFmtId="0" fontId="14" fillId="0" borderId="116" xfId="0" applyFont="1" applyBorder="1" applyAlignment="1">
      <alignment horizontal="center" vertical="center" wrapText="1"/>
    </xf>
    <xf numFmtId="0" fontId="14" fillId="0" borderId="169" xfId="0" applyFont="1" applyBorder="1" applyAlignment="1">
      <alignment horizontal="center" vertical="center" wrapText="1"/>
    </xf>
    <xf numFmtId="0" fontId="14" fillId="0" borderId="170" xfId="0" applyFont="1" applyBorder="1" applyAlignment="1">
      <alignment horizontal="center" vertical="center" wrapText="1"/>
    </xf>
    <xf numFmtId="0" fontId="14" fillId="0" borderId="114" xfId="0" applyFont="1" applyBorder="1" applyAlignment="1">
      <alignment horizontal="center" vertical="center" wrapText="1"/>
    </xf>
    <xf numFmtId="0" fontId="14" fillId="0" borderId="0" xfId="0" applyFont="1" applyAlignment="1">
      <alignment horizontal="center" vertical="center" wrapText="1"/>
    </xf>
    <xf numFmtId="0" fontId="14" fillId="0" borderId="12" xfId="0" applyFont="1" applyBorder="1" applyAlignment="1">
      <alignment horizontal="center" vertical="center" wrapText="1"/>
    </xf>
    <xf numFmtId="0" fontId="14" fillId="0" borderId="113" xfId="0" applyFont="1" applyBorder="1" applyAlignment="1">
      <alignment horizontal="center" vertical="center" wrapText="1"/>
    </xf>
    <xf numFmtId="0" fontId="14" fillId="0" borderId="127" xfId="0" applyFont="1" applyBorder="1" applyAlignment="1">
      <alignment horizontal="center" vertical="center" wrapText="1"/>
    </xf>
    <xf numFmtId="0" fontId="14" fillId="0" borderId="175" xfId="0" applyFont="1" applyBorder="1" applyAlignment="1">
      <alignment horizontal="center" vertical="center" wrapText="1"/>
    </xf>
    <xf numFmtId="0" fontId="28" fillId="32" borderId="50" xfId="0" applyFont="1" applyFill="1" applyBorder="1" applyAlignment="1">
      <alignment horizontal="center"/>
    </xf>
    <xf numFmtId="0" fontId="14" fillId="0" borderId="51" xfId="0" applyFont="1" applyBorder="1" applyAlignment="1">
      <alignment horizontal="left"/>
    </xf>
    <xf numFmtId="0" fontId="14" fillId="0" borderId="52" xfId="0" applyFont="1" applyBorder="1" applyAlignment="1">
      <alignment horizontal="left"/>
    </xf>
    <xf numFmtId="0" fontId="0" fillId="0" borderId="51" xfId="0" applyBorder="1" applyAlignment="1">
      <alignment horizontal="left"/>
    </xf>
    <xf numFmtId="0" fontId="0" fillId="0" borderId="52" xfId="0" applyBorder="1" applyAlignment="1">
      <alignment horizontal="left"/>
    </xf>
    <xf numFmtId="0" fontId="9" fillId="16" borderId="51" xfId="0" applyFont="1" applyFill="1" applyBorder="1" applyAlignment="1">
      <alignment horizontal="left"/>
    </xf>
    <xf numFmtId="0" fontId="9" fillId="16" borderId="52" xfId="0" applyFont="1" applyFill="1" applyBorder="1" applyAlignment="1">
      <alignment horizontal="left"/>
    </xf>
    <xf numFmtId="0" fontId="32" fillId="5" borderId="262" xfId="0" applyFont="1" applyFill="1" applyBorder="1" applyAlignment="1">
      <alignment horizontal="center"/>
    </xf>
    <xf numFmtId="0" fontId="32" fillId="5" borderId="263" xfId="0" applyFont="1" applyFill="1" applyBorder="1" applyAlignment="1">
      <alignment horizontal="center"/>
    </xf>
    <xf numFmtId="0" fontId="32" fillId="5" borderId="264" xfId="0" applyFont="1" applyFill="1" applyBorder="1" applyAlignment="1">
      <alignment horizontal="center"/>
    </xf>
    <xf numFmtId="0" fontId="14" fillId="14" borderId="61" xfId="0" applyFont="1" applyFill="1" applyBorder="1" applyAlignment="1">
      <alignment horizontal="center"/>
    </xf>
    <xf numFmtId="0" fontId="14" fillId="14" borderId="63" xfId="0" applyFont="1" applyFill="1" applyBorder="1" applyAlignment="1">
      <alignment horizontal="center"/>
    </xf>
    <xf numFmtId="0" fontId="0" fillId="0" borderId="71" xfId="0" applyBorder="1" applyAlignment="1">
      <alignment horizontal="center"/>
    </xf>
    <xf numFmtId="0" fontId="0" fillId="0" borderId="72" xfId="0" applyBorder="1" applyAlignment="1">
      <alignment horizontal="center"/>
    </xf>
    <xf numFmtId="0" fontId="14" fillId="14" borderId="62" xfId="0" applyFont="1" applyFill="1" applyBorder="1" applyAlignment="1">
      <alignment horizontal="center"/>
    </xf>
    <xf numFmtId="0" fontId="32" fillId="5" borderId="61" xfId="0" applyFont="1" applyFill="1" applyBorder="1" applyAlignment="1">
      <alignment horizontal="center" vertical="center"/>
    </xf>
    <xf numFmtId="0" fontId="32" fillId="5" borderId="62" xfId="0" applyFont="1" applyFill="1" applyBorder="1" applyAlignment="1">
      <alignment horizontal="center" vertical="center"/>
    </xf>
    <xf numFmtId="0" fontId="32" fillId="5" borderId="65" xfId="0" applyFont="1" applyFill="1" applyBorder="1" applyAlignment="1">
      <alignment horizontal="center" vertical="center"/>
    </xf>
    <xf numFmtId="0" fontId="14" fillId="0" borderId="71" xfId="0" applyFont="1" applyBorder="1" applyAlignment="1">
      <alignment horizontal="center"/>
    </xf>
    <xf numFmtId="0" fontId="14" fillId="0" borderId="73" xfId="0" applyFont="1" applyBorder="1" applyAlignment="1">
      <alignment horizontal="center"/>
    </xf>
    <xf numFmtId="0" fontId="14" fillId="0" borderId="72" xfId="0" applyFont="1" applyBorder="1" applyAlignment="1">
      <alignment horizontal="center"/>
    </xf>
    <xf numFmtId="0" fontId="14" fillId="0" borderId="222" xfId="0" applyFont="1" applyBorder="1" applyAlignment="1">
      <alignment horizontal="center"/>
    </xf>
    <xf numFmtId="0" fontId="14" fillId="0" borderId="143" xfId="0" applyFont="1" applyBorder="1" applyAlignment="1">
      <alignment horizontal="center"/>
    </xf>
    <xf numFmtId="0" fontId="14" fillId="0" borderId="223" xfId="0" applyFont="1" applyBorder="1" applyAlignment="1">
      <alignment horizontal="center"/>
    </xf>
    <xf numFmtId="10" fontId="14" fillId="0" borderId="71" xfId="16" applyNumberFormat="1" applyFont="1" applyBorder="1" applyAlignment="1">
      <alignment horizontal="center"/>
    </xf>
    <xf numFmtId="10" fontId="14" fillId="0" borderId="73" xfId="16" applyNumberFormat="1" applyFont="1" applyBorder="1" applyAlignment="1">
      <alignment horizontal="center"/>
    </xf>
    <xf numFmtId="10" fontId="14" fillId="0" borderId="72" xfId="16" applyNumberFormat="1" applyFont="1" applyBorder="1" applyAlignment="1">
      <alignment horizontal="center"/>
    </xf>
    <xf numFmtId="10" fontId="14" fillId="0" borderId="222" xfId="16" applyNumberFormat="1" applyFont="1" applyBorder="1" applyAlignment="1">
      <alignment horizontal="center"/>
    </xf>
    <xf numFmtId="10" fontId="14" fillId="0" borderId="143" xfId="16" applyNumberFormat="1" applyFont="1" applyBorder="1" applyAlignment="1">
      <alignment horizontal="center"/>
    </xf>
    <xf numFmtId="10" fontId="14" fillId="0" borderId="223" xfId="16" applyNumberFormat="1" applyFont="1" applyBorder="1" applyAlignment="1">
      <alignment horizontal="center"/>
    </xf>
    <xf numFmtId="0" fontId="14" fillId="24" borderId="66" xfId="0" applyFont="1" applyFill="1" applyBorder="1" applyAlignment="1">
      <alignment horizontal="center"/>
    </xf>
    <xf numFmtId="0" fontId="14" fillId="24" borderId="67" xfId="0" applyFont="1" applyFill="1" applyBorder="1" applyAlignment="1">
      <alignment horizontal="center"/>
    </xf>
    <xf numFmtId="0" fontId="89" fillId="0" borderId="71" xfId="11" applyFont="1" applyBorder="1" applyAlignment="1" applyProtection="1">
      <alignment horizontal="center"/>
    </xf>
    <xf numFmtId="0" fontId="89" fillId="0" borderId="72" xfId="11" applyFont="1" applyBorder="1" applyAlignment="1" applyProtection="1">
      <alignment horizontal="center"/>
    </xf>
    <xf numFmtId="0" fontId="32" fillId="5" borderId="61" xfId="0" applyFont="1" applyFill="1" applyBorder="1" applyAlignment="1">
      <alignment horizontal="center"/>
    </xf>
    <xf numFmtId="0" fontId="32" fillId="5" borderId="62" xfId="0" applyFont="1" applyFill="1" applyBorder="1" applyAlignment="1">
      <alignment horizontal="center"/>
    </xf>
    <xf numFmtId="0" fontId="32" fillId="5" borderId="63" xfId="0" applyFont="1" applyFill="1" applyBorder="1" applyAlignment="1">
      <alignment horizontal="center"/>
    </xf>
    <xf numFmtId="0" fontId="89" fillId="0" borderId="222" xfId="11" applyFont="1" applyBorder="1" applyAlignment="1" applyProtection="1">
      <alignment horizontal="center"/>
    </xf>
    <xf numFmtId="0" fontId="89" fillId="0" borderId="223" xfId="11" applyFont="1" applyBorder="1" applyAlignment="1" applyProtection="1">
      <alignment horizontal="center"/>
    </xf>
    <xf numFmtId="0" fontId="45" fillId="0" borderId="257" xfId="0" applyFont="1" applyBorder="1" applyAlignment="1">
      <alignment horizontal="center"/>
    </xf>
    <xf numFmtId="0" fontId="45" fillId="0" borderId="258" xfId="0" applyFont="1" applyBorder="1" applyAlignment="1">
      <alignment horizontal="center"/>
    </xf>
    <xf numFmtId="0" fontId="9" fillId="0" borderId="71" xfId="0" applyFont="1" applyBorder="1" applyAlignment="1">
      <alignment horizontal="center" wrapText="1"/>
    </xf>
    <xf numFmtId="0" fontId="9" fillId="0" borderId="73" xfId="0" applyFont="1" applyBorder="1" applyAlignment="1">
      <alignment horizontal="center" wrapText="1"/>
    </xf>
    <xf numFmtId="0" fontId="9" fillId="0" borderId="72" xfId="0" applyFont="1" applyBorder="1" applyAlignment="1">
      <alignment horizontal="center" wrapText="1"/>
    </xf>
    <xf numFmtId="10" fontId="14" fillId="0" borderId="259" xfId="16" applyNumberFormat="1" applyFont="1" applyBorder="1" applyAlignment="1">
      <alignment horizontal="center"/>
    </xf>
    <xf numFmtId="10" fontId="14" fillId="0" borderId="258" xfId="16" applyNumberFormat="1" applyFont="1" applyBorder="1" applyAlignment="1">
      <alignment horizontal="center"/>
    </xf>
    <xf numFmtId="0" fontId="14" fillId="24" borderId="68" xfId="0" applyFont="1" applyFill="1" applyBorder="1" applyAlignment="1">
      <alignment horizontal="center"/>
    </xf>
    <xf numFmtId="0" fontId="14" fillId="24" borderId="69" xfId="0" applyFont="1" applyFill="1" applyBorder="1" applyAlignment="1">
      <alignment horizontal="center"/>
    </xf>
    <xf numFmtId="0" fontId="14" fillId="24" borderId="70" xfId="0" applyFont="1" applyFill="1" applyBorder="1" applyAlignment="1">
      <alignment horizontal="center"/>
    </xf>
    <xf numFmtId="0" fontId="0" fillId="0" borderId="74" xfId="0" applyBorder="1" applyAlignment="1">
      <alignment horizontal="center"/>
    </xf>
    <xf numFmtId="0" fontId="0" fillId="0" borderId="75" xfId="0" applyBorder="1" applyAlignment="1">
      <alignment horizontal="center"/>
    </xf>
    <xf numFmtId="0" fontId="10" fillId="0" borderId="61" xfId="0" applyFont="1" applyBorder="1" applyAlignment="1">
      <alignment horizontal="center" vertical="center"/>
    </xf>
    <xf numFmtId="0" fontId="10" fillId="0" borderId="63" xfId="0" applyFont="1" applyBorder="1" applyAlignment="1">
      <alignment horizontal="center" vertical="center"/>
    </xf>
    <xf numFmtId="0" fontId="32" fillId="5" borderId="44" xfId="0" applyFont="1" applyFill="1" applyBorder="1" applyAlignment="1">
      <alignment horizontal="center"/>
    </xf>
    <xf numFmtId="0" fontId="32" fillId="5" borderId="0" xfId="0" applyFont="1" applyFill="1" applyAlignment="1">
      <alignment horizontal="center"/>
    </xf>
    <xf numFmtId="0" fontId="32" fillId="5" borderId="45" xfId="0" applyFont="1" applyFill="1" applyBorder="1" applyAlignment="1">
      <alignment horizontal="center"/>
    </xf>
    <xf numFmtId="0" fontId="47" fillId="5" borderId="0" xfId="0" applyFont="1" applyFill="1" applyAlignment="1">
      <alignment horizontal="center"/>
    </xf>
    <xf numFmtId="0" fontId="32" fillId="18" borderId="44" xfId="0" applyFont="1" applyFill="1" applyBorder="1" applyAlignment="1">
      <alignment horizontal="center"/>
    </xf>
    <xf numFmtId="0" fontId="32" fillId="18" borderId="0" xfId="0" applyFont="1" applyFill="1" applyAlignment="1">
      <alignment horizontal="center"/>
    </xf>
    <xf numFmtId="0" fontId="47" fillId="5" borderId="56" xfId="0" applyFont="1" applyFill="1" applyBorder="1" applyAlignment="1">
      <alignment horizontal="center"/>
    </xf>
    <xf numFmtId="0" fontId="47" fillId="5" borderId="57" xfId="0" applyFont="1" applyFill="1" applyBorder="1" applyAlignment="1">
      <alignment horizontal="center"/>
    </xf>
    <xf numFmtId="0" fontId="0" fillId="0" borderId="85" xfId="0" applyBorder="1" applyAlignment="1">
      <alignment horizontal="center" vertical="center" wrapText="1"/>
    </xf>
    <xf numFmtId="0" fontId="0" fillId="0" borderId="35" xfId="0" applyBorder="1" applyAlignment="1">
      <alignment horizontal="center" vertical="center" wrapText="1"/>
    </xf>
    <xf numFmtId="0" fontId="35" fillId="0" borderId="85" xfId="0" applyFont="1" applyBorder="1" applyAlignment="1">
      <alignment horizontal="center" vertical="center" wrapText="1"/>
    </xf>
    <xf numFmtId="0" fontId="0" fillId="0" borderId="86" xfId="0" applyBorder="1" applyAlignment="1">
      <alignment horizontal="center" vertical="center" wrapText="1"/>
    </xf>
    <xf numFmtId="0" fontId="0" fillId="0" borderId="60" xfId="0" applyBorder="1" applyAlignment="1">
      <alignment horizontal="center" vertical="center" wrapText="1"/>
    </xf>
    <xf numFmtId="0" fontId="32" fillId="5" borderId="56" xfId="0" applyFont="1" applyFill="1" applyBorder="1" applyAlignment="1">
      <alignment horizontal="center"/>
    </xf>
    <xf numFmtId="0" fontId="32" fillId="5" borderId="57" xfId="0" applyFont="1" applyFill="1" applyBorder="1" applyAlignment="1">
      <alignment horizontal="center"/>
    </xf>
    <xf numFmtId="0" fontId="47" fillId="5" borderId="62" xfId="0" applyFont="1" applyFill="1" applyBorder="1" applyAlignment="1">
      <alignment horizontal="center"/>
    </xf>
    <xf numFmtId="0" fontId="47" fillId="5" borderId="63" xfId="0" applyFont="1" applyFill="1" applyBorder="1" applyAlignment="1">
      <alignment horizontal="center"/>
    </xf>
    <xf numFmtId="0" fontId="86" fillId="0" borderId="257" xfId="0" applyFont="1" applyBorder="1" applyAlignment="1">
      <alignment horizontal="center"/>
    </xf>
    <xf numFmtId="0" fontId="86" fillId="0" borderId="259" xfId="0" applyFont="1" applyBorder="1" applyAlignment="1">
      <alignment horizontal="center"/>
    </xf>
    <xf numFmtId="0" fontId="86" fillId="0" borderId="258" xfId="0" applyFont="1" applyBorder="1" applyAlignment="1">
      <alignment horizontal="center"/>
    </xf>
    <xf numFmtId="0" fontId="86" fillId="0" borderId="10" xfId="0" applyFont="1" applyBorder="1" applyAlignment="1">
      <alignment horizontal="center"/>
    </xf>
    <xf numFmtId="0" fontId="86" fillId="0" borderId="0" xfId="0" applyFont="1" applyAlignment="1">
      <alignment horizontal="center"/>
    </xf>
    <xf numFmtId="0" fontId="86" fillId="0" borderId="12" xfId="0" applyFont="1" applyBorder="1" applyAlignment="1">
      <alignment horizontal="center"/>
    </xf>
    <xf numFmtId="0" fontId="32" fillId="5" borderId="257" xfId="0" applyFont="1" applyFill="1" applyBorder="1" applyAlignment="1">
      <alignment horizontal="center" vertical="center" textRotation="90" wrapText="1"/>
    </xf>
    <xf numFmtId="0" fontId="32" fillId="5" borderId="10" xfId="0" applyFont="1" applyFill="1" applyBorder="1" applyAlignment="1">
      <alignment horizontal="center" vertical="center" textRotation="90" wrapText="1"/>
    </xf>
    <xf numFmtId="0" fontId="32" fillId="5" borderId="14" xfId="0" applyFont="1" applyFill="1" applyBorder="1" applyAlignment="1">
      <alignment horizontal="center" vertical="center" textRotation="90" wrapText="1"/>
    </xf>
    <xf numFmtId="0" fontId="0" fillId="0" borderId="0" xfId="0" applyAlignment="1">
      <alignment horizontal="center" vertical="center" wrapText="1"/>
    </xf>
    <xf numFmtId="0" fontId="0" fillId="0" borderId="12" xfId="0" applyBorder="1" applyAlignment="1">
      <alignment horizontal="center" vertical="center" wrapText="1"/>
    </xf>
    <xf numFmtId="0" fontId="0" fillId="0" borderId="127" xfId="0" applyBorder="1" applyAlignment="1">
      <alignment horizontal="center" vertical="center" wrapText="1"/>
    </xf>
    <xf numFmtId="0" fontId="0" fillId="0" borderId="175" xfId="0" applyBorder="1" applyAlignment="1">
      <alignment horizontal="center" vertical="center" wrapText="1"/>
    </xf>
    <xf numFmtId="0" fontId="0" fillId="0" borderId="127" xfId="0" applyBorder="1" applyAlignment="1">
      <alignment horizontal="center" wrapText="1"/>
    </xf>
    <xf numFmtId="0" fontId="0" fillId="0" borderId="175" xfId="0" applyBorder="1" applyAlignment="1">
      <alignment horizontal="center" wrapText="1"/>
    </xf>
    <xf numFmtId="0" fontId="0" fillId="0" borderId="260" xfId="0" applyBorder="1" applyAlignment="1">
      <alignment horizontal="center" wrapText="1"/>
    </xf>
    <xf numFmtId="0" fontId="0" fillId="0" borderId="261" xfId="0" applyBorder="1" applyAlignment="1">
      <alignment horizontal="center" wrapText="1"/>
    </xf>
    <xf numFmtId="0" fontId="27" fillId="5" borderId="116" xfId="0" applyFont="1" applyFill="1" applyBorder="1" applyAlignment="1">
      <alignment horizontal="center" vertical="center" wrapText="1"/>
    </xf>
    <xf numFmtId="0" fontId="27" fillId="5" borderId="114" xfId="0" applyFont="1" applyFill="1" applyBorder="1" applyAlignment="1">
      <alignment horizontal="center" vertical="center" wrapText="1"/>
    </xf>
    <xf numFmtId="0" fontId="27" fillId="5" borderId="265" xfId="0" applyFont="1" applyFill="1" applyBorder="1" applyAlignment="1">
      <alignment horizontal="center" vertical="center" wrapText="1"/>
    </xf>
    <xf numFmtId="0" fontId="14" fillId="14" borderId="194" xfId="24" applyFont="1" applyFill="1" applyBorder="1" applyAlignment="1">
      <alignment horizontal="center"/>
    </xf>
    <xf numFmtId="0" fontId="14" fillId="14" borderId="161" xfId="24" applyFont="1" applyFill="1" applyBorder="1" applyAlignment="1">
      <alignment horizontal="center"/>
    </xf>
    <xf numFmtId="0" fontId="9" fillId="39" borderId="203" xfId="0" applyFont="1" applyFill="1" applyBorder="1" applyAlignment="1">
      <alignment horizontal="center" vertical="center" wrapText="1"/>
    </xf>
    <xf numFmtId="0" fontId="74" fillId="0" borderId="53" xfId="0" applyFont="1" applyBorder="1" applyAlignment="1">
      <alignment horizontal="center" vertical="center" wrapText="1"/>
    </xf>
    <xf numFmtId="0" fontId="74" fillId="0" borderId="204" xfId="0" applyFont="1" applyBorder="1" applyAlignment="1">
      <alignment horizontal="center" vertical="center" wrapText="1"/>
    </xf>
    <xf numFmtId="0" fontId="28" fillId="5" borderId="200" xfId="26" applyFont="1" applyFill="1" applyBorder="1" applyAlignment="1">
      <alignment horizontal="center" vertical="center"/>
    </xf>
    <xf numFmtId="0" fontId="28" fillId="5" borderId="201" xfId="26" applyFont="1" applyFill="1" applyBorder="1" applyAlignment="1">
      <alignment horizontal="center" vertical="center"/>
    </xf>
    <xf numFmtId="0" fontId="28" fillId="5" borderId="202" xfId="26" applyFont="1" applyFill="1" applyBorder="1" applyAlignment="1">
      <alignment horizontal="center" vertical="center"/>
    </xf>
    <xf numFmtId="0" fontId="9" fillId="45" borderId="203" xfId="0" applyFont="1" applyFill="1" applyBorder="1" applyAlignment="1">
      <alignment horizontal="center" vertical="center" wrapText="1"/>
    </xf>
    <xf numFmtId="0" fontId="9" fillId="44" borderId="203" xfId="0" applyFont="1" applyFill="1" applyBorder="1" applyAlignment="1">
      <alignment horizontal="center" vertical="center" wrapText="1"/>
    </xf>
    <xf numFmtId="0" fontId="9" fillId="44" borderId="205" xfId="0" applyFont="1" applyFill="1" applyBorder="1" applyAlignment="1">
      <alignment horizontal="center" vertical="center" wrapText="1"/>
    </xf>
    <xf numFmtId="0" fontId="74" fillId="0" borderId="206" xfId="0" applyFont="1" applyBorder="1" applyAlignment="1">
      <alignment horizontal="center" vertical="center" wrapText="1"/>
    </xf>
    <xf numFmtId="0" fontId="74" fillId="0" borderId="207" xfId="0" applyFont="1" applyBorder="1" applyAlignment="1">
      <alignment horizontal="center" vertical="center" wrapText="1"/>
    </xf>
    <xf numFmtId="0" fontId="69" fillId="0" borderId="0" xfId="0" applyFont="1" applyAlignment="1">
      <alignment horizontal="center" vertical="center" wrapText="1"/>
    </xf>
    <xf numFmtId="0" fontId="24" fillId="0" borderId="0" xfId="0" applyFont="1" applyAlignment="1">
      <alignment horizontal="center" vertical="center" wrapText="1"/>
    </xf>
    <xf numFmtId="0" fontId="90" fillId="0" borderId="40" xfId="0" applyFont="1" applyBorder="1" applyAlignment="1">
      <alignment horizontal="left" vertical="center" wrapText="1"/>
    </xf>
    <xf numFmtId="0" fontId="91" fillId="0" borderId="40" xfId="0" applyFont="1" applyBorder="1" applyAlignment="1">
      <alignment horizontal="left" vertical="center" wrapText="1"/>
    </xf>
    <xf numFmtId="0" fontId="51" fillId="5" borderId="278" xfId="0" applyFont="1" applyFill="1" applyBorder="1" applyAlignment="1">
      <alignment horizontal="center"/>
    </xf>
    <xf numFmtId="2" fontId="0" fillId="0" borderId="0" xfId="26" applyNumberFormat="1" applyFont="1" applyAlignment="1">
      <alignment horizontal="center"/>
    </xf>
    <xf numFmtId="0" fontId="17" fillId="18" borderId="99" xfId="1" applyFill="1" applyBorder="1" applyAlignment="1">
      <alignment horizontal="center" vertical="center" readingOrder="1"/>
    </xf>
    <xf numFmtId="0" fontId="54" fillId="18" borderId="99" xfId="26" applyFont="1" applyFill="1" applyBorder="1" applyAlignment="1">
      <alignment horizontal="center"/>
    </xf>
    <xf numFmtId="0" fontId="0" fillId="0" borderId="0" xfId="26" applyFont="1" applyAlignment="1">
      <alignment horizontal="center"/>
    </xf>
    <xf numFmtId="0" fontId="28" fillId="5" borderId="122" xfId="26" applyFont="1" applyFill="1" applyBorder="1" applyAlignment="1">
      <alignment horizontal="center" vertical="center"/>
    </xf>
    <xf numFmtId="0" fontId="28" fillId="5" borderId="25" xfId="26" applyFont="1" applyFill="1" applyBorder="1" applyAlignment="1">
      <alignment horizontal="center" vertical="center"/>
    </xf>
    <xf numFmtId="0" fontId="28" fillId="5" borderId="26" xfId="26" applyFont="1" applyFill="1" applyBorder="1" applyAlignment="1">
      <alignment horizontal="center" vertical="center"/>
    </xf>
    <xf numFmtId="0" fontId="30" fillId="0" borderId="123" xfId="26" applyFont="1" applyBorder="1" applyAlignment="1">
      <alignment horizontal="center" vertical="center" wrapText="1"/>
    </xf>
    <xf numFmtId="0" fontId="30" fillId="0" borderId="124" xfId="26" applyFont="1" applyBorder="1" applyAlignment="1">
      <alignment horizontal="center" vertical="center" wrapText="1"/>
    </xf>
    <xf numFmtId="0" fontId="30" fillId="0" borderId="125" xfId="26" applyFont="1" applyBorder="1" applyAlignment="1">
      <alignment horizontal="center" vertical="center" wrapText="1"/>
    </xf>
    <xf numFmtId="0" fontId="44" fillId="0" borderId="0" xfId="0" applyFont="1" applyAlignment="1">
      <alignment horizontal="center"/>
    </xf>
    <xf numFmtId="0" fontId="10" fillId="0" borderId="0" xfId="0" applyFont="1" applyAlignment="1">
      <alignment horizontal="center"/>
    </xf>
    <xf numFmtId="0" fontId="40" fillId="0" borderId="0" xfId="0" applyFont="1" applyAlignment="1">
      <alignment horizontal="center"/>
    </xf>
    <xf numFmtId="0" fontId="79" fillId="7" borderId="0" xfId="0" applyFont="1" applyFill="1" applyAlignment="1">
      <alignment horizontal="center"/>
    </xf>
    <xf numFmtId="0" fontId="9" fillId="39" borderId="194" xfId="0" applyFont="1" applyFill="1" applyBorder="1" applyAlignment="1">
      <alignment horizontal="center"/>
    </xf>
    <xf numFmtId="0" fontId="9" fillId="39" borderId="195" xfId="0" applyFont="1" applyFill="1" applyBorder="1" applyAlignment="1">
      <alignment horizontal="center"/>
    </xf>
    <xf numFmtId="0" fontId="9" fillId="39" borderId="141" xfId="0" applyFont="1" applyFill="1" applyBorder="1" applyAlignment="1">
      <alignment horizontal="center"/>
    </xf>
    <xf numFmtId="0" fontId="9" fillId="39" borderId="133" xfId="0" applyFont="1" applyFill="1" applyBorder="1" applyAlignment="1">
      <alignment horizontal="center"/>
    </xf>
    <xf numFmtId="0" fontId="56" fillId="36" borderId="0" xfId="0" applyFont="1" applyFill="1" applyAlignment="1">
      <alignment horizontal="left" vertical="center"/>
    </xf>
    <xf numFmtId="0" fontId="56" fillId="36" borderId="127" xfId="0" applyFont="1" applyFill="1" applyBorder="1" applyAlignment="1">
      <alignment horizontal="left" vertical="center"/>
    </xf>
    <xf numFmtId="0" fontId="62" fillId="28" borderId="114" xfId="0" applyFont="1" applyFill="1" applyBorder="1" applyAlignment="1">
      <alignment horizontal="center"/>
    </xf>
    <xf numFmtId="0" fontId="62" fillId="28" borderId="0" xfId="0" applyFont="1" applyFill="1" applyAlignment="1">
      <alignment horizontal="center"/>
    </xf>
    <xf numFmtId="0" fontId="62" fillId="28" borderId="116" xfId="0" applyFont="1" applyFill="1" applyBorder="1" applyAlignment="1">
      <alignment horizontal="center"/>
    </xf>
    <xf numFmtId="0" fontId="62" fillId="28" borderId="169" xfId="0" applyFont="1" applyFill="1" applyBorder="1" applyAlignment="1">
      <alignment horizontal="center"/>
    </xf>
    <xf numFmtId="0" fontId="62" fillId="28" borderId="134" xfId="0" applyFont="1" applyFill="1" applyBorder="1" applyAlignment="1">
      <alignment horizontal="center"/>
    </xf>
    <xf numFmtId="0" fontId="57" fillId="0" borderId="115" xfId="0" applyFont="1" applyBorder="1" applyAlignment="1">
      <alignment horizontal="center" vertical="center" wrapText="1"/>
    </xf>
    <xf numFmtId="0" fontId="57" fillId="0" borderId="112" xfId="0" applyFont="1" applyBorder="1" applyAlignment="1">
      <alignment horizontal="center" vertical="center" wrapText="1"/>
    </xf>
    <xf numFmtId="0" fontId="57" fillId="0" borderId="104" xfId="0" applyFont="1" applyBorder="1" applyAlignment="1">
      <alignment horizontal="center" vertical="center"/>
    </xf>
    <xf numFmtId="0" fontId="57" fillId="0" borderId="105" xfId="0" applyFont="1" applyBorder="1" applyAlignment="1">
      <alignment horizontal="center" vertical="center"/>
    </xf>
    <xf numFmtId="0" fontId="57" fillId="0" borderId="108" xfId="0" applyFont="1" applyBorder="1" applyAlignment="1">
      <alignment horizontal="center" vertical="center"/>
    </xf>
    <xf numFmtId="0" fontId="57" fillId="0" borderId="107" xfId="0" applyFont="1" applyBorder="1" applyAlignment="1">
      <alignment horizontal="center" vertical="center"/>
    </xf>
    <xf numFmtId="0" fontId="66" fillId="0" borderId="105" xfId="29" applyFont="1" applyBorder="1" applyAlignment="1">
      <alignment horizontal="center" vertical="center"/>
    </xf>
    <xf numFmtId="0" fontId="66" fillId="0" borderId="107" xfId="29" applyFont="1" applyBorder="1" applyAlignment="1">
      <alignment horizontal="center" vertical="center"/>
    </xf>
    <xf numFmtId="0" fontId="57" fillId="0" borderId="112" xfId="0" applyFont="1" applyBorder="1" applyAlignment="1">
      <alignment horizontal="center" vertical="center"/>
    </xf>
    <xf numFmtId="0" fontId="57" fillId="0" borderId="115" xfId="0" applyFont="1" applyBorder="1" applyAlignment="1">
      <alignment horizontal="center" vertical="center"/>
    </xf>
    <xf numFmtId="0" fontId="55" fillId="12" borderId="194" xfId="0" applyFont="1" applyFill="1" applyBorder="1" applyAlignment="1">
      <alignment horizontal="center"/>
    </xf>
    <xf numFmtId="0" fontId="55" fillId="12" borderId="195" xfId="0" applyFont="1" applyFill="1" applyBorder="1" applyAlignment="1">
      <alignment horizontal="center"/>
    </xf>
    <xf numFmtId="0" fontId="55" fillId="12" borderId="161" xfId="0" applyFont="1" applyFill="1" applyBorder="1" applyAlignment="1">
      <alignment horizontal="center"/>
    </xf>
    <xf numFmtId="0" fontId="55" fillId="39" borderId="194" xfId="0" applyFont="1" applyFill="1" applyBorder="1" applyAlignment="1">
      <alignment horizontal="center"/>
    </xf>
    <xf numFmtId="0" fontId="55" fillId="39" borderId="195" xfId="0" applyFont="1" applyFill="1" applyBorder="1" applyAlignment="1">
      <alignment horizontal="center"/>
    </xf>
    <xf numFmtId="0" fontId="55" fillId="39" borderId="161" xfId="0" applyFont="1" applyFill="1" applyBorder="1" applyAlignment="1">
      <alignment horizontal="center"/>
    </xf>
    <xf numFmtId="0" fontId="57" fillId="0" borderId="196" xfId="0" applyFont="1" applyBorder="1" applyAlignment="1">
      <alignment horizontal="center" vertical="center"/>
    </xf>
    <xf numFmtId="0" fontId="57" fillId="0" borderId="151" xfId="0" applyFont="1" applyBorder="1" applyAlignment="1">
      <alignment horizontal="center" vertical="center"/>
    </xf>
    <xf numFmtId="0" fontId="36" fillId="19" borderId="0" xfId="0" applyFont="1" applyFill="1" applyAlignment="1">
      <alignment horizontal="center"/>
    </xf>
    <xf numFmtId="4" fontId="36" fillId="19" borderId="0" xfId="0" applyNumberFormat="1" applyFont="1" applyFill="1" applyAlignment="1">
      <alignment horizontal="center"/>
    </xf>
    <xf numFmtId="0" fontId="36" fillId="0" borderId="0" xfId="0" applyFont="1" applyAlignment="1">
      <alignment horizontal="center"/>
    </xf>
    <xf numFmtId="0" fontId="24" fillId="0" borderId="0" xfId="0" applyFont="1" applyAlignment="1">
      <alignment horizontal="center"/>
    </xf>
    <xf numFmtId="0" fontId="14" fillId="0" borderId="3" xfId="0" applyFont="1" applyBorder="1" applyAlignment="1">
      <alignment horizontal="center"/>
    </xf>
    <xf numFmtId="0" fontId="14" fillId="0" borderId="2" xfId="0" applyFont="1" applyBorder="1" applyAlignment="1">
      <alignment horizontal="center"/>
    </xf>
    <xf numFmtId="0" fontId="14" fillId="0" borderId="29" xfId="0" applyFont="1" applyBorder="1" applyAlignment="1">
      <alignment horizontal="center"/>
    </xf>
    <xf numFmtId="0" fontId="14" fillId="0" borderId="5" xfId="0" applyFont="1" applyBorder="1" applyAlignment="1">
      <alignment horizontal="center"/>
    </xf>
    <xf numFmtId="0" fontId="14" fillId="0" borderId="30" xfId="0" applyFont="1" applyBorder="1" applyAlignment="1">
      <alignment horizontal="center"/>
    </xf>
  </cellXfs>
  <cellStyles count="39">
    <cellStyle name="blp_title_header_row_left" xfId="1" xr:uid="{00000000-0005-0000-0000-000000000000}"/>
    <cellStyle name="Comma" xfId="34" builtinId="3"/>
    <cellStyle name="Currency" xfId="36" builtinId="4"/>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yperlink" xfId="11" builtinId="8"/>
    <cellStyle name="Moneda 2" xfId="12" xr:uid="{00000000-0005-0000-0000-00000B000000}"/>
    <cellStyle name="Moneda 2 2" xfId="13" xr:uid="{00000000-0005-0000-0000-00000C000000}"/>
    <cellStyle name="Normal" xfId="0" builtinId="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4" xfId="35" xr:uid="{0086988A-3C60-4B8B-9F15-AA64F0674B7E}"/>
    <cellStyle name="Normal 5" xfId="30" xr:uid="{E3BE1569-E214-4855-8BF5-B868B88B5743}"/>
    <cellStyle name="Normal 6" xfId="37" xr:uid="{7350C0AB-61FF-43C2-BE34-54898832B619}"/>
    <cellStyle name="Normal 7" xfId="38" xr:uid="{5E3926D6-AD86-4C69-B5B5-C239257B4304}"/>
    <cellStyle name="Normal 9" xfId="33" xr:uid="{CACD4D4E-2C7F-4816-9692-26D0FDD559DC}"/>
    <cellStyle name="Per cent" xfId="16" builtinId="5"/>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s>
  <dxfs count="35">
    <dxf>
      <fill>
        <patternFill>
          <bgColor rgb="FF00B050"/>
        </patternFill>
      </fill>
    </dxf>
    <dxf>
      <fill>
        <patternFill>
          <bgColor rgb="FFFF0000"/>
        </patternFill>
      </fill>
    </dxf>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22/10/relationships/richValueRel" Target="richData/richValueRel.xml"/><Relationship Id="rId26" Type="http://schemas.microsoft.com/office/2022/11/relationships/FeaturePropertyBag" Target="featurePropertyBag/featurePropertyBag.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SupportingPropertyBag" Target="richData/rdsupportingpropertybag.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SupportingPropertyBagStructure" Target="richData/rdsupportingpropertybagstructure.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0A-4D2F-9638-2FF0593E7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Segments!$C$18:$C$23</c:f>
              <c:strCache>
                <c:ptCount val="1"/>
                <c:pt idx="0">
                  <c:v>Cloud-based software Solution</c:v>
                </c:pt>
              </c:strCache>
            </c:strRef>
          </c:cat>
          <c:val>
            <c:numRef>
              <c:f>Segments!$D$18:$D$23</c:f>
              <c:numCache>
                <c:formatCode>"$"#,##0</c:formatCode>
                <c:ptCount val="6"/>
                <c:pt idx="0">
                  <c:v>1174598000</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Segments!$C$5:$C$10</c:f>
              <c:strCache>
                <c:ptCount val="1"/>
                <c:pt idx="0">
                  <c:v>United States of America</c:v>
                </c:pt>
              </c:strCache>
            </c:strRef>
          </c:cat>
          <c:val>
            <c:numRef>
              <c:f>Segments!$D$5:$D$10</c:f>
              <c:numCache>
                <c:formatCode>"$"#,##0</c:formatCode>
                <c:ptCount val="6"/>
                <c:pt idx="0">
                  <c:v>1174598000</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PAYLOCITY HOLDING CORPORATION (XNAS:PCTY)</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-0.61541879304248792</c:v>
                </c:pt>
              </c:numCache>
            </c:numRef>
          </c:xVal>
          <c:yVal>
            <c:numRef>
              <c:f>Peers!$C$37</c:f>
              <c:numCache>
                <c:formatCode>0.0</c:formatCode>
                <c:ptCount val="1"/>
                <c:pt idx="0">
                  <c:v>27.665386408508223</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Paycom Software Inc</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6.2750642240858301E-2</c:v>
                </c:pt>
              </c:numCache>
            </c:numRef>
          </c:xVal>
          <c:yVal>
            <c:numRef>
              <c:f>Peers!$D$37</c:f>
              <c:numCache>
                <c:formatCode>0.0</c:formatCode>
                <c:ptCount val="1"/>
                <c:pt idx="0">
                  <c:v>14.25393262552959</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Paychex Inc</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-0.2997102249206568</c:v>
                </c:pt>
              </c:numCache>
            </c:numRef>
          </c:xVal>
          <c:yVal>
            <c:numRef>
              <c:f>Peers!$E$37</c:f>
              <c:numCache>
                <c:formatCode>0.0</c:formatCode>
                <c:ptCount val="1"/>
                <c:pt idx="0">
                  <c:v>21.755275562301644</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Automatic Data Processing Inc</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0.13663813927807303</c:v>
                </c:pt>
              </c:numCache>
            </c:numRef>
          </c:xVal>
          <c:yVal>
            <c:numRef>
              <c:f>Peers!$F$37</c:f>
              <c:numCache>
                <c:formatCode>0.0</c:formatCode>
                <c:ptCount val="1"/>
                <c:pt idx="0">
                  <c:v>19.544380909655601</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Paycor HCM Inc</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-1.2139314462267548</c:v>
                </c:pt>
              </c:numCache>
            </c:numRef>
          </c:xVal>
          <c:yVal>
            <c:numRef>
              <c:f>Peers!$G$37</c:f>
              <c:numCache>
                <c:formatCode>0.0</c:formatCode>
                <c:ptCount val="1"/>
                <c:pt idx="0">
                  <c:v>28.487972309014669</c:v>
                </c:pt>
              </c:numCache>
            </c:numRef>
          </c:yVal>
          <c:smooth val="0"/>
          <c:extLst>
            <c:ext xmlns:c16="http://schemas.microsoft.com/office/drawing/2014/chart" uri="{C3380CC4-5D6E-409C-BE32-E72D297353CC}">
              <c16:uniqueId val="{00000005-B547-4DF9-892F-3129917FB3B3}"/>
            </c:ext>
          </c:extLst>
        </c:ser>
        <c:ser>
          <c:idx val="5"/>
          <c:order val="5"/>
          <c:tx>
            <c:strRef>
              <c:f>Peers!#REF!</c:f>
              <c:strCache>
                <c:ptCount val="1"/>
                <c:pt idx="0">
                  <c:v>#REF!</c:v>
                </c:pt>
              </c:strCache>
            </c:strRef>
          </c:tx>
          <c:spPr>
            <a:ln w="25400" cap="rnd">
              <a:noFill/>
              <a:round/>
            </a:ln>
            <a:effectLst/>
          </c:spPr>
          <c:marker>
            <c:symbol val="circle"/>
            <c:size val="5"/>
            <c:spPr>
              <a:solidFill>
                <a:schemeClr val="accent6"/>
              </a:solidFill>
              <a:ln w="9525">
                <a:solidFill>
                  <a:schemeClr val="accent6"/>
                </a:solidFill>
              </a:ln>
              <a:effectLst/>
            </c:spPr>
          </c:marker>
          <c:xVal>
            <c:strRef>
              <c:f>Peers!#REF!</c:f>
              <c:strCache>
                <c:ptCount val="1"/>
                <c:pt idx="0">
                  <c:v>#REF!</c:v>
                </c:pt>
              </c:strCache>
            </c:strRef>
          </c:xVal>
          <c:yVal>
            <c:numRef>
              <c:f>Peers!#REF!</c:f>
              <c:numCache>
                <c:formatCode>General</c:formatCode>
                <c:ptCount val="1"/>
                <c:pt idx="0">
                  <c:v>1</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PAYLOCITY HOLDING CORPORATION (XNAS:PCTY)</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pt idx="0">
                  <c:v>3.4429757147248718E-2</c:v>
                </c:pt>
              </c:numCache>
            </c:numRef>
          </c:xVal>
          <c:yVal>
            <c:numRef>
              <c:f>Peers!$C$49</c:f>
              <c:numCache>
                <c:formatCode>0%</c:formatCode>
                <c:ptCount val="1"/>
                <c:pt idx="0">
                  <c:v>2.0810572687224669</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Paycom Software Inc</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-0.20294146678511504</c:v>
                </c:pt>
              </c:numCache>
            </c:numRef>
          </c:xVal>
          <c:yVal>
            <c:numRef>
              <c:f>Peers!$D$49</c:f>
              <c:numCache>
                <c:formatCode>0.00%</c:formatCode>
                <c:ptCount val="1"/>
                <c:pt idx="0">
                  <c:v>1.7740642372112045</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Paychex Inc</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0.34351375869368006</c:v>
                </c:pt>
              </c:numCache>
            </c:numRef>
          </c:xVal>
          <c:yVal>
            <c:numRef>
              <c:f>Peers!$E$49</c:f>
              <c:numCache>
                <c:formatCode>0%</c:formatCode>
                <c:ptCount val="1"/>
                <c:pt idx="0">
                  <c:v>0.54022779043280189</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Automatic Data Processing Inc</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0.29380306797391764</c:v>
                </c:pt>
              </c:numCache>
            </c:numRef>
          </c:xVal>
          <c:yVal>
            <c:numRef>
              <c:f>Peers!$F$49</c:f>
              <c:numCache>
                <c:formatCode>0.00%</c:formatCode>
                <c:ptCount val="1"/>
                <c:pt idx="0">
                  <c:v>0.44390994804695016</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Paycor HCM Inc</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-0.45523809523809522</c:v>
                </c:pt>
              </c:numCache>
            </c:numRef>
          </c:xVal>
          <c:yVal>
            <c:numRef>
              <c:f>Peers!$G$49</c:f>
              <c:numCache>
                <c:formatCode>0.00%</c:formatCode>
                <c:ptCount val="1"/>
                <c:pt idx="0">
                  <c:v>-0.17300847106867911</c:v>
                </c:pt>
              </c:numCache>
            </c:numRef>
          </c:yVal>
          <c:smooth val="0"/>
          <c:extLst>
            <c:ext xmlns:c16="http://schemas.microsoft.com/office/drawing/2014/chart" uri="{C3380CC4-5D6E-409C-BE32-E72D297353CC}">
              <c16:uniqueId val="{00000005-A0AB-4E28-9E73-D8DF3D5B0514}"/>
            </c:ext>
          </c:extLst>
        </c:ser>
        <c:ser>
          <c:idx val="6"/>
          <c:order val="5"/>
          <c:tx>
            <c:strRef>
              <c:f>Peers!#REF!</c:f>
              <c:strCache>
                <c:ptCount val="1"/>
                <c:pt idx="0">
                  <c:v>#REF!</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Peers!#REF!</c:f>
              <c:strCache>
                <c:ptCount val="1"/>
                <c:pt idx="0">
                  <c:v>#REF!</c:v>
                </c:pt>
              </c:strCache>
            </c:strRef>
          </c:xVal>
          <c:yVal>
            <c:numRef>
              <c:f>Peers!#REF!</c:f>
              <c:numCache>
                <c:formatCode>General</c:formatCode>
                <c:ptCount val="1"/>
                <c:pt idx="0">
                  <c:v>1</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EV/FCF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789605736176125E-2"/>
          <c:y val="0.15803676351575902"/>
          <c:w val="0.9363343192666107"/>
          <c:h val="0.79769339729708766"/>
        </c:manualLayout>
      </c:layout>
      <c:lineChart>
        <c:grouping val="standard"/>
        <c:varyColors val="0"/>
        <c:ser>
          <c:idx val="0"/>
          <c:order val="0"/>
          <c:tx>
            <c:strRef>
              <c:f>Peers!$L$46:$L$46</c:f>
              <c:strCache>
                <c:ptCount val="1"/>
                <c:pt idx="0">
                  <c:v>PCTY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Peers!$M$45:$R$45</c:f>
              <c:numCache>
                <c:formatCode>General</c:formatCode>
                <c:ptCount val="6"/>
                <c:pt idx="0">
                  <c:v>2022</c:v>
                </c:pt>
                <c:pt idx="1">
                  <c:v>2023</c:v>
                </c:pt>
                <c:pt idx="2">
                  <c:v>2024</c:v>
                </c:pt>
                <c:pt idx="3">
                  <c:v>2025</c:v>
                </c:pt>
                <c:pt idx="4">
                  <c:v>2026</c:v>
                </c:pt>
                <c:pt idx="5">
                  <c:v>2027</c:v>
                </c:pt>
              </c:numCache>
            </c:numRef>
          </c:cat>
          <c:val>
            <c:numRef>
              <c:f>Peers!$M$46:$R$46</c:f>
              <c:numCache>
                <c:formatCode>General</c:formatCode>
                <c:ptCount val="6"/>
                <c:pt idx="0">
                  <c:v>92.5</c:v>
                </c:pt>
                <c:pt idx="1">
                  <c:v>47.7</c:v>
                </c:pt>
                <c:pt idx="2">
                  <c:v>23</c:v>
                </c:pt>
                <c:pt idx="3">
                  <c:v>26.4</c:v>
                </c:pt>
                <c:pt idx="4">
                  <c:v>21.8</c:v>
                </c:pt>
                <c:pt idx="5">
                  <c:v>17.3</c:v>
                </c:pt>
              </c:numCache>
            </c:numRef>
          </c:val>
          <c:smooth val="0"/>
          <c:extLst>
            <c:ext xmlns:c16="http://schemas.microsoft.com/office/drawing/2014/chart" uri="{C3380CC4-5D6E-409C-BE32-E72D297353CC}">
              <c16:uniqueId val="{00000000-D79D-4E48-AD07-EDC7C3AC30F0}"/>
            </c:ext>
          </c:extLst>
        </c:ser>
        <c:ser>
          <c:idx val="1"/>
          <c:order val="1"/>
          <c:tx>
            <c:strRef>
              <c:f>Peers!$L$47:$L$47</c:f>
              <c:strCache>
                <c:ptCount val="1"/>
                <c:pt idx="0">
                  <c:v>Paycom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Peers!$M$45:$R$45</c:f>
              <c:numCache>
                <c:formatCode>General</c:formatCode>
                <c:ptCount val="6"/>
                <c:pt idx="0">
                  <c:v>2022</c:v>
                </c:pt>
                <c:pt idx="1">
                  <c:v>2023</c:v>
                </c:pt>
                <c:pt idx="2">
                  <c:v>2024</c:v>
                </c:pt>
                <c:pt idx="3">
                  <c:v>2025</c:v>
                </c:pt>
                <c:pt idx="4">
                  <c:v>2026</c:v>
                </c:pt>
                <c:pt idx="5">
                  <c:v>2027</c:v>
                </c:pt>
              </c:numCache>
            </c:numRef>
          </c:cat>
          <c:val>
            <c:numRef>
              <c:f>Peers!$M$47:$R$47</c:f>
              <c:numCache>
                <c:formatCode>General</c:formatCode>
                <c:ptCount val="6"/>
                <c:pt idx="0">
                  <c:v>75.5</c:v>
                </c:pt>
                <c:pt idx="1">
                  <c:v>39.799999999999997</c:v>
                </c:pt>
                <c:pt idx="2">
                  <c:v>28.1</c:v>
                </c:pt>
                <c:pt idx="3">
                  <c:v>22.5</c:v>
                </c:pt>
                <c:pt idx="4">
                  <c:v>16.2</c:v>
                </c:pt>
              </c:numCache>
            </c:numRef>
          </c:val>
          <c:smooth val="0"/>
          <c:extLst>
            <c:ext xmlns:c16="http://schemas.microsoft.com/office/drawing/2014/chart" uri="{C3380CC4-5D6E-409C-BE32-E72D297353CC}">
              <c16:uniqueId val="{00000001-D79D-4E48-AD07-EDC7C3AC30F0}"/>
            </c:ext>
          </c:extLst>
        </c:ser>
        <c:ser>
          <c:idx val="2"/>
          <c:order val="2"/>
          <c:tx>
            <c:strRef>
              <c:f>Peers!$L$48:$L$48</c:f>
              <c:strCache>
                <c:ptCount val="1"/>
                <c:pt idx="0">
                  <c:v>Paychex</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Peers!$M$45:$R$45</c:f>
              <c:numCache>
                <c:formatCode>General</c:formatCode>
                <c:ptCount val="6"/>
                <c:pt idx="0">
                  <c:v>2022</c:v>
                </c:pt>
                <c:pt idx="1">
                  <c:v>2023</c:v>
                </c:pt>
                <c:pt idx="2">
                  <c:v>2024</c:v>
                </c:pt>
                <c:pt idx="3">
                  <c:v>2025</c:v>
                </c:pt>
                <c:pt idx="4">
                  <c:v>2026</c:v>
                </c:pt>
                <c:pt idx="5">
                  <c:v>2027</c:v>
                </c:pt>
              </c:numCache>
            </c:numRef>
          </c:cat>
          <c:val>
            <c:numRef>
              <c:f>Peers!$M$48:$R$48</c:f>
              <c:numCache>
                <c:formatCode>General</c:formatCode>
                <c:ptCount val="6"/>
                <c:pt idx="0">
                  <c:v>32.299999999999997</c:v>
                </c:pt>
                <c:pt idx="1">
                  <c:v>23.5</c:v>
                </c:pt>
                <c:pt idx="2">
                  <c:v>24.5</c:v>
                </c:pt>
                <c:pt idx="3">
                  <c:v>26.1</c:v>
                </c:pt>
                <c:pt idx="4">
                  <c:v>23.3</c:v>
                </c:pt>
                <c:pt idx="5">
                  <c:v>21.4</c:v>
                </c:pt>
              </c:numCache>
            </c:numRef>
          </c:val>
          <c:smooth val="0"/>
          <c:extLst>
            <c:ext xmlns:c16="http://schemas.microsoft.com/office/drawing/2014/chart" uri="{C3380CC4-5D6E-409C-BE32-E72D297353CC}">
              <c16:uniqueId val="{00000002-D79D-4E48-AD07-EDC7C3AC30F0}"/>
            </c:ext>
          </c:extLst>
        </c:ser>
        <c:ser>
          <c:idx val="3"/>
          <c:order val="3"/>
          <c:tx>
            <c:strRef>
              <c:f>Peers!$L$49:$L$49</c:f>
              <c:strCache>
                <c:ptCount val="1"/>
                <c:pt idx="0">
                  <c:v>ADP</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Peers!$M$45:$R$45</c:f>
              <c:numCache>
                <c:formatCode>General</c:formatCode>
                <c:ptCount val="6"/>
                <c:pt idx="0">
                  <c:v>2022</c:v>
                </c:pt>
                <c:pt idx="1">
                  <c:v>2023</c:v>
                </c:pt>
                <c:pt idx="2">
                  <c:v>2024</c:v>
                </c:pt>
                <c:pt idx="3">
                  <c:v>2025</c:v>
                </c:pt>
                <c:pt idx="4">
                  <c:v>2026</c:v>
                </c:pt>
                <c:pt idx="5">
                  <c:v>2027</c:v>
                </c:pt>
              </c:numCache>
            </c:numRef>
          </c:cat>
          <c:val>
            <c:numRef>
              <c:f>Peers!$M$49:$R$49</c:f>
              <c:numCache>
                <c:formatCode>General</c:formatCode>
                <c:ptCount val="6"/>
                <c:pt idx="0">
                  <c:v>30.5</c:v>
                </c:pt>
                <c:pt idx="1">
                  <c:v>22.9</c:v>
                </c:pt>
                <c:pt idx="2">
                  <c:v>24.9</c:v>
                </c:pt>
                <c:pt idx="3">
                  <c:v>16.8</c:v>
                </c:pt>
                <c:pt idx="4">
                  <c:v>17.3</c:v>
                </c:pt>
                <c:pt idx="5">
                  <c:v>16.100000000000001</c:v>
                </c:pt>
              </c:numCache>
            </c:numRef>
          </c:val>
          <c:smooth val="0"/>
          <c:extLst>
            <c:ext xmlns:c16="http://schemas.microsoft.com/office/drawing/2014/chart" uri="{C3380CC4-5D6E-409C-BE32-E72D297353CC}">
              <c16:uniqueId val="{00000003-D79D-4E48-AD07-EDC7C3AC30F0}"/>
            </c:ext>
          </c:extLst>
        </c:ser>
        <c:ser>
          <c:idx val="4"/>
          <c:order val="4"/>
          <c:tx>
            <c:strRef>
              <c:f>Peers!$L$50:$L$50</c:f>
              <c:strCache>
                <c:ptCount val="1"/>
                <c:pt idx="0">
                  <c:v>Paycor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Peers!$M$45:$R$45</c:f>
              <c:numCache>
                <c:formatCode>General</c:formatCode>
                <c:ptCount val="6"/>
                <c:pt idx="0">
                  <c:v>2022</c:v>
                </c:pt>
                <c:pt idx="1">
                  <c:v>2023</c:v>
                </c:pt>
                <c:pt idx="2">
                  <c:v>2024</c:v>
                </c:pt>
                <c:pt idx="3">
                  <c:v>2025</c:v>
                </c:pt>
                <c:pt idx="4">
                  <c:v>2026</c:v>
                </c:pt>
                <c:pt idx="5">
                  <c:v>2027</c:v>
                </c:pt>
              </c:numCache>
            </c:numRef>
          </c:cat>
          <c:val>
            <c:numRef>
              <c:f>Peers!$M$50:$R$50</c:f>
              <c:numCache>
                <c:formatCode>General</c:formatCode>
                <c:ptCount val="6"/>
                <c:pt idx="0">
                  <c:v>197</c:v>
                </c:pt>
                <c:pt idx="1">
                  <c:v>94.8</c:v>
                </c:pt>
                <c:pt idx="2">
                  <c:v>24.8</c:v>
                </c:pt>
                <c:pt idx="3">
                  <c:v>41.7</c:v>
                </c:pt>
                <c:pt idx="4">
                  <c:v>26.4</c:v>
                </c:pt>
                <c:pt idx="5">
                  <c:v>12.5</c:v>
                </c:pt>
              </c:numCache>
            </c:numRef>
          </c:val>
          <c:smooth val="0"/>
          <c:extLst>
            <c:ext xmlns:c16="http://schemas.microsoft.com/office/drawing/2014/chart" uri="{C3380CC4-5D6E-409C-BE32-E72D297353CC}">
              <c16:uniqueId val="{00000004-D79D-4E48-AD07-EDC7C3AC30F0}"/>
            </c:ext>
          </c:extLst>
        </c:ser>
        <c:dLbls>
          <c:showLegendKey val="0"/>
          <c:showVal val="0"/>
          <c:showCatName val="0"/>
          <c:showSerName val="0"/>
          <c:showPercent val="0"/>
          <c:showBubbleSize val="0"/>
        </c:dLbls>
        <c:marker val="1"/>
        <c:smooth val="0"/>
        <c:axId val="1196512463"/>
        <c:axId val="1196514383"/>
      </c:lineChart>
      <c:catAx>
        <c:axId val="119651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514383"/>
        <c:crosses val="autoZero"/>
        <c:auto val="1"/>
        <c:lblAlgn val="ctr"/>
        <c:lblOffset val="100"/>
        <c:noMultiLvlLbl val="0"/>
      </c:catAx>
      <c:valAx>
        <c:axId val="119651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51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EV/EBITDA</a:t>
            </a:r>
            <a:r>
              <a:rPr lang="en-GB"/>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70835850060554E-2"/>
          <c:y val="1.8777072037442808E-2"/>
          <c:w val="0.96986697379902176"/>
          <c:h val="0.92988037777035215"/>
        </c:manualLayout>
      </c:layout>
      <c:lineChart>
        <c:grouping val="standard"/>
        <c:varyColors val="0"/>
        <c:ser>
          <c:idx val="0"/>
          <c:order val="0"/>
          <c:tx>
            <c:strRef>
              <c:f>Peers!$L$38:$L$38</c:f>
              <c:strCache>
                <c:ptCount val="1"/>
                <c:pt idx="0">
                  <c:v>PCTY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Peers!$M$37:$R$37</c:f>
              <c:numCache>
                <c:formatCode>General</c:formatCode>
                <c:ptCount val="6"/>
                <c:pt idx="0">
                  <c:v>2022</c:v>
                </c:pt>
                <c:pt idx="1">
                  <c:v>2023</c:v>
                </c:pt>
                <c:pt idx="2">
                  <c:v>2024</c:v>
                </c:pt>
                <c:pt idx="3">
                  <c:v>2025</c:v>
                </c:pt>
                <c:pt idx="4">
                  <c:v>2026</c:v>
                </c:pt>
                <c:pt idx="5">
                  <c:v>2027</c:v>
                </c:pt>
              </c:numCache>
            </c:numRef>
          </c:cat>
          <c:val>
            <c:numRef>
              <c:f>Peers!$M$38:$R$38</c:f>
              <c:numCache>
                <c:formatCode>General</c:formatCode>
                <c:ptCount val="6"/>
                <c:pt idx="0">
                  <c:v>39.799999999999997</c:v>
                </c:pt>
                <c:pt idx="1">
                  <c:v>27.5</c:v>
                </c:pt>
                <c:pt idx="2">
                  <c:v>13.9</c:v>
                </c:pt>
                <c:pt idx="3">
                  <c:v>15.9</c:v>
                </c:pt>
                <c:pt idx="4">
                  <c:v>13.4</c:v>
                </c:pt>
                <c:pt idx="5">
                  <c:v>10.4</c:v>
                </c:pt>
              </c:numCache>
            </c:numRef>
          </c:val>
          <c:smooth val="0"/>
          <c:extLst>
            <c:ext xmlns:c16="http://schemas.microsoft.com/office/drawing/2014/chart" uri="{C3380CC4-5D6E-409C-BE32-E72D297353CC}">
              <c16:uniqueId val="{00000000-DB0E-4A5C-871B-2BC0720236AB}"/>
            </c:ext>
          </c:extLst>
        </c:ser>
        <c:ser>
          <c:idx val="1"/>
          <c:order val="1"/>
          <c:tx>
            <c:strRef>
              <c:f>Peers!$L$39:$L$39</c:f>
              <c:strCache>
                <c:ptCount val="1"/>
                <c:pt idx="0">
                  <c:v>Paycom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Peers!$M$37:$R$37</c:f>
              <c:numCache>
                <c:formatCode>General</c:formatCode>
                <c:ptCount val="6"/>
                <c:pt idx="0">
                  <c:v>2022</c:v>
                </c:pt>
                <c:pt idx="1">
                  <c:v>2023</c:v>
                </c:pt>
                <c:pt idx="2">
                  <c:v>2024</c:v>
                </c:pt>
                <c:pt idx="3">
                  <c:v>2025</c:v>
                </c:pt>
                <c:pt idx="4">
                  <c:v>2026</c:v>
                </c:pt>
                <c:pt idx="5">
                  <c:v>2027</c:v>
                </c:pt>
              </c:numCache>
            </c:numRef>
          </c:cat>
          <c:val>
            <c:numRef>
              <c:f>Peers!$M$39:$R$39</c:f>
              <c:numCache>
                <c:formatCode>General</c:formatCode>
                <c:ptCount val="6"/>
                <c:pt idx="0">
                  <c:v>56.8</c:v>
                </c:pt>
                <c:pt idx="1">
                  <c:v>30.3</c:v>
                </c:pt>
                <c:pt idx="2">
                  <c:v>16.2</c:v>
                </c:pt>
                <c:pt idx="3">
                  <c:v>12.1</c:v>
                </c:pt>
                <c:pt idx="4">
                  <c:v>10.7</c:v>
                </c:pt>
              </c:numCache>
            </c:numRef>
          </c:val>
          <c:smooth val="0"/>
          <c:extLst>
            <c:ext xmlns:c16="http://schemas.microsoft.com/office/drawing/2014/chart" uri="{C3380CC4-5D6E-409C-BE32-E72D297353CC}">
              <c16:uniqueId val="{00000001-DB0E-4A5C-871B-2BC0720236AB}"/>
            </c:ext>
          </c:extLst>
        </c:ser>
        <c:ser>
          <c:idx val="2"/>
          <c:order val="2"/>
          <c:tx>
            <c:strRef>
              <c:f>Peers!$L$40:$L$40</c:f>
              <c:strCache>
                <c:ptCount val="1"/>
                <c:pt idx="0">
                  <c:v>Pychex</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Peers!$M$37:$R$37</c:f>
              <c:numCache>
                <c:formatCode>General</c:formatCode>
                <c:ptCount val="6"/>
                <c:pt idx="0">
                  <c:v>2022</c:v>
                </c:pt>
                <c:pt idx="1">
                  <c:v>2023</c:v>
                </c:pt>
                <c:pt idx="2">
                  <c:v>2024</c:v>
                </c:pt>
                <c:pt idx="3">
                  <c:v>2025</c:v>
                </c:pt>
                <c:pt idx="4">
                  <c:v>2026</c:v>
                </c:pt>
                <c:pt idx="5">
                  <c:v>2027</c:v>
                </c:pt>
              </c:numCache>
            </c:numRef>
          </c:cat>
          <c:val>
            <c:numRef>
              <c:f>Peers!$M$40:$R$40</c:f>
              <c:numCache>
                <c:formatCode>General</c:formatCode>
                <c:ptCount val="6"/>
                <c:pt idx="0">
                  <c:v>21.6</c:v>
                </c:pt>
                <c:pt idx="1">
                  <c:v>16.7</c:v>
                </c:pt>
                <c:pt idx="2">
                  <c:v>17.8</c:v>
                </c:pt>
                <c:pt idx="3">
                  <c:v>19.5</c:v>
                </c:pt>
                <c:pt idx="4">
                  <c:v>18.2</c:v>
                </c:pt>
                <c:pt idx="5">
                  <c:v>16.899999999999999</c:v>
                </c:pt>
              </c:numCache>
            </c:numRef>
          </c:val>
          <c:smooth val="0"/>
          <c:extLst>
            <c:ext xmlns:c16="http://schemas.microsoft.com/office/drawing/2014/chart" uri="{C3380CC4-5D6E-409C-BE32-E72D297353CC}">
              <c16:uniqueId val="{00000002-DB0E-4A5C-871B-2BC0720236AB}"/>
            </c:ext>
          </c:extLst>
        </c:ser>
        <c:ser>
          <c:idx val="3"/>
          <c:order val="3"/>
          <c:tx>
            <c:strRef>
              <c:f>Peers!$L$41:$L$41</c:f>
              <c:strCache>
                <c:ptCount val="1"/>
                <c:pt idx="0">
                  <c:v>ADP</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Peers!$M$37:$R$37</c:f>
              <c:numCache>
                <c:formatCode>General</c:formatCode>
                <c:ptCount val="6"/>
                <c:pt idx="0">
                  <c:v>2022</c:v>
                </c:pt>
                <c:pt idx="1">
                  <c:v>2023</c:v>
                </c:pt>
                <c:pt idx="2">
                  <c:v>2024</c:v>
                </c:pt>
                <c:pt idx="3">
                  <c:v>2025</c:v>
                </c:pt>
                <c:pt idx="4">
                  <c:v>2026</c:v>
                </c:pt>
                <c:pt idx="5">
                  <c:v>2027</c:v>
                </c:pt>
              </c:numCache>
            </c:numRef>
          </c:cat>
          <c:val>
            <c:numRef>
              <c:f>Peers!$M$41:$R$41</c:f>
              <c:numCache>
                <c:formatCode>General</c:formatCode>
                <c:ptCount val="6"/>
                <c:pt idx="0">
                  <c:v>20.9</c:v>
                </c:pt>
                <c:pt idx="1">
                  <c:v>18.600000000000001</c:v>
                </c:pt>
                <c:pt idx="2">
                  <c:v>17.899999999999999</c:v>
                </c:pt>
                <c:pt idx="3">
                  <c:v>19.2</c:v>
                </c:pt>
                <c:pt idx="4">
                  <c:v>17.8</c:v>
                </c:pt>
                <c:pt idx="5">
                  <c:v>16.7</c:v>
                </c:pt>
              </c:numCache>
            </c:numRef>
          </c:val>
          <c:smooth val="0"/>
          <c:extLst>
            <c:ext xmlns:c16="http://schemas.microsoft.com/office/drawing/2014/chart" uri="{C3380CC4-5D6E-409C-BE32-E72D297353CC}">
              <c16:uniqueId val="{00000003-DB0E-4A5C-871B-2BC0720236AB}"/>
            </c:ext>
          </c:extLst>
        </c:ser>
        <c:ser>
          <c:idx val="4"/>
          <c:order val="4"/>
          <c:tx>
            <c:strRef>
              <c:f>Peers!$L$42:$L$42</c:f>
              <c:strCache>
                <c:ptCount val="1"/>
                <c:pt idx="0">
                  <c:v>Paycor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Peers!$M$37:$R$37</c:f>
              <c:numCache>
                <c:formatCode>General</c:formatCode>
                <c:ptCount val="6"/>
                <c:pt idx="0">
                  <c:v>2022</c:v>
                </c:pt>
                <c:pt idx="1">
                  <c:v>2023</c:v>
                </c:pt>
                <c:pt idx="2">
                  <c:v>2024</c:v>
                </c:pt>
                <c:pt idx="3">
                  <c:v>2025</c:v>
                </c:pt>
                <c:pt idx="4">
                  <c:v>2026</c:v>
                </c:pt>
                <c:pt idx="5">
                  <c:v>2027</c:v>
                </c:pt>
              </c:numCache>
            </c:numRef>
          </c:cat>
          <c:val>
            <c:numRef>
              <c:f>Peers!$M$42:$R$42</c:f>
              <c:numCache>
                <c:formatCode>General</c:formatCode>
                <c:ptCount val="6"/>
                <c:pt idx="0">
                  <c:v>58.1</c:v>
                </c:pt>
                <c:pt idx="1">
                  <c:v>25.2</c:v>
                </c:pt>
                <c:pt idx="2">
                  <c:v>9.77</c:v>
                </c:pt>
                <c:pt idx="3">
                  <c:v>9.99</c:v>
                </c:pt>
                <c:pt idx="4">
                  <c:v>8.64</c:v>
                </c:pt>
                <c:pt idx="5">
                  <c:v>6.91</c:v>
                </c:pt>
              </c:numCache>
            </c:numRef>
          </c:val>
          <c:smooth val="0"/>
          <c:extLst>
            <c:ext xmlns:c16="http://schemas.microsoft.com/office/drawing/2014/chart" uri="{C3380CC4-5D6E-409C-BE32-E72D297353CC}">
              <c16:uniqueId val="{00000004-DB0E-4A5C-871B-2BC0720236AB}"/>
            </c:ext>
          </c:extLst>
        </c:ser>
        <c:dLbls>
          <c:showLegendKey val="0"/>
          <c:showVal val="0"/>
          <c:showCatName val="0"/>
          <c:showSerName val="0"/>
          <c:showPercent val="0"/>
          <c:showBubbleSize val="0"/>
        </c:dLbls>
        <c:marker val="1"/>
        <c:smooth val="0"/>
        <c:axId val="926778319"/>
        <c:axId val="926780239"/>
      </c:lineChart>
      <c:catAx>
        <c:axId val="92677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80239"/>
        <c:crosses val="autoZero"/>
        <c:auto val="1"/>
        <c:lblAlgn val="ctr"/>
        <c:lblOffset val="100"/>
        <c:noMultiLvlLbl val="0"/>
      </c:catAx>
      <c:valAx>
        <c:axId val="92678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78319"/>
        <c:crosses val="autoZero"/>
        <c:crossBetween val="between"/>
      </c:valAx>
      <c:spPr>
        <a:noFill/>
        <a:ln>
          <a:noFill/>
        </a:ln>
        <a:effectLst/>
      </c:spPr>
    </c:plotArea>
    <c:legend>
      <c:legendPos val="b"/>
      <c:layout>
        <c:manualLayout>
          <c:xMode val="edge"/>
          <c:yMode val="edge"/>
          <c:x val="1.9210498363772765E-2"/>
          <c:y val="0.95908632736436183"/>
          <c:w val="0.86370963712732463"/>
          <c:h val="4.09136726356381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image" Target="../media/image12.png"/><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16</xdr:row>
      <xdr:rowOff>162369</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162369</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162369</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66675</xdr:colOff>
      <xdr:row>2</xdr:row>
      <xdr:rowOff>38100</xdr:rowOff>
    </xdr:from>
    <xdr:to>
      <xdr:col>2</xdr:col>
      <xdr:colOff>1377950</xdr:colOff>
      <xdr:row>15</xdr:row>
      <xdr:rowOff>41275</xdr:rowOff>
    </xdr:to>
    <xdr:pic>
      <xdr:nvPicPr>
        <xdr:cNvPr id="15" name="Imagem 2">
          <a:extLst>
            <a:ext uri="{FF2B5EF4-FFF2-40B4-BE49-F238E27FC236}">
              <a16:creationId xmlns:a16="http://schemas.microsoft.com/office/drawing/2014/main" id="{5470E2D4-3E66-451A-CE38-C4B1F491F54B}"/>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95250" y="371475"/>
          <a:ext cx="2790825" cy="2486025"/>
        </a:xfrm>
        <a:prstGeom prst="rect">
          <a:avLst/>
        </a:prstGeom>
      </xdr:spPr>
    </xdr:pic>
    <xdr:clientData/>
  </xdr:twoCellAnchor>
  <xdr:twoCellAnchor editAs="oneCell">
    <xdr:from>
      <xdr:col>6</xdr:col>
      <xdr:colOff>38100</xdr:colOff>
      <xdr:row>82</xdr:row>
      <xdr:rowOff>28575</xdr:rowOff>
    </xdr:from>
    <xdr:to>
      <xdr:col>12</xdr:col>
      <xdr:colOff>1514475</xdr:colOff>
      <xdr:row>105</xdr:row>
      <xdr:rowOff>114300</xdr:rowOff>
    </xdr:to>
    <xdr:pic>
      <xdr:nvPicPr>
        <xdr:cNvPr id="3" name="Imagem 2">
          <a:extLst>
            <a:ext uri="{FF2B5EF4-FFF2-40B4-BE49-F238E27FC236}">
              <a16:creationId xmlns:a16="http://schemas.microsoft.com/office/drawing/2014/main" id="{0285187D-31A6-2467-A690-EC0E9E630592}"/>
            </a:ext>
            <a:ext uri="{147F2762-F138-4A5C-976F-8EAC2B608ADB}">
              <a16:predDERef xmlns:a16="http://schemas.microsoft.com/office/drawing/2014/main" pred="{5470E2D4-3E66-451A-CE38-C4B1F491F54B}"/>
            </a:ext>
          </a:extLst>
        </xdr:cNvPr>
        <xdr:cNvPicPr>
          <a:picLocks noChangeAspect="1"/>
        </xdr:cNvPicPr>
      </xdr:nvPicPr>
      <xdr:blipFill>
        <a:blip xmlns:r="http://schemas.openxmlformats.org/officeDocument/2006/relationships" r:embed="rId2"/>
        <a:stretch>
          <a:fillRect/>
        </a:stretch>
      </xdr:blipFill>
      <xdr:spPr>
        <a:xfrm>
          <a:off x="7629525" y="14830425"/>
          <a:ext cx="8143875" cy="3590925"/>
        </a:xfrm>
        <a:prstGeom prst="rect">
          <a:avLst/>
        </a:prstGeom>
      </xdr:spPr>
    </xdr:pic>
    <xdr:clientData/>
  </xdr:twoCellAnchor>
  <xdr:twoCellAnchor editAs="oneCell">
    <xdr:from>
      <xdr:col>6</xdr:col>
      <xdr:colOff>19050</xdr:colOff>
      <xdr:row>81</xdr:row>
      <xdr:rowOff>180975</xdr:rowOff>
    </xdr:from>
    <xdr:to>
      <xdr:col>12</xdr:col>
      <xdr:colOff>2019300</xdr:colOff>
      <xdr:row>105</xdr:row>
      <xdr:rowOff>142875</xdr:rowOff>
    </xdr:to>
    <xdr:pic>
      <xdr:nvPicPr>
        <xdr:cNvPr id="2" name="Imagem 1">
          <a:extLst>
            <a:ext uri="{FF2B5EF4-FFF2-40B4-BE49-F238E27FC236}">
              <a16:creationId xmlns:a16="http://schemas.microsoft.com/office/drawing/2014/main" id="{1050CBC9-AEE0-8FC9-248F-3E5A692459F4}"/>
            </a:ext>
            <a:ext uri="{147F2762-F138-4A5C-976F-8EAC2B608ADB}">
              <a16:predDERef xmlns:a16="http://schemas.microsoft.com/office/drawing/2014/main" pred="{0285187D-31A6-2467-A690-EC0E9E630592}"/>
            </a:ext>
          </a:extLst>
        </xdr:cNvPr>
        <xdr:cNvPicPr>
          <a:picLocks noChangeAspect="1"/>
        </xdr:cNvPicPr>
      </xdr:nvPicPr>
      <xdr:blipFill>
        <a:blip xmlns:r="http://schemas.openxmlformats.org/officeDocument/2006/relationships" r:embed="rId3"/>
        <a:stretch>
          <a:fillRect/>
        </a:stretch>
      </xdr:blipFill>
      <xdr:spPr>
        <a:xfrm>
          <a:off x="7610475" y="14792325"/>
          <a:ext cx="8667750"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26</xdr:row>
      <xdr:rowOff>76200</xdr:rowOff>
    </xdr:from>
    <xdr:to>
      <xdr:col>11</xdr:col>
      <xdr:colOff>666750</xdr:colOff>
      <xdr:row>32</xdr:row>
      <xdr:rowOff>666750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26</xdr:row>
      <xdr:rowOff>66675</xdr:rowOff>
    </xdr:from>
    <xdr:to>
      <xdr:col>15</xdr:col>
      <xdr:colOff>714375</xdr:colOff>
      <xdr:row>32</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25</xdr:row>
      <xdr:rowOff>247650</xdr:rowOff>
    </xdr:from>
    <xdr:to>
      <xdr:col>11</xdr:col>
      <xdr:colOff>714375</xdr:colOff>
      <xdr:row>33</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19050</xdr:colOff>
      <xdr:row>56</xdr:row>
      <xdr:rowOff>47625</xdr:rowOff>
    </xdr:from>
    <xdr:to>
      <xdr:col>35</xdr:col>
      <xdr:colOff>209550</xdr:colOff>
      <xdr:row>62</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18</xdr:col>
      <xdr:colOff>600075</xdr:colOff>
      <xdr:row>2</xdr:row>
      <xdr:rowOff>9525</xdr:rowOff>
    </xdr:from>
    <xdr:to>
      <xdr:col>24</xdr:col>
      <xdr:colOff>257175</xdr:colOff>
      <xdr:row>16</xdr:row>
      <xdr:rowOff>128588</xdr:rowOff>
    </xdr:to>
    <xdr:pic>
      <xdr:nvPicPr>
        <xdr:cNvPr id="2" name="Imagem 4">
          <a:extLst>
            <a:ext uri="{FF2B5EF4-FFF2-40B4-BE49-F238E27FC236}">
              <a16:creationId xmlns:a16="http://schemas.microsoft.com/office/drawing/2014/main" id="{5665A0A5-12E7-16E4-D5C5-4FA90F56DA9D}"/>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18392775" y="361950"/>
          <a:ext cx="4514850" cy="2390775"/>
        </a:xfrm>
        <a:prstGeom prst="rect">
          <a:avLst/>
        </a:prstGeom>
      </xdr:spPr>
    </xdr:pic>
    <xdr:clientData/>
  </xdr:twoCellAnchor>
  <xdr:twoCellAnchor editAs="oneCell">
    <xdr:from>
      <xdr:col>16</xdr:col>
      <xdr:colOff>28575</xdr:colOff>
      <xdr:row>14</xdr:row>
      <xdr:rowOff>133350</xdr:rowOff>
    </xdr:from>
    <xdr:to>
      <xdr:col>24</xdr:col>
      <xdr:colOff>733425</xdr:colOff>
      <xdr:row>32</xdr:row>
      <xdr:rowOff>611981</xdr:rowOff>
    </xdr:to>
    <xdr:pic>
      <xdr:nvPicPr>
        <xdr:cNvPr id="6" name="Imagem 5">
          <a:extLst>
            <a:ext uri="{FF2B5EF4-FFF2-40B4-BE49-F238E27FC236}">
              <a16:creationId xmlns:a16="http://schemas.microsoft.com/office/drawing/2014/main" id="{CEF3C998-9341-2048-D530-CA5A365DB453}"/>
            </a:ext>
            <a:ext uri="{147F2762-F138-4A5C-976F-8EAC2B608ADB}">
              <a16:predDERef xmlns:a16="http://schemas.microsoft.com/office/drawing/2014/main" pred="{5665A0A5-12E7-16E4-D5C5-4FA90F56DA9D}"/>
            </a:ext>
          </a:extLst>
        </xdr:cNvPr>
        <xdr:cNvPicPr>
          <a:picLocks noChangeAspect="1"/>
        </xdr:cNvPicPr>
      </xdr:nvPicPr>
      <xdr:blipFill>
        <a:blip xmlns:r="http://schemas.openxmlformats.org/officeDocument/2006/relationships" r:embed="rId4"/>
        <a:stretch>
          <a:fillRect/>
        </a:stretch>
      </xdr:blipFill>
      <xdr:spPr>
        <a:xfrm>
          <a:off x="15659100" y="2200275"/>
          <a:ext cx="7600950" cy="4914900"/>
        </a:xfrm>
        <a:prstGeom prst="rect">
          <a:avLst/>
        </a:prstGeom>
      </xdr:spPr>
    </xdr:pic>
    <xdr:clientData/>
  </xdr:twoCellAnchor>
  <xdr:twoCellAnchor editAs="oneCell">
    <xdr:from>
      <xdr:col>9</xdr:col>
      <xdr:colOff>28575</xdr:colOff>
      <xdr:row>34</xdr:row>
      <xdr:rowOff>28575</xdr:rowOff>
    </xdr:from>
    <xdr:to>
      <xdr:col>14</xdr:col>
      <xdr:colOff>200025</xdr:colOff>
      <xdr:row>47</xdr:row>
      <xdr:rowOff>136525</xdr:rowOff>
    </xdr:to>
    <xdr:pic>
      <xdr:nvPicPr>
        <xdr:cNvPr id="4" name="Imagem 1">
          <a:extLst>
            <a:ext uri="{FF2B5EF4-FFF2-40B4-BE49-F238E27FC236}">
              <a16:creationId xmlns:a16="http://schemas.microsoft.com/office/drawing/2014/main" id="{13C4208F-FF22-E720-BFD0-EFB97DA57F75}"/>
            </a:ext>
            <a:ext uri="{147F2762-F138-4A5C-976F-8EAC2B608ADB}">
              <a16:predDERef xmlns:a16="http://schemas.microsoft.com/office/drawing/2014/main" pred="{CEF3C998-9341-2048-D530-CA5A365DB453}"/>
            </a:ext>
          </a:extLst>
        </xdr:cNvPr>
        <xdr:cNvPicPr>
          <a:picLocks noChangeAspect="1"/>
        </xdr:cNvPicPr>
      </xdr:nvPicPr>
      <xdr:blipFill>
        <a:blip xmlns:r="http://schemas.openxmlformats.org/officeDocument/2006/relationships" r:embed="rId5"/>
        <a:stretch>
          <a:fillRect/>
        </a:stretch>
      </xdr:blipFill>
      <xdr:spPr>
        <a:xfrm>
          <a:off x="9944100" y="7429500"/>
          <a:ext cx="4572000" cy="2705100"/>
        </a:xfrm>
        <a:prstGeom prst="rect">
          <a:avLst/>
        </a:prstGeom>
      </xdr:spPr>
    </xdr:pic>
    <xdr:clientData/>
  </xdr:twoCellAnchor>
  <xdr:twoCellAnchor editAs="oneCell">
    <xdr:from>
      <xdr:col>9</xdr:col>
      <xdr:colOff>104775</xdr:colOff>
      <xdr:row>48</xdr:row>
      <xdr:rowOff>19050</xdr:rowOff>
    </xdr:from>
    <xdr:to>
      <xdr:col>14</xdr:col>
      <xdr:colOff>276225</xdr:colOff>
      <xdr:row>58</xdr:row>
      <xdr:rowOff>269875</xdr:rowOff>
    </xdr:to>
    <xdr:pic>
      <xdr:nvPicPr>
        <xdr:cNvPr id="10" name="Imagem 3">
          <a:extLst>
            <a:ext uri="{FF2B5EF4-FFF2-40B4-BE49-F238E27FC236}">
              <a16:creationId xmlns:a16="http://schemas.microsoft.com/office/drawing/2014/main" id="{B681785B-5D3D-DA05-CD48-8EC3E1F5BFFE}"/>
            </a:ext>
            <a:ext uri="{147F2762-F138-4A5C-976F-8EAC2B608ADB}">
              <a16:predDERef xmlns:a16="http://schemas.microsoft.com/office/drawing/2014/main" pred="{13C4208F-FF22-E720-BFD0-EFB97DA57F75}"/>
            </a:ext>
          </a:extLst>
        </xdr:cNvPr>
        <xdr:cNvPicPr>
          <a:picLocks noChangeAspect="1"/>
        </xdr:cNvPicPr>
      </xdr:nvPicPr>
      <xdr:blipFill>
        <a:blip xmlns:r="http://schemas.openxmlformats.org/officeDocument/2006/relationships" r:embed="rId6"/>
        <a:stretch>
          <a:fillRect/>
        </a:stretch>
      </xdr:blipFill>
      <xdr:spPr>
        <a:xfrm>
          <a:off x="10020300" y="10134600"/>
          <a:ext cx="4572000" cy="2486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9</xdr:col>
      <xdr:colOff>528777</xdr:colOff>
      <xdr:row>17</xdr:row>
      <xdr:rowOff>56029</xdr:rowOff>
    </xdr:from>
    <xdr:to>
      <xdr:col>17</xdr:col>
      <xdr:colOff>702468</xdr:colOff>
      <xdr:row>33</xdr:row>
      <xdr:rowOff>114301</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91281</xdr:colOff>
      <xdr:row>18</xdr:row>
      <xdr:rowOff>95250</xdr:rowOff>
    </xdr:from>
    <xdr:to>
      <xdr:col>31</xdr:col>
      <xdr:colOff>504030</xdr:colOff>
      <xdr:row>35</xdr:row>
      <xdr:rowOff>71437</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1209684</xdr:colOff>
      <xdr:row>52</xdr:row>
      <xdr:rowOff>10353</xdr:rowOff>
    </xdr:from>
    <xdr:to>
      <xdr:col>19</xdr:col>
      <xdr:colOff>283449</xdr:colOff>
      <xdr:row>78</xdr:row>
      <xdr:rowOff>158253</xdr:rowOff>
    </xdr:to>
    <xdr:graphicFrame macro="">
      <xdr:nvGraphicFramePr>
        <xdr:cNvPr id="85" name="Chart 62">
          <a:extLst>
            <a:ext uri="{FF2B5EF4-FFF2-40B4-BE49-F238E27FC236}">
              <a16:creationId xmlns:a16="http://schemas.microsoft.com/office/drawing/2014/main" id="{563911DD-6390-5133-F878-A721D4505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757921</xdr:colOff>
      <xdr:row>51</xdr:row>
      <xdr:rowOff>166572</xdr:rowOff>
    </xdr:from>
    <xdr:to>
      <xdr:col>13</xdr:col>
      <xdr:colOff>767062</xdr:colOff>
      <xdr:row>78</xdr:row>
      <xdr:rowOff>138859</xdr:rowOff>
    </xdr:to>
    <xdr:graphicFrame macro="">
      <xdr:nvGraphicFramePr>
        <xdr:cNvPr id="81" name="Chart 63">
          <a:extLst>
            <a:ext uri="{FF2B5EF4-FFF2-40B4-BE49-F238E27FC236}">
              <a16:creationId xmlns:a16="http://schemas.microsoft.com/office/drawing/2014/main" id="{E61334C1-7A74-38B7-C07E-39F63A39F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 uri="{147F2762-F138-4A5C-976F-8EAC2B608ADB}">
              <a16:predDERef xmlns:a16="http://schemas.microsoft.com/office/drawing/2014/main" pre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 uri="{147F2762-F138-4A5C-976F-8EAC2B608ADB}">
              <a16:predDERef xmlns:a16="http://schemas.microsoft.com/office/drawing/2014/main" pre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 uri="{147F2762-F138-4A5C-976F-8EAC2B608ADB}">
              <a16:predDERef xmlns:a16="http://schemas.microsoft.com/office/drawing/2014/main" pre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35</xdr:row>
      <xdr:rowOff>0</xdr:rowOff>
    </xdr:from>
    <xdr:to>
      <xdr:col>7</xdr:col>
      <xdr:colOff>1003742</xdr:colOff>
      <xdr:row>57</xdr:row>
      <xdr:rowOff>26718</xdr:rowOff>
    </xdr:to>
    <xdr:pic>
      <xdr:nvPicPr>
        <xdr:cNvPr id="2" name="Picture 1">
          <a:extLst>
            <a:ext uri="{FF2B5EF4-FFF2-40B4-BE49-F238E27FC236}">
              <a16:creationId xmlns:a16="http://schemas.microsoft.com/office/drawing/2014/main" id="{0C646071-C4BA-0753-F4D3-6BB07E78C97C}"/>
            </a:ext>
          </a:extLst>
        </xdr:cNvPr>
        <xdr:cNvPicPr>
          <a:picLocks noChangeAspect="1"/>
        </xdr:cNvPicPr>
      </xdr:nvPicPr>
      <xdr:blipFill>
        <a:blip xmlns:r="http://schemas.openxmlformats.org/officeDocument/2006/relationships" r:embed="rId5"/>
        <a:stretch>
          <a:fillRect/>
        </a:stretch>
      </xdr:blipFill>
      <xdr:spPr>
        <a:xfrm>
          <a:off x="71438" y="7989094"/>
          <a:ext cx="8849960" cy="37533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562536</xdr:colOff>
      <xdr:row>79</xdr:row>
      <xdr:rowOff>77039</xdr:rowOff>
    </xdr:from>
    <xdr:to>
      <xdr:col>12</xdr:col>
      <xdr:colOff>1530994</xdr:colOff>
      <xdr:row>92</xdr:row>
      <xdr:rowOff>96102</xdr:rowOff>
    </xdr:to>
    <xdr:pic>
      <xdr:nvPicPr>
        <xdr:cNvPr id="2" name="Picture 1">
          <a:extLst>
            <a:ext uri="{FF2B5EF4-FFF2-40B4-BE49-F238E27FC236}">
              <a16:creationId xmlns:a16="http://schemas.microsoft.com/office/drawing/2014/main" id="{57B9436F-5861-DFAE-2527-A588FCD0FB76}"/>
            </a:ext>
          </a:extLst>
        </xdr:cNvPr>
        <xdr:cNvPicPr>
          <a:picLocks noChangeAspect="1"/>
        </xdr:cNvPicPr>
      </xdr:nvPicPr>
      <xdr:blipFill>
        <a:blip xmlns:r="http://schemas.openxmlformats.org/officeDocument/2006/relationships" r:embed="rId1"/>
        <a:stretch>
          <a:fillRect/>
        </a:stretch>
      </xdr:blipFill>
      <xdr:spPr>
        <a:xfrm>
          <a:off x="16021051" y="17956025"/>
          <a:ext cx="3977237" cy="213137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Rosario la Spina" id="{A64E8EC1-8748-4B55-8607-488DF9B4EBEF}" userId="S::Rosario@aln.iseg.ulisboa.pt::dcacb765-8901-4eb5-afea-17e638acc936" providerId="AD"/>
  <person displayName="DAVID FILIPE DE SOUSA TITA" id="{6D2C5BD9-1C3E-4972-9F97-1CA81A3CC14E}" userId="S::david.tita@aln.iseg.ulisboa.pt::2b554b1a-dfdf-4fc2-8414-05963e9f059c" providerId="AD"/>
  <person displayName="José Ricardo Ramos Duro Godinho" id="{A9330304-AE63-4316-AB27-759EE378DE7A}" userId="S::ze.ricardo.godinho@aln.iseg.ulisboa.pt::95755c4a-be4c-4fbf-b6a1-7d0c594112b3"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7">
  <rv s="0">
    <v>https://www.bing.com/financeapi/forcetrigger?t=a1zm3m&amp;q=XNAS%3aPCTY&amp;form=skydnc</v>
    <v>Learn more on Bing</v>
  </rv>
  <rv s="1">
    <v>pt-BR</v>
    <v>a1zm3m</v>
    <v>268435456</v>
    <v>1</v>
    <v>Da plataforma Refinitiv</v>
    <v>0</v>
    <v>1</v>
    <v>PAYLOCITY HOLDING CORPORATION (XNAS:PCTY)</v>
    <v>3</v>
    <v>4</v>
    <v>Finance</v>
    <v>5</v>
    <v>223.8</v>
    <v>129.94</v>
    <v>XNAS</v>
    <v>55887210</v>
    <v>0</v>
    <v>0</v>
    <v>191.755</v>
    <v>2013</v>
    <v>182.58</v>
    <v>0.57779999999999998</v>
    <v>Nasdaq Stock Market</v>
    <v>10680600000</v>
    <v>Paylocity Holding Corporation é uma provedora de soluções de software de gestão de capital humano (HCM) e folha de pagamento baseadas na nuvem. Sua plataforma de HCM e folha de pagamento oferece um conjunto de produtos que ajuda as empresas a atrair e reter talentos, construir cultura e conexão com seus funcionários e agilizar e automatizar processos de recursos humanos (RH) e folha de pagamento. Ele fornece suas soluções de software como serviço para clientes em todos os Estados Unidos. Seu conjunto de produtos inclui várias categorias, como folha de pagamento, recursos humanos, tempo e mão de obra, talento, benefícios e experiência dos funcionários. Sua suíte de produtos de folha de pagamento inclui serviços de folha de pagamento e impostos, pagamento sob demanda e punições, e outros. Seu conjunto de produtos de recursos humanos inclui recursos humanos, fluxos de trabalho e documentos e RH edge, entre outros. A suíte de produtos Talent inclui recrutamento, integração e pagamento no mercado. Seu pacote de produtos de experiências de funcionários inclui comunidade, vídeo e voz de funcionários. Ele também oferece uma plataforma de gerenciamento de gastos tudo-em-um.</v>
    <v>XNAS</v>
    <v>188.51</v>
    <v>6400</v>
    <v>45772.838827846877</v>
    <v>0</v>
    <v>401504</v>
    <v>USD</v>
    <v>PAYLOCITY HOLDING CORPORATION</v>
    <v>PAYLOCITY HOLDING CORPORATION</v>
    <v>48.415199999999999</v>
    <v>187.62</v>
    <v>191.11</v>
    <v>191.11</v>
    <v>1400 American Ln, SCHAUMBURG, IL, 60173-5452 US</v>
    <v>Software &amp; IT Services</v>
    <v>PCTY</v>
    <v>Ações</v>
    <v>PAYLOCITY HOLDING CORPORATION (XNAS:PCTY)</v>
    <v>2.6</v>
    <v>1.3792E-2</v>
    <v>342888</v>
  </rv>
  <rv s="2">
    <v>1</v>
  </rv>
  <rv s="3">
    <v>0</v>
    <v>5</v>
  </rv>
  <rv s="3">
    <v>1</v>
    <v>5</v>
  </rv>
  <rv s="3">
    <v>2</v>
    <v>5</v>
  </rv>
  <rv s="3">
    <v>3</v>
    <v>5</v>
  </rv>
</rvData>
</file>

<file path=xl/richData/rdrichvaluestructure.xml><?xml version="1.0" encoding="utf-8"?>
<rvStructures xmlns="http://schemas.microsoft.com/office/spreadsheetml/2017/richdata" count="4">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breviatura do câmbio" t="s"/>
    <k n="Ações em circulação"/>
    <k n="Alteração % (Horário prolongado)"/>
    <k n="Alteração (Horário prolongad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Preço (Horário prolongado)"/>
    <k n="Sede" t="s"/>
    <k n="Setor" t="s"/>
    <k n="Símbolo do ticker" t="s"/>
    <k n="Tipo de instrumento" t="s"/>
    <k n="UniqueName" t="s"/>
    <k n="Variação"/>
    <k n="Variação (%)"/>
    <k n="Volume"/>
  </s>
  <s t="_linkedentity">
    <k n="%cvi" t="r"/>
  </s>
  <s t="_localImage">
    <k n="_rvRel:LocalImageIdentifier" t="i"/>
    <k n="CalcOrigin" t="i"/>
  </s>
</rvStructures>
</file>

<file path=xl/richData/rdsupportingpropertybag.xml><?xml version="1.0" encoding="utf-8"?>
<supportingPropertyBags xmlns="http://schemas.microsoft.com/office/spreadsheetml/2017/richdata2">
  <spbArrays count="1">
    <a count="46">
      <v t="s">%EntityServiceId</v>
      <v t="s">_Format</v>
      <v t="s">%IsRefreshable</v>
      <v t="s">_CanonicalPropertyNames</v>
      <v t="s">%EntityCulture</v>
      <v t="s">%EntityId</v>
      <v t="s">_Icon</v>
      <v t="s">_Display</v>
      <v t="s">Nome</v>
      <v t="s">_SubLabel</v>
      <v t="s">Preço</v>
      <v t="s">Preço (Horário prolongado)</v>
      <v t="s">Bolsa</v>
      <v t="s">Nome oficial</v>
      <v t="s">Hora da última transação</v>
      <v t="s">Símbolo do ticker</v>
      <v t="s">Abreviatura do câmbio</v>
      <v t="s">Variação</v>
      <v t="s">Alteração (Horário prolongado)</v>
      <v t="s">Variação (%)</v>
      <v t="s">Alteração % (Horário prolongado)</v>
      <v t="s">Moeda</v>
      <v t="s">Fechamento anterior</v>
      <v t="s">Pendência</v>
      <v t="s">Alto</v>
      <v t="s">Baixo</v>
      <v t="s">52 semanas de alta</v>
      <v t="s">52 semanas de baixa</v>
      <v t="s">Volume</v>
      <v t="s">Média de volume</v>
      <v t="s">Capitalização de mercado</v>
      <v t="s">Beta</v>
      <v t="s">P/E</v>
      <v t="s">Ações em circulação</v>
      <v t="s">Descrição</v>
      <v t="s">Funcionários</v>
      <v t="s">Sede</v>
      <v t="s">Setor</v>
      <v t="s">Tipo de instrumento</v>
      <v t="s">Ano de incorporação</v>
      <v t="s">_Flags</v>
      <v t="s">UniqueName</v>
      <v t="s">_DisplayString</v>
      <v t="s">LearnMoreOnLink</v>
      <v t="s">ExchangeID</v>
      <v t="s">%ProviderInfo</v>
    </a>
  </spbArrays>
  <spbData count="6">
    <spb s="0">
      <v>P/E</v>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v>Price (Extended hours)</v>
      <v>Change (Extended hours)</v>
      <v>Change % (Extended hours)</v>
    </spb>
    <spb s="1">
      <v>0</v>
      <v>Name</v>
      <v>LearnMoreOnLink</v>
    </spb>
    <spb s="2">
      <v>0</v>
      <v>0</v>
      <v>0</v>
    </spb>
    <spb s="3">
      <v>2</v>
      <v>2</v>
      <v>2</v>
      <v>2</v>
    </spb>
    <spb s="4">
      <v>1</v>
      <v>2</v>
      <v>1</v>
      <v>3</v>
      <v>2</v>
      <v>2</v>
      <v>4</v>
      <v>2</v>
      <v>2</v>
      <v>4</v>
      <v>5</v>
      <v>4</v>
      <v>6</v>
      <v>2</v>
      <v>2</v>
      <v>7</v>
      <v>4</v>
      <v>2</v>
      <v>8</v>
      <v>9</v>
      <v>2</v>
      <v>2</v>
      <v>5</v>
    </spb>
    <spb s="5">
      <v xml:space="preserve">no fechamento </v>
      <v xml:space="preserve">do fechamento anterior </v>
      <v>Origem : Nasdaq</v>
      <v xml:space="preserve">do fechamento anterior </v>
      <v>GMT</v>
      <v>Atraso de 15 minutos</v>
      <v xml:space="preserve">do fechamento </v>
      <v xml:space="preserve">do fechamento </v>
    </spb>
  </spbData>
</supportingPropertyBags>
</file>

<file path=xl/richData/rdsupportingpropertybagstructure.xml><?xml version="1.0" encoding="utf-8"?>
<spbStructures xmlns="http://schemas.microsoft.com/office/spreadsheetml/2017/richdata2" count="6">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k n="Preço (Horário prolongado)" t="s"/>
    <k n="Alteração (Horário prolongado)" t="s"/>
    <k n="Alteração % (Horário prolongado)" t="s"/>
  </s>
  <s>
    <k n="^Order" t="spba"/>
    <k n="TitleProperty" t="s"/>
    <k n="SubTitleProperty" t="s"/>
  </s>
  <s>
    <k n="ShowInCardView" t="b"/>
    <k n="ShowInDotNotation" t="b"/>
    <k n="ShowInAutoComplete" t="b"/>
  </s>
  <s>
    <k n="ExchangeID" t="spb"/>
    <k n="UniqueName" t="spb"/>
    <k n="`%ProviderInfo" t="spb"/>
    <k n="LearnMoreOnLink" t="spb"/>
  </s>
  <s>
    <k n="P/E" t="i"/>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k n="Preço (Horário prolongado)" t="i"/>
    <k n="Alteração (Horário prolongado)" t="i"/>
    <k n="Alteração % (Horário prolongado)" t="i"/>
  </s>
  <s>
    <k n="Preço" t="s"/>
    <k n="Variação" t="s"/>
    <k n="ExchangeID" t="s"/>
    <k n="Variação (%)" t="s"/>
    <k n="Hora da última transação" t="s"/>
    <k n="Preço (Horário prolongado)" t="s"/>
    <k n="Alteração (Horário prolongado)" t="s"/>
    <k n="Alteração % (Horário prolongad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ichProperties>
  <richStyles>
    <rSty dxfid="5">
      <rpv i="0">#,##0.00</rpv>
    </rSty>
    <rSty dxfid="1">
      <rpv i="0">_([$$-en-US]* #,##0.00_);_([$$-en-US]* (#,##0.00);_([$$-en-US]* "-"??_);_(@_)</rpv>
    </rSty>
    <rSty>
      <rpv i="1">1</rpv>
    </rSty>
    <rSty dxfid="4">
      <rpv i="0">#,##0</rpv>
    </rSty>
    <rSty dxfid="3"/>
    <rSty dxfid="0">
      <rpv i="0">0.00</rpv>
    </rSty>
    <rSty dxfid="6">
      <rpv i="0">0</rpv>
    </rSty>
    <rSty dxfid="1">
      <rpv i="0">_([$$-en-US]* #,##0_);_([$$-en-US]* (#,##0);_([$$-en-US]* "-"_);_(@_)</rpv>
    </rSty>
    <rSty dxfid="2"/>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 ref="J7" dT="2024-11-01T16:07:50.68" personId="{A9330304-AE63-4316-AB27-759EE378DE7A}" id="{BE0DA439-60BC-4872-B837-0AC68F67A40A}">
    <text>All the remaining board members are considered independent and received around* 200k each for their work for PayloCity</text>
  </threadedComment>
</ThreadedComments>
</file>

<file path=xl/threadedComments/threadedComment2.xml><?xml version="1.0" encoding="utf-8"?>
<ThreadedComments xmlns="http://schemas.microsoft.com/office/spreadsheetml/2018/threadedcomments" xmlns:x="http://schemas.openxmlformats.org/spreadsheetml/2006/main">
  <threadedComment ref="A51" dT="2024-09-25T19:34:08.29" personId="{A64E8EC1-8748-4B55-8607-488DF9B4EBEF}" id="{B1D3E7FA-AF42-4924-B5CC-6F47A7AA87B5}">
    <text xml:space="preserve">Accrued expenses
</text>
  </threadedComment>
</ThreadedComments>
</file>

<file path=xl/threadedComments/threadedComment3.xml><?xml version="1.0" encoding="utf-8"?>
<ThreadedComments xmlns="http://schemas.microsoft.com/office/spreadsheetml/2018/threadedcomments" xmlns:x="http://schemas.openxmlformats.org/spreadsheetml/2006/main">
  <threadedComment ref="F75" dT="2024-10-28T21:53:29.10" personId="{A64E8EC1-8748-4B55-8607-488DF9B4EBEF}" id="{DB908F0E-0221-4771-A929-C4BB13E696BE}">
    <text>Based on reports</text>
  </threadedComment>
</ThreadedComments>
</file>

<file path=xl/threadedComments/threadedComment4.xml><?xml version="1.0" encoding="utf-8"?>
<ThreadedComments xmlns="http://schemas.microsoft.com/office/spreadsheetml/2018/threadedcomments" xmlns:x="http://schemas.openxmlformats.org/spreadsheetml/2006/main">
  <threadedComment ref="K29" dT="2024-10-28T22:16:47.55" personId="{A64E8EC1-8748-4B55-8607-488DF9B4EBEF}" id="{A25158AA-C998-4F32-9A19-5EAF1340F752}">
    <text>FORMULA: If (Ending Cash poistion of last year + cash before shareholder returns) is more then 45%, then return all the excess cash unitll it reaches that level. If it's below 45%, then do buybacks in 10% of net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K29" dT="2024-10-28T22:29:39.29" personId="{A64E8EC1-8748-4B55-8607-488DF9B4EBEF}" id="{4F1B9CCB-B3FA-43DD-BA1D-B4B313F984B1}">
    <text>Formual: Excess Cash + 0,1 Ending cash position of last period</text>
  </threadedComment>
  <threadedComment ref="P29" dT="2024-10-28T22:27:56.00" personId="{A64E8EC1-8748-4B55-8607-488DF9B4EBEF}" id="{85E545C8-D066-4168-AF0C-7CF1FB152F7B}">
    <text>Increase in returns (excess cash + 0,2 last period ending cash balance)</text>
  </threadedComment>
  <threadedComment ref="V29" dT="2024-10-28T22:29:07.84" personId="{A64E8EC1-8748-4B55-8607-488DF9B4EBEF}" id="{14E7DF74-537F-4E6A-9D59-E644724CE7AD}">
    <text>Increase in buybacks (excess cash + 35% ending cash position of last period)</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mordorintelligence.com/industry-reports/human-capital-management-software-market/market-size" TargetMode="External"/><Relationship Id="rId2" Type="http://schemas.openxmlformats.org/officeDocument/2006/relationships/hyperlink" Target="https://www.precedenceresearch.com/human-capital-management-market" TargetMode="External"/><Relationship Id="rId1" Type="http://schemas.openxmlformats.org/officeDocument/2006/relationships/hyperlink" Target="https://www.fortunebusinessinsights.com/industry-reports/human-capital-management-hcm-market-100240"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7"/>
  <sheetViews>
    <sheetView showGridLines="0" zoomScale="89" zoomScaleNormal="68" workbookViewId="0">
      <selection activeCell="J71" sqref="J71:L71"/>
    </sheetView>
  </sheetViews>
  <sheetFormatPr defaultColWidth="11.265625" defaultRowHeight="12.75"/>
  <cols>
    <col min="1" max="1" width="0.265625" customWidth="1"/>
    <col min="2" max="2" width="21" bestFit="1" customWidth="1"/>
    <col min="3" max="3" width="23.265625" customWidth="1"/>
    <col min="4" max="4" width="32" customWidth="1"/>
    <col min="5" max="5" width="20.265625" bestFit="1" customWidth="1"/>
    <col min="6" max="6" width="17" bestFit="1" customWidth="1"/>
    <col min="7" max="7" width="13.265625" bestFit="1" customWidth="1"/>
    <col min="8" max="8" width="24.86328125" customWidth="1"/>
    <col min="9" max="9" width="17" customWidth="1"/>
    <col min="10" max="10" width="10.265625" customWidth="1"/>
    <col min="11" max="11" width="13.73046875" customWidth="1"/>
    <col min="12" max="12" width="20.86328125" bestFit="1" customWidth="1"/>
    <col min="13" max="13" width="31" customWidth="1"/>
  </cols>
  <sheetData>
    <row r="1" spans="2:17" ht="3.75" customHeight="1" thickBot="1"/>
    <row r="2" spans="2:17" ht="22.5" customHeight="1">
      <c r="B2" s="550" t="s">
        <v>0</v>
      </c>
      <c r="C2" s="551" t="s">
        <v>1</v>
      </c>
      <c r="D2" s="562" t="s">
        <v>2</v>
      </c>
      <c r="E2" s="1363" t="e" vm="1">
        <v>#VALUE!</v>
      </c>
      <c r="F2" s="1364"/>
      <c r="G2" s="1364"/>
      <c r="H2" s="1364"/>
      <c r="I2" s="1364"/>
      <c r="J2" s="1364"/>
      <c r="K2" s="1365"/>
      <c r="L2" s="552" t="str" cm="1">
        <f t="array" aca="1" ref="L2" ca="1">_FV(E2,"Abreviatura do câmbio",TRUE)</f>
        <v>XNAS</v>
      </c>
      <c r="M2" s="553" t="s">
        <v>3</v>
      </c>
    </row>
    <row r="3" spans="2:17" ht="26.25" customHeight="1">
      <c r="B3" s="1349"/>
      <c r="C3" s="1350"/>
      <c r="D3" s="1375" t="s">
        <v>4</v>
      </c>
      <c r="E3" s="1375"/>
      <c r="F3" s="1375"/>
      <c r="G3" s="1375"/>
      <c r="H3" s="1376" t="s">
        <v>5</v>
      </c>
      <c r="I3" s="1376"/>
      <c r="J3" s="1377"/>
      <c r="K3" s="1377"/>
      <c r="L3" s="1376"/>
      <c r="M3" s="1378"/>
    </row>
    <row r="4" spans="2:17" ht="13.15">
      <c r="B4" s="1349"/>
      <c r="C4" s="1350"/>
      <c r="D4" s="1374" t="s">
        <v>6</v>
      </c>
      <c r="E4" s="1374"/>
      <c r="F4" s="1374"/>
      <c r="G4" s="1374"/>
      <c r="H4" s="112" t="s">
        <v>7</v>
      </c>
      <c r="I4" s="549" t="s">
        <v>8</v>
      </c>
      <c r="J4" s="1343" t="s">
        <v>9</v>
      </c>
      <c r="K4" s="1344"/>
      <c r="L4" s="1354" t="s">
        <v>10</v>
      </c>
      <c r="M4" s="1355"/>
    </row>
    <row r="5" spans="2:17">
      <c r="B5" s="1349"/>
      <c r="C5" s="1350"/>
      <c r="D5" s="1374"/>
      <c r="E5" s="1374"/>
      <c r="F5" s="1374"/>
      <c r="G5" s="1374"/>
      <c r="H5" s="113" t="s">
        <v>11</v>
      </c>
      <c r="I5" s="312" t="s">
        <v>12</v>
      </c>
      <c r="J5" s="1345" t="s">
        <v>13</v>
      </c>
      <c r="K5" s="1346"/>
      <c r="L5" s="1352" t="s">
        <v>14</v>
      </c>
      <c r="M5" s="1356"/>
    </row>
    <row r="6" spans="2:17" ht="25.5">
      <c r="B6" s="1349"/>
      <c r="C6" s="1350"/>
      <c r="D6" s="1374"/>
      <c r="E6" s="1374"/>
      <c r="F6" s="1374"/>
      <c r="G6" s="1374"/>
      <c r="H6" s="113" t="s">
        <v>15</v>
      </c>
      <c r="I6" s="312" t="s">
        <v>12</v>
      </c>
      <c r="J6" s="1352" t="s">
        <v>13</v>
      </c>
      <c r="K6" s="1353"/>
      <c r="L6" s="1352" t="s">
        <v>16</v>
      </c>
      <c r="M6" s="1356"/>
    </row>
    <row r="7" spans="2:17">
      <c r="B7" s="1349"/>
      <c r="C7" s="1350"/>
      <c r="D7" s="1374"/>
      <c r="E7" s="1374"/>
      <c r="F7" s="1374"/>
      <c r="G7" s="1374"/>
      <c r="H7" s="113" t="s">
        <v>17</v>
      </c>
      <c r="I7" s="312" t="s">
        <v>18</v>
      </c>
      <c r="J7" s="1352" t="s">
        <v>19</v>
      </c>
      <c r="K7" s="1353"/>
      <c r="L7" s="1352" t="s">
        <v>20</v>
      </c>
      <c r="M7" s="1356"/>
    </row>
    <row r="8" spans="2:17">
      <c r="B8" s="1349"/>
      <c r="C8" s="1350"/>
      <c r="D8" s="1374"/>
      <c r="E8" s="1374"/>
      <c r="F8" s="1374"/>
      <c r="G8" s="1374"/>
      <c r="H8" s="113" t="s">
        <v>21</v>
      </c>
      <c r="I8" s="312" t="s">
        <v>18</v>
      </c>
      <c r="J8" s="1352" t="s">
        <v>19</v>
      </c>
      <c r="K8" s="1353"/>
      <c r="L8" s="1352"/>
      <c r="M8" s="1356"/>
    </row>
    <row r="9" spans="2:17">
      <c r="B9" s="1349"/>
      <c r="C9" s="1350"/>
      <c r="D9" s="1374"/>
      <c r="E9" s="1374"/>
      <c r="F9" s="1374"/>
      <c r="G9" s="1374"/>
      <c r="H9" s="113" t="s">
        <v>22</v>
      </c>
      <c r="I9" s="312" t="s">
        <v>12</v>
      </c>
      <c r="J9" s="1352" t="s">
        <v>19</v>
      </c>
      <c r="K9" s="1353"/>
      <c r="L9" s="1352" t="s">
        <v>23</v>
      </c>
      <c r="M9" s="1356"/>
    </row>
    <row r="10" spans="2:17">
      <c r="B10" s="1349"/>
      <c r="C10" s="1350"/>
      <c r="D10" s="1374"/>
      <c r="E10" s="1374"/>
      <c r="F10" s="1374"/>
      <c r="G10" s="1374"/>
      <c r="H10" s="113" t="s">
        <v>24</v>
      </c>
      <c r="I10" s="312" t="s">
        <v>12</v>
      </c>
      <c r="J10" s="1352" t="s">
        <v>19</v>
      </c>
      <c r="K10" s="1353"/>
      <c r="L10" s="1352"/>
      <c r="M10" s="1356"/>
    </row>
    <row r="11" spans="2:17">
      <c r="B11" s="1349"/>
      <c r="C11" s="1350"/>
      <c r="D11" s="1374"/>
      <c r="E11" s="1374"/>
      <c r="F11" s="1374"/>
      <c r="G11" s="1374"/>
      <c r="H11" s="113" t="s">
        <v>25</v>
      </c>
      <c r="I11" s="312" t="s">
        <v>12</v>
      </c>
      <c r="J11" s="1352" t="s">
        <v>19</v>
      </c>
      <c r="K11" s="1353"/>
      <c r="L11" s="1352"/>
      <c r="M11" s="1356"/>
    </row>
    <row r="12" spans="2:17">
      <c r="B12" s="1349"/>
      <c r="C12" s="1350"/>
      <c r="D12" s="1374"/>
      <c r="E12" s="1374"/>
      <c r="F12" s="1374"/>
      <c r="G12" s="1374"/>
      <c r="H12" s="113" t="s">
        <v>26</v>
      </c>
      <c r="I12" s="312" t="s">
        <v>12</v>
      </c>
      <c r="J12" s="1352" t="s">
        <v>19</v>
      </c>
      <c r="K12" s="1353"/>
      <c r="L12" s="1352" t="s">
        <v>27</v>
      </c>
      <c r="M12" s="1356"/>
      <c r="P12" s="320"/>
    </row>
    <row r="13" spans="2:17">
      <c r="B13" s="1349"/>
      <c r="C13" s="1350"/>
      <c r="D13" s="1374"/>
      <c r="E13" s="1374"/>
      <c r="F13" s="1374"/>
      <c r="G13" s="1374"/>
      <c r="H13" s="113" t="s">
        <v>28</v>
      </c>
      <c r="I13" s="312" t="s">
        <v>12</v>
      </c>
      <c r="J13" s="1352" t="s">
        <v>19</v>
      </c>
      <c r="K13" s="1353"/>
      <c r="L13" s="1352" t="s">
        <v>29</v>
      </c>
      <c r="M13" s="1356"/>
    </row>
    <row r="14" spans="2:17" ht="15" customHeight="1">
      <c r="B14" s="1349"/>
      <c r="C14" s="1350"/>
      <c r="D14" s="1374"/>
      <c r="E14" s="1374"/>
      <c r="F14" s="1374"/>
      <c r="G14" s="1374"/>
      <c r="H14" s="113" t="s">
        <v>30</v>
      </c>
      <c r="I14" s="312" t="s">
        <v>12</v>
      </c>
      <c r="J14" s="1352" t="s">
        <v>19</v>
      </c>
      <c r="K14" s="1353"/>
      <c r="L14" s="1352" t="s">
        <v>31</v>
      </c>
      <c r="M14" s="1356"/>
      <c r="Q14" s="263"/>
    </row>
    <row r="15" spans="2:17" ht="16.5" customHeight="1">
      <c r="B15" s="1349"/>
      <c r="C15" s="1350"/>
      <c r="D15" s="1374"/>
      <c r="E15" s="1374"/>
      <c r="F15" s="1374"/>
      <c r="G15" s="1374"/>
      <c r="H15" s="113" t="s">
        <v>32</v>
      </c>
      <c r="I15" s="312" t="s">
        <v>12</v>
      </c>
      <c r="J15" s="1352" t="s">
        <v>19</v>
      </c>
      <c r="K15" s="1353"/>
      <c r="L15" s="1352"/>
      <c r="M15" s="1356"/>
    </row>
    <row r="16" spans="2:17">
      <c r="B16" s="1349"/>
      <c r="C16" s="1350"/>
      <c r="D16" s="1374"/>
      <c r="E16" s="1374"/>
      <c r="F16" s="1374"/>
      <c r="G16" s="1374"/>
      <c r="H16" s="113"/>
      <c r="I16" s="313"/>
      <c r="J16" s="1352"/>
      <c r="K16" s="1353"/>
      <c r="L16" s="1352"/>
      <c r="M16" s="1356"/>
    </row>
    <row r="17" spans="2:13" ht="16.5" customHeight="1">
      <c r="B17" s="1347" t="str" cm="1">
        <f t="array" aca="1" ref="B17" ca="1">_FV(E2,"Moeda")&amp;" MILLIONS"</f>
        <v>USD MILLIONS</v>
      </c>
      <c r="C17" s="1348"/>
      <c r="D17" s="1374"/>
      <c r="E17" s="1374"/>
      <c r="F17" s="1374"/>
      <c r="G17" s="1374"/>
      <c r="H17" s="113"/>
      <c r="I17" s="313"/>
      <c r="J17" s="1352"/>
      <c r="K17" s="1353"/>
      <c r="L17" s="1352"/>
      <c r="M17" s="1356"/>
    </row>
    <row r="18" spans="2:13" ht="17.649999999999999">
      <c r="B18" s="1300" t="s">
        <v>33</v>
      </c>
      <c r="C18" s="1301"/>
      <c r="D18" s="1301"/>
      <c r="E18" s="1301"/>
      <c r="F18" s="1301"/>
      <c r="G18" s="1301"/>
      <c r="H18" s="1301"/>
      <c r="I18" s="1301"/>
      <c r="J18" s="1301"/>
      <c r="K18" s="1301"/>
      <c r="L18" s="1301"/>
      <c r="M18" s="1302"/>
    </row>
    <row r="19" spans="2:13" ht="15">
      <c r="B19" s="1296" t="s">
        <v>34</v>
      </c>
      <c r="C19" s="1297"/>
      <c r="D19" s="1298" t="s">
        <v>35</v>
      </c>
      <c r="E19" s="1299"/>
      <c r="F19" s="1379" t="s">
        <v>36</v>
      </c>
      <c r="G19" s="1380"/>
      <c r="H19" s="1381"/>
      <c r="I19" s="1298" t="str">
        <f>"Profitability ("&amp;J20&amp;")"</f>
        <v>Profitability (2023)</v>
      </c>
      <c r="J19" s="1325"/>
      <c r="K19" s="1299"/>
      <c r="L19" s="1298" t="s">
        <v>37</v>
      </c>
      <c r="M19" s="1351"/>
    </row>
    <row r="20" spans="2:13" ht="13.15">
      <c r="B20" s="554" t="s">
        <v>38</v>
      </c>
      <c r="C20" s="563" cm="1">
        <f t="array" aca="1" ref="C20" ca="1">_FV(E2,"Preço")</f>
        <v>191.11</v>
      </c>
      <c r="D20" s="12" t="s">
        <v>39</v>
      </c>
      <c r="E20" s="123">
        <f>_xlfn.XLOOKUP(D20,'Fin. Data'!A:A,'Fin. Data'!B:B,,0)</f>
        <v>4245460</v>
      </c>
      <c r="F20" s="1366" t="s">
        <v>40</v>
      </c>
      <c r="G20" s="1367"/>
      <c r="H20" s="106" t="s">
        <v>41</v>
      </c>
      <c r="I20" t="s">
        <v>42</v>
      </c>
      <c r="J20" s="1309">
        <v>2023</v>
      </c>
      <c r="K20" s="1310"/>
      <c r="L20" s="11" t="s">
        <v>43</v>
      </c>
      <c r="M20" s="557">
        <f>43.8/55.57</f>
        <v>0.78819506928198668</v>
      </c>
    </row>
    <row r="21" spans="2:13" ht="12.75" customHeight="1">
      <c r="B21" s="554" t="s">
        <v>44</v>
      </c>
      <c r="C21" s="731" cm="1">
        <f t="array" aca="1" ref="C21" ca="1">_FV(E2,"Ações em circulação",TRUE)/1000</f>
        <v>55887.21</v>
      </c>
      <c r="D21" s="11" t="s">
        <v>45</v>
      </c>
      <c r="E21" s="123">
        <f>_xlfn.XLOOKUP(D21,'Fin. Data'!A:A,'Fin. Data'!B:B,,0)</f>
        <v>3212396</v>
      </c>
      <c r="F21" s="1313" t="s">
        <v>46</v>
      </c>
      <c r="G21" s="1314"/>
      <c r="H21" s="16">
        <f>Segments!B5</f>
        <v>1</v>
      </c>
      <c r="I21" s="11" t="s">
        <v>47</v>
      </c>
      <c r="J21" s="1369">
        <v>45291</v>
      </c>
      <c r="K21" s="1370"/>
      <c r="L21" s="11" t="s">
        <v>48</v>
      </c>
      <c r="M21" s="557">
        <v>0.21029999999999999</v>
      </c>
    </row>
    <row r="22" spans="2:13" ht="12.75" customHeight="1">
      <c r="B22" s="554" t="s">
        <v>49</v>
      </c>
      <c r="C22" s="52">
        <f ca="1">C20*C21</f>
        <v>10680604.703100001</v>
      </c>
      <c r="D22" s="11" t="s">
        <v>50</v>
      </c>
      <c r="E22" s="300">
        <f ca="1">_xlfn.XLOOKUP("Cash &amp; Eq.",'Fin. Data'!A:A,'Fin. Data'!B:B,,0)*1000000/C21/1000000</f>
        <v>7.1896772087924949</v>
      </c>
      <c r="F22" s="1313" t="s">
        <v>51</v>
      </c>
      <c r="G22" s="1314"/>
      <c r="H22" s="16" t="str">
        <f>Segments!B6</f>
        <v>-</v>
      </c>
      <c r="I22" s="1333" t="s">
        <v>52</v>
      </c>
      <c r="J22" s="1333"/>
      <c r="K22" s="123">
        <f>_xlfn.XLOOKUP(I22,'Fin. Data'!A:A,'Fin. Data'!B:B,,0)</f>
        <v>319597</v>
      </c>
      <c r="L22" s="8" t="s">
        <v>53</v>
      </c>
      <c r="M22" s="556" cm="1">
        <f t="array" aca="1" ref="M22" ca="1">IF(_FV(E2,"Beta") &lt;&gt; "",_FV(E2,"Beta"),"")</f>
        <v>0.57779999999999998</v>
      </c>
    </row>
    <row r="23" spans="2:13" ht="12.75" customHeight="1">
      <c r="B23" s="555" t="s">
        <v>54</v>
      </c>
      <c r="C23" s="52">
        <f>'Fin. Data'!B59</f>
        <v>205125</v>
      </c>
      <c r="D23" s="11" t="s">
        <v>55</v>
      </c>
      <c r="E23" s="300" t="str">
        <f>IFERROR(_xlfn.XLOOKUP("EBITDA",'Fin. Data'!A:A,'Fin. Data'!B:B,,0)/_xlfn.XLOOKUP("Net Financial Cost",'Fin. Data'!A:A,'Fin. Data'!B:B,,0),"")</f>
        <v/>
      </c>
      <c r="F23" s="1313" t="s">
        <v>51</v>
      </c>
      <c r="G23" s="1314"/>
      <c r="H23" s="16" t="str">
        <f>Segments!B7</f>
        <v>-</v>
      </c>
      <c r="I23" s="1371" t="s">
        <v>56</v>
      </c>
      <c r="J23" s="1371"/>
      <c r="K23" s="123">
        <f>_xlfn.XLOOKUP(I23,'Fin. Data'!A:A,'Fin. Data'!B:B,,0)</f>
        <v>76426</v>
      </c>
      <c r="L23" s="11" t="s">
        <v>57</v>
      </c>
      <c r="M23" s="556" t="s">
        <v>58</v>
      </c>
    </row>
    <row r="24" spans="2:13" ht="12.75" customHeight="1">
      <c r="B24" s="555" t="s">
        <v>59</v>
      </c>
      <c r="C24" s="52">
        <f>'Fin. Data'!B39</f>
        <v>401811</v>
      </c>
      <c r="D24" s="11" t="s">
        <v>60</v>
      </c>
      <c r="E24" s="300">
        <f>IFERROR(_xlfn.XLOOKUP("Total Debt",'Fin. Data'!A:A,'Fin. Data'!B:B,,0)/_xlfn.XLOOKUP("EBITDA",'Fin. Data'!A:A,'Fin. Data'!B:B,,0),"")</f>
        <v>0.64182392200177096</v>
      </c>
      <c r="F24" s="1313" t="s">
        <v>51</v>
      </c>
      <c r="G24" s="1314"/>
      <c r="H24" s="42" t="str">
        <f>Segments!B8</f>
        <v>-</v>
      </c>
      <c r="I24" s="1371" t="s">
        <v>61</v>
      </c>
      <c r="J24" s="1371"/>
      <c r="K24" s="123">
        <f>_xlfn.XLOOKUP(I24,'Fin. Data'!A:A,'Fin. Data'!B:B,,0)</f>
        <v>243171</v>
      </c>
      <c r="L24" s="11" t="s">
        <v>62</v>
      </c>
      <c r="M24" s="556">
        <f ca="1">IFERROR((C20*C21/(E20-E21)),"")</f>
        <v>10.338763816278567</v>
      </c>
    </row>
    <row r="25" spans="2:13" ht="12.75" customHeight="1">
      <c r="B25" s="555" t="s">
        <v>63</v>
      </c>
      <c r="C25" s="52">
        <f ca="1">C22+C23-C24</f>
        <v>10483918.703100001</v>
      </c>
      <c r="D25" s="11" t="s">
        <v>64</v>
      </c>
      <c r="E25" s="300">
        <f>IFERROR(_xlfn.XLOOKUP("Other Assets",'Fin. Data'!A:A,'Fin. Data'!B:B,,0)/_xlfn.XLOOKUP("Total Assets",'Fin. Data'!A:A,'Fin. Data'!B:B,,0),"")</f>
        <v>0.87533977472405822</v>
      </c>
      <c r="F25" s="1313" t="s">
        <v>51</v>
      </c>
      <c r="G25" s="1314"/>
      <c r="H25" s="42" t="str">
        <f>Segments!B9</f>
        <v>-</v>
      </c>
      <c r="I25" s="1333" t="s">
        <v>65</v>
      </c>
      <c r="J25" s="1333"/>
      <c r="K25" s="123">
        <f>_xlfn.XLOOKUP(I25,'Fin. Data'!A:A,'Fin. Data'!B:B,,0)</f>
        <v>206766</v>
      </c>
      <c r="L25" s="11" t="s">
        <v>66</v>
      </c>
      <c r="M25" s="557">
        <f>IFERROR(K31/E20,"")</f>
        <v>3.8883890084937794E-3</v>
      </c>
    </row>
    <row r="26" spans="2:13" ht="12.75" customHeight="1">
      <c r="B26" s="555" t="s">
        <v>67</v>
      </c>
      <c r="C26" s="125" t="s">
        <v>51</v>
      </c>
      <c r="D26" s="11" t="s">
        <v>68</v>
      </c>
      <c r="E26" s="300">
        <f>_xlfn.XLOOKUP(D26,'Fin. Data'!A:A,'Fin. Data'!B:B,,0)</f>
        <v>4.83163190796757E-2</v>
      </c>
      <c r="F26" s="1343" t="s">
        <v>69</v>
      </c>
      <c r="G26" s="1368"/>
      <c r="H26" s="107" t="s">
        <v>41</v>
      </c>
      <c r="I26" s="1333" t="s">
        <v>70</v>
      </c>
      <c r="J26" s="1333"/>
      <c r="K26" s="70">
        <f ca="1">K25/C21</f>
        <v>3.699701595409755</v>
      </c>
      <c r="L26" s="11" t="s">
        <v>71</v>
      </c>
      <c r="M26" s="558">
        <f ca="1">IFERROR(C22/K30,"")</f>
        <v>73.093915137613649</v>
      </c>
    </row>
    <row r="27" spans="2:13" ht="12.75" customHeight="1">
      <c r="B27" s="554" t="s">
        <v>72</v>
      </c>
      <c r="C27" s="126" t="s">
        <v>51</v>
      </c>
      <c r="D27" s="11" t="s">
        <v>73</v>
      </c>
      <c r="E27" s="124">
        <f>IFERROR(AVERAGE(_xlfn.XLOOKUP("EBITDA Margin",'Fin. Data'!A:A,'Fin. Data'!B:D,,0)),"")</f>
        <v>0.18929961257464498</v>
      </c>
      <c r="F27" s="1372" t="str">
        <f>Segments!C18</f>
        <v>Cloud-based software Solution</v>
      </c>
      <c r="G27" s="1373"/>
      <c r="H27" s="16">
        <f>Segments!B18</f>
        <v>1</v>
      </c>
      <c r="I27" s="1333" t="s">
        <v>74</v>
      </c>
      <c r="J27" s="1333"/>
      <c r="K27" s="71">
        <f>IFERROR(K25/E20,"")</f>
        <v>4.8702849632313104E-2</v>
      </c>
      <c r="L27" s="11" t="s">
        <v>75</v>
      </c>
      <c r="M27" s="559">
        <f ca="1">IFERROR(C25/E20,"")</f>
        <v>2.4694423462004123</v>
      </c>
    </row>
    <row r="28" spans="2:13" ht="12.75" customHeight="1">
      <c r="B28" s="554" t="s">
        <v>76</v>
      </c>
      <c r="C28" s="17">
        <v>3.78E-2</v>
      </c>
      <c r="D28" s="11" t="s">
        <v>77</v>
      </c>
      <c r="E28" s="124">
        <f>IFERROR(AVERAGE(_xlfn.XLOOKUP("Operating Margin",'Fin. Data'!A:A,'Fin. Data'!B:D,,0)),"")</f>
        <v>0.13888089077850865</v>
      </c>
      <c r="F28" s="1313" t="s">
        <v>51</v>
      </c>
      <c r="G28" s="1314"/>
      <c r="H28" s="16" t="str">
        <f>Segments!B20</f>
        <v>-</v>
      </c>
      <c r="I28" s="1333" t="s">
        <v>78</v>
      </c>
      <c r="J28" s="1333"/>
      <c r="K28" s="71">
        <f>IFERROR(Peers!C18,"")</f>
        <v>0.22702225172519128</v>
      </c>
      <c r="L28" s="11" t="s">
        <v>79</v>
      </c>
      <c r="M28" s="559">
        <f ca="1">IFERROR(C25/K29,"")</f>
        <v>47.103916534573401</v>
      </c>
    </row>
    <row r="29" spans="2:13" ht="15">
      <c r="B29" s="1296" t="s">
        <v>80</v>
      </c>
      <c r="C29" s="1297"/>
      <c r="D29" s="11" t="s">
        <v>81</v>
      </c>
      <c r="E29" s="124">
        <f>IFERROR(AVERAGE(_xlfn.XLOOKUP("Net Income Margin",'Fin. Data'!A:A,'Fin. Data'!B:D,,0)),"")</f>
        <v>0.12459303873966464</v>
      </c>
      <c r="F29" s="1313" t="s">
        <v>51</v>
      </c>
      <c r="G29" s="1314"/>
      <c r="H29" s="16" t="str">
        <f>Segments!B21</f>
        <v>-</v>
      </c>
      <c r="I29" s="1332" t="s">
        <v>82</v>
      </c>
      <c r="J29" s="1332"/>
      <c r="K29" s="523">
        <f>AVERAGE(_xlfn.XLOOKUP("EBITDA",'Fin. Data'!A:A,'Fin. Data'!B:D,,0))</f>
        <v>222570</v>
      </c>
      <c r="L29" s="11" t="s">
        <v>83</v>
      </c>
      <c r="M29" s="558">
        <f ca="1">IFERROR(C22/K31,"")</f>
        <v>646.99568106978438</v>
      </c>
    </row>
    <row r="30" spans="2:13" ht="12.75" customHeight="1">
      <c r="B30" s="560" t="s">
        <v>84</v>
      </c>
      <c r="C30" s="1205"/>
      <c r="D30" s="561"/>
      <c r="E30" s="131"/>
      <c r="F30" s="1313" t="s">
        <v>51</v>
      </c>
      <c r="G30" s="1314"/>
      <c r="H30" s="16" t="str">
        <f>Segments!B22</f>
        <v>-</v>
      </c>
      <c r="I30" s="1333" t="s">
        <v>85</v>
      </c>
      <c r="J30" s="1333"/>
      <c r="K30" s="123">
        <f>AVERAGE(_xlfn.XLOOKUP("Net Income",'Fin. Data'!A:A,'Fin. Data'!B:D,,0))</f>
        <v>146121.66666666666</v>
      </c>
      <c r="L30" s="11" t="s">
        <v>86</v>
      </c>
      <c r="M30" s="558" t="s">
        <v>51</v>
      </c>
    </row>
    <row r="31" spans="2:13" ht="12.75" customHeight="1">
      <c r="B31" s="560" t="s">
        <v>87</v>
      </c>
      <c r="C31" s="1206"/>
      <c r="D31" s="11" t="s">
        <v>88</v>
      </c>
      <c r="E31" s="378">
        <f>IFERROR(-_xlfn.XLOOKUP("Net Financial Cost",'Fin. Data'!A:A,'Fin. Data'!B:B,,0)/AVERAGE(_xlfn.XLOOKUP("Net Debt",'Fin. Data'!A:A,'Fin. Data'!B:D,,0)),"")</f>
        <v>0</v>
      </c>
      <c r="F31" s="1313" t="s">
        <v>51</v>
      </c>
      <c r="G31" s="1314"/>
      <c r="H31" s="16" t="str">
        <f>Segments!B23</f>
        <v>-</v>
      </c>
      <c r="I31" s="1333" t="s">
        <v>89</v>
      </c>
      <c r="J31" s="1333"/>
      <c r="K31" s="123">
        <f>AVERAGE(_xlfn.XLOOKUP("Net Cash Flow",'Fin. Data'!A:A,'Fin. Data'!B:D,,0))</f>
        <v>16508</v>
      </c>
      <c r="L31" s="11" t="s">
        <v>90</v>
      </c>
      <c r="M31" s="557">
        <f ca="1">-IFERROR(SUM(E52:E54)/(3*C22),"")</f>
        <v>4.6813828795187699E-3</v>
      </c>
    </row>
    <row r="32" spans="2:13" ht="12.75" customHeight="1">
      <c r="B32" s="560" t="s">
        <v>91</v>
      </c>
      <c r="C32" s="1206"/>
      <c r="D32" s="128"/>
      <c r="E32" s="130"/>
      <c r="F32" s="1311"/>
      <c r="G32" s="1312"/>
      <c r="H32" s="18"/>
      <c r="I32" s="128"/>
      <c r="J32" s="129"/>
      <c r="K32" s="129"/>
      <c r="L32" s="11" t="s">
        <v>92</v>
      </c>
      <c r="M32" s="564">
        <f ca="1">-IFERROR(L53/C22,"")</f>
        <v>0</v>
      </c>
    </row>
    <row r="33" spans="1:19" ht="18" thickBot="1">
      <c r="B33" s="1303" t="s">
        <v>93</v>
      </c>
      <c r="C33" s="1304"/>
      <c r="D33" s="1304"/>
      <c r="E33" s="1304"/>
      <c r="F33" s="1304"/>
      <c r="G33" s="1304"/>
      <c r="H33" s="1304"/>
      <c r="I33" s="1304"/>
      <c r="J33" s="1304"/>
      <c r="K33" s="1304"/>
      <c r="L33" s="1304"/>
      <c r="M33" s="1305"/>
    </row>
    <row r="34" spans="1:19" ht="15.4" thickBot="1">
      <c r="B34" s="1323" t="s">
        <v>94</v>
      </c>
      <c r="C34" s="1324"/>
      <c r="D34" s="1324"/>
      <c r="E34" s="1324"/>
      <c r="F34" s="1324"/>
      <c r="G34" s="1324"/>
      <c r="H34" s="381" t="s">
        <v>95</v>
      </c>
      <c r="I34" s="1334" t="s">
        <v>96</v>
      </c>
      <c r="J34" s="1335"/>
      <c r="K34" s="1335"/>
      <c r="L34" s="1335"/>
      <c r="M34" s="1336"/>
      <c r="N34" s="10"/>
    </row>
    <row r="35" spans="1:19" ht="13.5" customHeight="1">
      <c r="A35" s="10"/>
      <c r="B35" s="382" t="s">
        <v>97</v>
      </c>
      <c r="C35" s="1273" t="s">
        <v>98</v>
      </c>
      <c r="D35" s="1274"/>
      <c r="E35" s="1274"/>
      <c r="F35" s="1274"/>
      <c r="G35" s="1275"/>
      <c r="H35" s="1315" t="s">
        <v>99</v>
      </c>
      <c r="I35" s="1386" t="s">
        <v>100</v>
      </c>
      <c r="J35" s="1387"/>
      <c r="K35" s="1387"/>
      <c r="L35" s="1387"/>
      <c r="M35" s="1388"/>
    </row>
    <row r="36" spans="1:19" ht="24.75" customHeight="1" thickBot="1">
      <c r="A36" s="10"/>
      <c r="B36" s="383" t="s">
        <v>101</v>
      </c>
      <c r="C36" s="1276" t="s">
        <v>102</v>
      </c>
      <c r="D36" s="1277"/>
      <c r="E36" s="1277"/>
      <c r="F36" s="1277"/>
      <c r="G36" s="1278"/>
      <c r="H36" s="1315"/>
      <c r="I36" s="1389"/>
      <c r="J36" s="1390"/>
      <c r="K36" s="1390"/>
      <c r="L36" s="1390"/>
      <c r="M36" s="1391"/>
    </row>
    <row r="37" spans="1:19" ht="24.75" customHeight="1" thickBot="1">
      <c r="A37" s="10"/>
      <c r="B37" s="383" t="s">
        <v>103</v>
      </c>
      <c r="C37" s="1276" t="s">
        <v>104</v>
      </c>
      <c r="D37" s="1277"/>
      <c r="E37" s="1277"/>
      <c r="F37" s="1277"/>
      <c r="G37" s="1278"/>
      <c r="H37" s="1315"/>
      <c r="I37" s="1389"/>
      <c r="J37" s="1390"/>
      <c r="K37" s="1390"/>
      <c r="L37" s="1390"/>
      <c r="M37" s="1391"/>
    </row>
    <row r="38" spans="1:19" ht="24.75" customHeight="1" thickBot="1">
      <c r="B38" s="384" t="s">
        <v>105</v>
      </c>
      <c r="C38" s="1317" t="s">
        <v>106</v>
      </c>
      <c r="D38" s="1318"/>
      <c r="E38" s="1318"/>
      <c r="F38" s="1318"/>
      <c r="G38" s="1319"/>
      <c r="H38" s="1316"/>
      <c r="I38" s="1392"/>
      <c r="J38" s="1393"/>
      <c r="K38" s="1393"/>
      <c r="L38" s="1393"/>
      <c r="M38" s="1394"/>
    </row>
    <row r="39" spans="1:19" ht="15.4" thickBot="1">
      <c r="B39" s="1337" t="s">
        <v>107</v>
      </c>
      <c r="C39" s="1338"/>
      <c r="D39" s="1338"/>
      <c r="E39" s="1338"/>
      <c r="F39" s="1338"/>
      <c r="G39" s="1339"/>
      <c r="H39" s="385" t="s">
        <v>108</v>
      </c>
      <c r="I39" s="1294" t="s">
        <v>109</v>
      </c>
      <c r="J39" s="1294"/>
      <c r="K39" s="1294"/>
      <c r="L39" s="1294"/>
      <c r="M39" s="1295"/>
    </row>
    <row r="40" spans="1:19" ht="13.5" customHeight="1" thickBot="1">
      <c r="B40" s="386" t="s">
        <v>110</v>
      </c>
      <c r="C40" s="1340" t="s">
        <v>98</v>
      </c>
      <c r="D40" s="1341"/>
      <c r="E40" s="1341"/>
      <c r="F40" s="1341"/>
      <c r="G40" s="1342"/>
      <c r="H40" s="1306">
        <f ca="1">IFERROR(DCF!D75,"")</f>
        <v>285.8752437225578</v>
      </c>
      <c r="I40" s="1279" t="s">
        <v>111</v>
      </c>
      <c r="J40" s="1281">
        <f>DCF!F50</f>
        <v>9.6000000000000002E-2</v>
      </c>
      <c r="K40" s="1282"/>
      <c r="L40" s="1287" t="s">
        <v>112</v>
      </c>
      <c r="M40" s="1291" t="str">
        <f>IFERROR(#REF!,"")</f>
        <v/>
      </c>
    </row>
    <row r="41" spans="1:19" ht="13.5" customHeight="1" thickBot="1">
      <c r="B41" s="383" t="s">
        <v>113</v>
      </c>
      <c r="C41" s="1320" t="s">
        <v>114</v>
      </c>
      <c r="D41" s="1321"/>
      <c r="E41" s="1321"/>
      <c r="F41" s="1321"/>
      <c r="G41" s="1322"/>
      <c r="H41" s="1307"/>
      <c r="I41" s="1280"/>
      <c r="J41" s="1283"/>
      <c r="K41" s="1284"/>
      <c r="L41" s="1288"/>
      <c r="M41" s="1292"/>
    </row>
    <row r="42" spans="1:19" ht="13.5" customHeight="1" thickBot="1">
      <c r="B42" s="387" t="s">
        <v>115</v>
      </c>
      <c r="C42" s="1329" t="s">
        <v>116</v>
      </c>
      <c r="D42" s="1330"/>
      <c r="E42" s="1330"/>
      <c r="F42" s="1330"/>
      <c r="G42" s="1331"/>
      <c r="H42" s="1307"/>
      <c r="I42" s="1279" t="s">
        <v>117</v>
      </c>
      <c r="J42" s="1285">
        <f ca="1">IFERROR(DCF!D74,"")</f>
        <v>0.49586753033623454</v>
      </c>
      <c r="K42" s="1286"/>
      <c r="L42" s="1289" t="s">
        <v>118</v>
      </c>
      <c r="M42" s="1293" t="str">
        <f>IFERROR(#REF!,"")</f>
        <v/>
      </c>
    </row>
    <row r="43" spans="1:19" ht="12.75" customHeight="1" thickBot="1">
      <c r="B43" s="388" t="s">
        <v>119</v>
      </c>
      <c r="C43" s="1326" t="s">
        <v>120</v>
      </c>
      <c r="D43" s="1327"/>
      <c r="E43" s="1327"/>
      <c r="F43" s="1327"/>
      <c r="G43" s="1328"/>
      <c r="H43" s="1308"/>
      <c r="I43" s="1280"/>
      <c r="J43" s="1283"/>
      <c r="K43" s="1284"/>
      <c r="L43" s="1290"/>
      <c r="M43" s="1292"/>
    </row>
    <row r="44" spans="1:19" ht="17.649999999999999">
      <c r="B44" s="1358" t="s">
        <v>121</v>
      </c>
      <c r="C44" s="1301"/>
      <c r="D44" s="1301"/>
      <c r="E44" s="1301"/>
      <c r="F44" s="1301"/>
      <c r="G44" s="1301"/>
      <c r="H44" s="1301"/>
      <c r="I44" s="1301"/>
      <c r="J44" s="1301"/>
      <c r="K44" s="1301"/>
      <c r="L44" s="1301"/>
      <c r="M44" s="1359"/>
    </row>
    <row r="45" spans="1:19" ht="13.15">
      <c r="B45" s="499" t="s">
        <v>122</v>
      </c>
      <c r="C45" s="114" t="s">
        <v>123</v>
      </c>
      <c r="D45" s="114" t="s">
        <v>124</v>
      </c>
      <c r="E45" s="135" t="s">
        <v>125</v>
      </c>
      <c r="F45" s="114" t="s">
        <v>126</v>
      </c>
      <c r="G45" s="114" t="s">
        <v>68</v>
      </c>
      <c r="H45" s="134" t="s">
        <v>56</v>
      </c>
      <c r="I45" s="134" t="s">
        <v>127</v>
      </c>
      <c r="J45" s="1249" t="s">
        <v>128</v>
      </c>
      <c r="K45" s="1249"/>
      <c r="L45" s="1249"/>
      <c r="M45" s="1395"/>
    </row>
    <row r="46" spans="1:19" ht="13.15">
      <c r="B46" s="500">
        <f t="shared" ref="B46:B52" si="0">B47-1</f>
        <v>2015</v>
      </c>
      <c r="C46" s="133" cm="1">
        <f t="array" ref="C46:C54">_xlfn.SORTBY(TRANSPOSE(_xlfn.XLOOKUP(C$45,'Fin. Data'!$A:$A,'Fin. Data'!$B:$J,,0)),$B$46:$B$54,-1)</f>
        <v>230701</v>
      </c>
      <c r="D46" s="109" cm="1">
        <f t="array" ref="D46:D54">_xlfn.SORTBY(TRANSPOSE(_xlfn.XLOOKUP(D$45,'Fin. Data'!$A:$A,'Fin. Data'!$B:$J,,0)),$B$46:$B$54,-1)</f>
        <v>-1.5387883017412148E-2</v>
      </c>
      <c r="E46" s="133" cm="1">
        <f t="array" ref="E46:E54">_xlfn.SORTBY(TRANSPOSE(_xlfn.XLOOKUP(E$45,'Fin. Data'!$A:$A,'Fin. Data'!$B:$J,,0)),$B$46:$B$54,-1)</f>
        <v>0</v>
      </c>
      <c r="F46" s="132">
        <f>Inputs!J77</f>
        <v>-640367</v>
      </c>
      <c r="G46" s="109" cm="1">
        <f t="array" ref="G46:G54">_xlfn.SORTBY(TRANSPOSE(_xlfn.XLOOKUP(G$45,'Fin. Data'!$A:$A,'Fin. Data'!$B:$J,,0)),$B$46:$B$54,-1)</f>
        <v>1.7961600329045532E-2</v>
      </c>
      <c r="H46" s="133" cm="1">
        <f t="array" ref="H46:H54">_xlfn.SORTBY(TRANSPOSE(_xlfn.XLOOKUP(H$45,'Fin. Data'!$A:$A,'Fin. Data'!$B:$J,,0)),$B$46:$B$54,-1)</f>
        <v>13873</v>
      </c>
      <c r="I46" s="133" cm="1">
        <f t="array" ref="I46:I54">_xlfn.SORTBY(TRANSPOSE(_xlfn.XLOOKUP(I$45,'Fin. Data'!$A:$A,'Fin. Data'!$B:$J,,0)),$B$46:$B$54,-1)</f>
        <v>-8874</v>
      </c>
      <c r="J46" s="323"/>
      <c r="K46" s="128"/>
      <c r="L46" s="110">
        <f>J20</f>
        <v>2023</v>
      </c>
      <c r="M46" s="325">
        <f>L46-1</f>
        <v>2022</v>
      </c>
    </row>
    <row r="47" spans="1:19" ht="13.15">
      <c r="B47" s="500">
        <f t="shared" si="0"/>
        <v>2016</v>
      </c>
      <c r="C47" s="133">
        <v>300010</v>
      </c>
      <c r="D47" s="108">
        <v>2.4319189360354654E-2</v>
      </c>
      <c r="E47" s="133">
        <v>0</v>
      </c>
      <c r="F47" s="132">
        <f>Inputs!I77</f>
        <v>321319</v>
      </c>
      <c r="G47" s="109">
        <v>2.6639623505746671E-2</v>
      </c>
      <c r="H47" s="133">
        <v>21027</v>
      </c>
      <c r="I47" s="133">
        <v>-13641</v>
      </c>
      <c r="J47" s="1382" t="s">
        <v>65</v>
      </c>
      <c r="K47" s="1383"/>
      <c r="L47" s="52">
        <f>_xlfn.XLOOKUP($J47,'Fin. Data'!$A:$A,'Fin. Data'!B:B,,0)</f>
        <v>206766</v>
      </c>
      <c r="M47" s="356">
        <f>_xlfn.XLOOKUP($J47,'Fin. Data'!$A:$A,'Fin. Data'!C:C,,0)</f>
        <v>140822</v>
      </c>
      <c r="N47" s="21">
        <f t="shared" ref="N47:N55" si="1">(C47/C46)-1</f>
        <v>0.30042782649403343</v>
      </c>
      <c r="O47" s="21">
        <f t="shared" ref="O47:O55" si="2">(D47/D46)-1</f>
        <v>-2.5804116351051212</v>
      </c>
      <c r="P47" s="20"/>
      <c r="Q47" s="19"/>
      <c r="R47" s="19"/>
      <c r="S47" s="19"/>
    </row>
    <row r="48" spans="1:19" ht="13.15">
      <c r="B48" s="500">
        <f t="shared" si="0"/>
        <v>2017</v>
      </c>
      <c r="C48" s="133">
        <v>377527</v>
      </c>
      <c r="D48" s="108">
        <v>4.2245985055373525E-2</v>
      </c>
      <c r="E48" s="133">
        <v>0</v>
      </c>
      <c r="F48" s="132">
        <f>Inputs!H77</f>
        <v>-81413</v>
      </c>
      <c r="G48" s="109">
        <v>2.8018723811835906E-2</v>
      </c>
      <c r="H48" s="133">
        <v>30202</v>
      </c>
      <c r="I48" s="133">
        <v>-145849</v>
      </c>
      <c r="J48" s="1382" t="s">
        <v>129</v>
      </c>
      <c r="K48" s="1383"/>
      <c r="L48" s="52">
        <f>_xlfn.XLOOKUP($J48,'Fin. Data'!$A:$A,'Fin. Data'!B:B,,0)</f>
        <v>384670</v>
      </c>
      <c r="M48" s="356">
        <f>_xlfn.XLOOKUP($J48,'Fin. Data'!$A:$A,'Fin. Data'!C:C,,0)</f>
        <v>282723</v>
      </c>
      <c r="N48" s="21">
        <f t="shared" si="1"/>
        <v>0.25838138728709037</v>
      </c>
      <c r="O48" s="21">
        <f t="shared" si="2"/>
        <v>0.73714610423007287</v>
      </c>
      <c r="P48" s="20"/>
      <c r="Q48" s="19">
        <f t="shared" ref="Q48:Q54" si="3">F48/F47-1</f>
        <v>-1.2533712603363014</v>
      </c>
      <c r="R48" s="19">
        <f t="shared" ref="R48:S54" si="4">H48/H47-1</f>
        <v>0.43634374851381552</v>
      </c>
      <c r="S48" s="19">
        <f t="shared" si="4"/>
        <v>9.6919580675903525</v>
      </c>
    </row>
    <row r="49" spans="2:19" ht="13.15">
      <c r="B49" s="500">
        <f t="shared" si="0"/>
        <v>2018</v>
      </c>
      <c r="C49" s="133">
        <v>467633</v>
      </c>
      <c r="D49" s="108">
        <v>0.12023103587642446</v>
      </c>
      <c r="E49" s="133">
        <v>-34991</v>
      </c>
      <c r="F49" s="132">
        <f>Inputs!G77</f>
        <v>36697</v>
      </c>
      <c r="G49" s="109">
        <v>3.1943949386371281E-2</v>
      </c>
      <c r="H49" s="133">
        <v>34594</v>
      </c>
      <c r="I49" s="133">
        <v>-24584</v>
      </c>
      <c r="J49" s="1382" t="s">
        <v>130</v>
      </c>
      <c r="K49" s="1383"/>
      <c r="L49" s="52">
        <f>_xlfn.XLOOKUP($J49,'Fin. Data'!$A:$A,'Fin. Data'!B:B,,0)</f>
        <v>-101891</v>
      </c>
      <c r="M49" s="356">
        <f>_xlfn.XLOOKUP($J49,'Fin. Data'!$A:$A,'Fin. Data'!C:C,,0)</f>
        <v>-220162</v>
      </c>
      <c r="N49" s="21">
        <f t="shared" si="1"/>
        <v>0.23867431998241195</v>
      </c>
      <c r="O49" s="21">
        <f t="shared" si="2"/>
        <v>1.8459754392951844</v>
      </c>
      <c r="P49" s="20"/>
      <c r="Q49" s="19">
        <f t="shared" si="3"/>
        <v>-1.4507511085453184</v>
      </c>
      <c r="R49" s="19">
        <f t="shared" si="4"/>
        <v>0.14542083305741338</v>
      </c>
      <c r="S49" s="19">
        <f t="shared" si="4"/>
        <v>-0.83144210793354767</v>
      </c>
    </row>
    <row r="50" spans="2:19" ht="13.15">
      <c r="B50" s="500">
        <f t="shared" si="0"/>
        <v>2019</v>
      </c>
      <c r="C50" s="133">
        <v>561329</v>
      </c>
      <c r="D50" s="108">
        <v>0.11788273899976663</v>
      </c>
      <c r="E50" s="133">
        <v>0</v>
      </c>
      <c r="F50" s="132">
        <f>Inputs!F77</f>
        <v>163898</v>
      </c>
      <c r="G50" s="109">
        <v>0.12750497570566385</v>
      </c>
      <c r="H50" s="133">
        <v>37913</v>
      </c>
      <c r="I50" s="133">
        <v>-32179</v>
      </c>
      <c r="J50" s="1384" t="s">
        <v>131</v>
      </c>
      <c r="K50" s="1385"/>
      <c r="L50" s="52">
        <f>_xlfn.XLOOKUP($J50,'Fin. Data'!$A:$A,'Fin. Data'!B:B,,0)</f>
        <v>-60726</v>
      </c>
      <c r="M50" s="356">
        <f>_xlfn.XLOOKUP($J50,'Fin. Data'!$A:$A,'Fin. Data'!C:C,,0)</f>
        <v>-45004</v>
      </c>
      <c r="N50" s="21">
        <f t="shared" si="1"/>
        <v>0.20036224988399032</v>
      </c>
      <c r="O50" s="21">
        <f t="shared" si="2"/>
        <v>-1.9531536591529064E-2</v>
      </c>
      <c r="P50" s="20"/>
      <c r="Q50" s="19">
        <f t="shared" si="3"/>
        <v>3.4662506471918686</v>
      </c>
      <c r="R50" s="19">
        <f t="shared" si="4"/>
        <v>9.5941492744406442E-2</v>
      </c>
      <c r="S50" s="19">
        <f t="shared" si="4"/>
        <v>0.30894077448747148</v>
      </c>
    </row>
    <row r="51" spans="2:19" ht="13.15">
      <c r="B51" s="500">
        <f t="shared" si="0"/>
        <v>2020</v>
      </c>
      <c r="C51" s="133">
        <v>635627</v>
      </c>
      <c r="D51" s="108">
        <v>9.131613351855726E-2</v>
      </c>
      <c r="E51" s="133">
        <v>0</v>
      </c>
      <c r="F51" s="132">
        <f>Inputs!E77</f>
        <v>73270</v>
      </c>
      <c r="G51" s="109">
        <v>7.0525097468409473E-2</v>
      </c>
      <c r="H51" s="133">
        <v>42972</v>
      </c>
      <c r="I51" s="133">
        <v>57881</v>
      </c>
      <c r="J51" s="1384" t="s">
        <v>132</v>
      </c>
      <c r="K51" s="1385"/>
      <c r="L51" s="52">
        <f>_xlfn.XLOOKUP($J51,'Fin. Data'!$A:$A,'Fin. Data'!B:B,,0)</f>
        <v>-22058</v>
      </c>
      <c r="M51" s="356">
        <f>_xlfn.XLOOKUP($J51,'Fin. Data'!$A:$A,'Fin. Data'!C:C,,0)</f>
        <v>-152144</v>
      </c>
      <c r="N51" s="21">
        <f t="shared" si="1"/>
        <v>0.1323608792704456</v>
      </c>
      <c r="O51" s="21">
        <f t="shared" si="2"/>
        <v>-0.22536467770113455</v>
      </c>
      <c r="P51" s="20"/>
      <c r="Q51" s="19">
        <f t="shared" si="3"/>
        <v>-0.55295366630465281</v>
      </c>
      <c r="R51" s="19">
        <f t="shared" si="4"/>
        <v>0.13343707962967843</v>
      </c>
      <c r="S51" s="19">
        <f t="shared" si="4"/>
        <v>-2.7987196618912957</v>
      </c>
    </row>
    <row r="52" spans="2:19" ht="13.15">
      <c r="B52" s="500">
        <f t="shared" si="0"/>
        <v>2021</v>
      </c>
      <c r="C52" s="133">
        <v>852651</v>
      </c>
      <c r="D52" s="108">
        <v>9.9212925335219221E-2</v>
      </c>
      <c r="E52" s="133">
        <v>0</v>
      </c>
      <c r="F52" s="132">
        <f>Inputs!D77</f>
        <v>-324721</v>
      </c>
      <c r="G52" s="109">
        <v>4.0237562211297366E-2</v>
      </c>
      <c r="H52" s="133">
        <v>50218</v>
      </c>
      <c r="I52" s="133">
        <v>-459205</v>
      </c>
      <c r="J52" s="1382" t="s">
        <v>133</v>
      </c>
      <c r="K52" s="1383"/>
      <c r="L52" s="52">
        <f>_xlfn.XLOOKUP($J52,'Fin. Data'!$A:$A,'Fin. Data'!B:B,,0)</f>
        <v>0</v>
      </c>
      <c r="M52" s="356">
        <f>_xlfn.XLOOKUP($J52,'Fin. Data'!$A:$A,'Fin. Data'!C:C,,0)</f>
        <v>-150000</v>
      </c>
      <c r="N52" s="21">
        <f t="shared" si="1"/>
        <v>0.34143294731029372</v>
      </c>
      <c r="O52" s="21">
        <f t="shared" si="2"/>
        <v>8.6477509640256134E-2</v>
      </c>
      <c r="P52" s="20"/>
      <c r="Q52" s="19">
        <f t="shared" si="3"/>
        <v>-5.4318411355261365</v>
      </c>
      <c r="R52" s="19">
        <f t="shared" si="4"/>
        <v>0.16862142790654389</v>
      </c>
      <c r="S52" s="19">
        <f t="shared" si="4"/>
        <v>-8.9336051554050542</v>
      </c>
    </row>
    <row r="53" spans="2:19" ht="13.15">
      <c r="B53" s="500">
        <f>B54-1</f>
        <v>2022</v>
      </c>
      <c r="C53" s="133">
        <v>1174598</v>
      </c>
      <c r="D53" s="108">
        <v>0.13198217602958628</v>
      </c>
      <c r="E53" s="133">
        <v>-150000</v>
      </c>
      <c r="F53" s="132">
        <f>Inputs!C$77</f>
        <v>-87439</v>
      </c>
      <c r="G53" s="109">
        <v>5.5675274915577104E-2</v>
      </c>
      <c r="H53" s="133">
        <v>60866</v>
      </c>
      <c r="I53" s="133">
        <v>-197148</v>
      </c>
      <c r="J53" s="1384" t="s">
        <v>134</v>
      </c>
      <c r="K53" s="1385"/>
      <c r="L53" s="52">
        <f>_xlfn.XLOOKUP($J53,'Fin. Data'!$A:$A,'Fin. Data'!B:B,,0)</f>
        <v>0</v>
      </c>
      <c r="M53" s="356">
        <f>_xlfn.XLOOKUP($J53,'Fin. Data'!$A:$A,'Fin. Data'!C:C,,0)</f>
        <v>0</v>
      </c>
      <c r="N53" s="21">
        <f t="shared" si="1"/>
        <v>0.37758355997940551</v>
      </c>
      <c r="O53" s="21">
        <f t="shared" si="2"/>
        <v>0.33029215279810353</v>
      </c>
      <c r="P53" s="20"/>
      <c r="Q53" s="19">
        <f t="shared" si="3"/>
        <v>-0.73072576149987212</v>
      </c>
      <c r="R53" s="19">
        <f t="shared" si="4"/>
        <v>0.21203552511051815</v>
      </c>
      <c r="S53" s="19">
        <f t="shared" si="4"/>
        <v>-0.57067540640890235</v>
      </c>
    </row>
    <row r="54" spans="2:19" ht="13.15">
      <c r="B54" s="500">
        <f>J20</f>
        <v>2023</v>
      </c>
      <c r="C54" s="133">
        <v>1402515</v>
      </c>
      <c r="D54" s="108">
        <v>0.18544757097072045</v>
      </c>
      <c r="E54" s="133">
        <v>0</v>
      </c>
      <c r="F54" s="132">
        <f>Inputs!B77</f>
        <v>282779</v>
      </c>
      <c r="G54" s="109">
        <v>4.83163190796757E-2</v>
      </c>
      <c r="H54" s="133">
        <v>76426</v>
      </c>
      <c r="I54" s="133">
        <v>-82784</v>
      </c>
      <c r="J54" s="1384" t="s">
        <v>135</v>
      </c>
      <c r="K54" s="1385"/>
      <c r="L54" s="52">
        <f>_xlfn.XLOOKUP($J54,'Fin. Data'!$A:$A,'Fin. Data'!B:B,,0)</f>
        <v>0</v>
      </c>
      <c r="M54" s="356">
        <f>_xlfn.XLOOKUP($J54,'Fin. Data'!$A:$A,'Fin. Data'!C:C,,0)</f>
        <v>-150000</v>
      </c>
      <c r="N54" s="21">
        <f t="shared" si="1"/>
        <v>0.19403830076332507</v>
      </c>
      <c r="O54" s="21">
        <f t="shared" si="2"/>
        <v>0.40509557085305903</v>
      </c>
      <c r="P54" s="20"/>
      <c r="Q54" s="19">
        <f t="shared" si="3"/>
        <v>-4.2340145701574814</v>
      </c>
      <c r="R54" s="19">
        <f t="shared" si="4"/>
        <v>0.25564354483619756</v>
      </c>
      <c r="S54" s="19">
        <f t="shared" si="4"/>
        <v>-0.58009211353906709</v>
      </c>
    </row>
    <row r="55" spans="2:19">
      <c r="B55" s="501" t="s">
        <v>136</v>
      </c>
      <c r="C55" s="111">
        <f>IFERROR((C54/C46)^(1/8)-1,"")</f>
        <v>0.25308997261017163</v>
      </c>
      <c r="D55" s="111" t="str">
        <f>IFERROR((D54/D46)^(1/8)-1,"")</f>
        <v/>
      </c>
      <c r="E55" s="127"/>
      <c r="F55" s="111" t="str">
        <f>IFERROR((F54/F46)^(1/8)-1,"")</f>
        <v/>
      </c>
      <c r="G55" s="127"/>
      <c r="H55" s="111">
        <f>IFERROR((H54/H46)^(1/8)-1,"")</f>
        <v>0.23775258771110575</v>
      </c>
      <c r="I55" s="127"/>
      <c r="J55" s="1382" t="s">
        <v>137</v>
      </c>
      <c r="K55" s="1383"/>
      <c r="L55" s="52">
        <f>_xlfn.XLOOKUP($J55,'Fin. Data'!$A:$A,'Fin. Data'!B:B,,0)</f>
        <v>0</v>
      </c>
      <c r="M55" s="356">
        <f>_xlfn.XLOOKUP($J55,'Fin. Data'!$A:$A,'Fin. Data'!C:C,,0)</f>
        <v>0</v>
      </c>
      <c r="N55" s="21">
        <f t="shared" si="1"/>
        <v>-0.99999981954562156</v>
      </c>
      <c r="O55" s="21" t="e">
        <f t="shared" si="2"/>
        <v>#VALUE!</v>
      </c>
      <c r="P55" s="20"/>
      <c r="Q55" s="19"/>
      <c r="R55" s="19"/>
      <c r="S55" s="19"/>
    </row>
    <row r="56" spans="2:19" ht="13.15">
      <c r="B56" s="501" t="s">
        <v>138</v>
      </c>
      <c r="C56" s="111">
        <f>IFERROR(AVERAGE(N47:N54),"")</f>
        <v>0.25540768387137447</v>
      </c>
      <c r="D56" s="111">
        <f>IFERROR(AVERAGE(O47:O54),"")</f>
        <v>7.2459865927361394E-2</v>
      </c>
      <c r="E56" s="127"/>
      <c r="F56" s="111">
        <f>IFERROR(AVERAGE(Q47:Q54),"")</f>
        <v>-1.4553438364539848</v>
      </c>
      <c r="G56" s="127"/>
      <c r="H56" s="111">
        <f>IFERROR(AVERAGE(S47:S54),"")</f>
        <v>-0.53051937187143472</v>
      </c>
      <c r="I56" s="127"/>
      <c r="J56" s="1396" t="s">
        <v>139</v>
      </c>
      <c r="K56" s="1397"/>
      <c r="L56" s="136">
        <f>L48-L49+L52-L53-L54</f>
        <v>486561</v>
      </c>
      <c r="M56" s="326">
        <f>M48-M49+M52-M53-M54</f>
        <v>502885</v>
      </c>
    </row>
    <row r="57" spans="2:19" ht="13.15">
      <c r="B57" s="501" t="s">
        <v>140</v>
      </c>
      <c r="C57" s="111">
        <f>IFERROR(STDEV(C47:C54)/AVERAGE(C47:C54),"")</f>
        <v>0.54435245990584569</v>
      </c>
      <c r="D57" s="111">
        <f>IFERROR(STDEV(D46:D54)/AVERAGE(D46:D54),"")</f>
        <v>0.6951292372287956</v>
      </c>
      <c r="E57" s="127"/>
      <c r="F57" s="111">
        <f>IFERROR(STDEV(F46:F54)/AVERAGE(F46:F54),"")</f>
        <v>-10.688217325388338</v>
      </c>
      <c r="G57" s="127"/>
      <c r="H57" s="111">
        <f>IFERROR(STDEV(H46:H54)/AVERAGE(H46:H54),"")</f>
        <v>0.47665777232476203</v>
      </c>
      <c r="I57" s="127"/>
      <c r="J57" s="1398" t="s">
        <v>141</v>
      </c>
      <c r="K57" s="1399"/>
      <c r="L57" s="321">
        <f>IFERROR(SUM(I51:I54)/(C54-C50),"")</f>
        <v>-0.80987558043048746</v>
      </c>
      <c r="M57" s="355">
        <f>IFERROR((SUM(I51:I54)-SUM(H51:H54))/(C54-C50),"")</f>
        <v>-1.0838720568340414</v>
      </c>
    </row>
    <row r="58" spans="2:19">
      <c r="B58" s="501" t="s">
        <v>142</v>
      </c>
      <c r="C58" s="111">
        <f>IFERROR(C54/C53-1,"")</f>
        <v>0.19403830076332507</v>
      </c>
      <c r="D58" s="111">
        <f>IFERROR(D54/D53-1,"")</f>
        <v>0.40509557085305903</v>
      </c>
      <c r="E58" s="127"/>
      <c r="F58" s="111">
        <f>IFERROR(1-(F54/F53),"")</f>
        <v>4.2340145701574814</v>
      </c>
      <c r="G58" s="127"/>
      <c r="H58" s="111">
        <f>IFERROR(1-(H54/H53),"")</f>
        <v>-0.25564354483619756</v>
      </c>
      <c r="I58" s="127"/>
      <c r="J58" s="1400" t="s">
        <v>143</v>
      </c>
      <c r="K58" s="1401"/>
      <c r="L58" s="322">
        <f>IFERROR(L57/E27,"")</f>
        <v>-4.2782738401597937</v>
      </c>
      <c r="M58" s="327">
        <f>IFERROR(M57/E27,"")</f>
        <v>-5.7256961178758194</v>
      </c>
    </row>
    <row r="59" spans="2:19" ht="17.649999999999999">
      <c r="B59" s="1358" t="s">
        <v>144</v>
      </c>
      <c r="C59" s="1301"/>
      <c r="D59" s="1301"/>
      <c r="E59" s="1301"/>
      <c r="F59" s="1301"/>
      <c r="G59" s="1301"/>
      <c r="H59" s="1301"/>
      <c r="I59" s="1301"/>
      <c r="J59" s="1301"/>
      <c r="K59" s="1301"/>
      <c r="L59" s="1301"/>
      <c r="M59" s="1359"/>
    </row>
    <row r="60" spans="2:19" ht="15">
      <c r="B60" s="1357" t="s">
        <v>145</v>
      </c>
      <c r="C60" s="1230"/>
      <c r="D60" s="1230"/>
      <c r="E60" s="1230"/>
      <c r="F60" s="1230"/>
      <c r="G60" s="1230"/>
      <c r="H60" s="1230"/>
      <c r="I60" s="1230"/>
      <c r="J60" s="1230" t="s">
        <v>146</v>
      </c>
      <c r="K60" s="1230"/>
      <c r="L60" s="1230"/>
      <c r="M60" s="1231"/>
    </row>
    <row r="61" spans="2:19" ht="13.15">
      <c r="B61" s="1360" t="s">
        <v>147</v>
      </c>
      <c r="C61" s="1249"/>
      <c r="D61" s="1249"/>
      <c r="E61" s="1249" t="s">
        <v>148</v>
      </c>
      <c r="F61" s="1249"/>
      <c r="G61" s="1249"/>
      <c r="H61" s="1249"/>
      <c r="I61" s="1249"/>
      <c r="J61" s="1249" t="s">
        <v>149</v>
      </c>
      <c r="K61" s="1249"/>
      <c r="L61" s="1249"/>
      <c r="M61" s="324" t="s">
        <v>150</v>
      </c>
    </row>
    <row r="62" spans="2:19" ht="15" customHeight="1">
      <c r="B62" s="1250" t="s">
        <v>151</v>
      </c>
      <c r="C62" s="1241"/>
      <c r="D62" s="1242"/>
      <c r="E62" s="1232" t="s">
        <v>152</v>
      </c>
      <c r="F62" s="1241"/>
      <c r="G62" s="1241"/>
      <c r="H62" s="1241"/>
      <c r="I62" s="1242"/>
      <c r="J62" s="1260" t="s">
        <v>153</v>
      </c>
      <c r="K62" s="1261"/>
      <c r="L62" s="1261"/>
      <c r="M62" s="328">
        <v>0.17199999999999999</v>
      </c>
    </row>
    <row r="63" spans="2:19" ht="15" customHeight="1">
      <c r="B63" s="1361"/>
      <c r="C63" s="1244"/>
      <c r="D63" s="1245"/>
      <c r="E63" s="1243"/>
      <c r="F63" s="1244"/>
      <c r="G63" s="1244"/>
      <c r="H63" s="1244"/>
      <c r="I63" s="1245"/>
      <c r="J63" s="1253" t="s">
        <v>154</v>
      </c>
      <c r="K63" s="1254"/>
      <c r="L63" s="1255"/>
      <c r="M63" s="328">
        <v>0.10589999999999999</v>
      </c>
    </row>
    <row r="64" spans="2:19" ht="15" customHeight="1">
      <c r="B64" s="1361"/>
      <c r="C64" s="1244"/>
      <c r="D64" s="1245"/>
      <c r="E64" s="1243"/>
      <c r="F64" s="1244"/>
      <c r="G64" s="1244"/>
      <c r="H64" s="1244"/>
      <c r="I64" s="1245"/>
      <c r="J64" s="1253" t="s">
        <v>155</v>
      </c>
      <c r="K64" s="1254"/>
      <c r="L64" s="1255"/>
      <c r="M64" s="328">
        <v>9.2600000000000002E-2</v>
      </c>
    </row>
    <row r="65" spans="2:13" ht="15" customHeight="1">
      <c r="B65" s="1361"/>
      <c r="C65" s="1244"/>
      <c r="D65" s="1245"/>
      <c r="E65" s="1243"/>
      <c r="F65" s="1244"/>
      <c r="G65" s="1244"/>
      <c r="H65" s="1244"/>
      <c r="I65" s="1245"/>
      <c r="J65" s="1253" t="s">
        <v>156</v>
      </c>
      <c r="K65" s="1254"/>
      <c r="L65" s="1255"/>
      <c r="M65" s="328">
        <v>7.2700000000000001E-2</v>
      </c>
    </row>
    <row r="66" spans="2:13" ht="13.15" customHeight="1">
      <c r="B66" s="1361"/>
      <c r="C66" s="1244"/>
      <c r="D66" s="1245"/>
      <c r="E66" s="1243"/>
      <c r="F66" s="1244"/>
      <c r="G66" s="1244"/>
      <c r="H66" s="1244"/>
      <c r="I66" s="1245"/>
      <c r="J66" s="1253" t="s">
        <v>157</v>
      </c>
      <c r="K66" s="1254"/>
      <c r="L66" s="1255"/>
      <c r="M66" s="328">
        <v>7.2289999999999993E-2</v>
      </c>
    </row>
    <row r="67" spans="2:13" ht="13.15">
      <c r="B67" s="1361"/>
      <c r="C67" s="1244"/>
      <c r="D67" s="1245"/>
      <c r="E67" s="1243"/>
      <c r="F67" s="1244"/>
      <c r="G67" s="1244"/>
      <c r="H67" s="1244"/>
      <c r="I67" s="1245"/>
      <c r="J67" s="1253"/>
      <c r="K67" s="1254"/>
      <c r="L67" s="1255"/>
      <c r="M67" s="328"/>
    </row>
    <row r="68" spans="2:13" ht="13.15">
      <c r="B68" s="1361"/>
      <c r="C68" s="1244"/>
      <c r="D68" s="1245"/>
      <c r="E68" s="1243"/>
      <c r="F68" s="1244"/>
      <c r="G68" s="1244"/>
      <c r="H68" s="1244"/>
      <c r="I68" s="1245"/>
      <c r="J68" s="1256"/>
      <c r="K68" s="1257"/>
      <c r="L68" s="1257"/>
      <c r="M68" s="328"/>
    </row>
    <row r="69" spans="2:13" ht="13.15">
      <c r="B69" s="1361"/>
      <c r="C69" s="1244"/>
      <c r="D69" s="1245"/>
      <c r="E69" s="1243"/>
      <c r="F69" s="1244"/>
      <c r="G69" s="1244"/>
      <c r="H69" s="1244"/>
      <c r="I69" s="1245"/>
      <c r="J69" s="1256"/>
      <c r="K69" s="1257"/>
      <c r="L69" s="1257"/>
      <c r="M69" s="328"/>
    </row>
    <row r="70" spans="2:13" ht="13.15">
      <c r="B70" s="1361"/>
      <c r="C70" s="1244"/>
      <c r="D70" s="1245"/>
      <c r="E70" s="1243"/>
      <c r="F70" s="1244"/>
      <c r="G70" s="1244"/>
      <c r="H70" s="1244"/>
      <c r="I70" s="1245"/>
      <c r="J70" s="1256"/>
      <c r="K70" s="1257"/>
      <c r="L70" s="1257"/>
      <c r="M70" s="328"/>
    </row>
    <row r="71" spans="2:13" ht="13.15">
      <c r="B71" s="1362"/>
      <c r="C71" s="1247"/>
      <c r="D71" s="1248"/>
      <c r="E71" s="1246"/>
      <c r="F71" s="1247"/>
      <c r="G71" s="1247"/>
      <c r="H71" s="1247"/>
      <c r="I71" s="1248"/>
      <c r="J71" s="1256"/>
      <c r="K71" s="1257"/>
      <c r="L71" s="1257"/>
      <c r="M71" s="328"/>
    </row>
    <row r="72" spans="2:13" ht="13.15">
      <c r="B72" s="1360" t="s">
        <v>158</v>
      </c>
      <c r="C72" s="1249"/>
      <c r="D72" s="1249"/>
      <c r="E72" s="1249" t="s">
        <v>159</v>
      </c>
      <c r="F72" s="1249"/>
      <c r="G72" s="1249"/>
      <c r="H72" s="1249"/>
      <c r="I72" s="1249"/>
      <c r="J72" s="1256"/>
      <c r="K72" s="1257"/>
      <c r="L72" s="1257"/>
      <c r="M72" s="328"/>
    </row>
    <row r="73" spans="2:13" ht="15" customHeight="1">
      <c r="B73" s="1250" t="s">
        <v>160</v>
      </c>
      <c r="C73" s="1233"/>
      <c r="D73" s="1234"/>
      <c r="E73" s="1232" t="s">
        <v>161</v>
      </c>
      <c r="F73" s="1233"/>
      <c r="G73" s="1233"/>
      <c r="H73" s="1233"/>
      <c r="I73" s="1234"/>
      <c r="J73" s="1256"/>
      <c r="K73" s="1257"/>
      <c r="L73" s="1257"/>
      <c r="M73" s="328"/>
    </row>
    <row r="74" spans="2:13" ht="15" customHeight="1">
      <c r="B74" s="1251"/>
      <c r="C74" s="1236"/>
      <c r="D74" s="1237"/>
      <c r="E74" s="1235"/>
      <c r="F74" s="1236"/>
      <c r="G74" s="1236"/>
      <c r="H74" s="1236"/>
      <c r="I74" s="1237"/>
      <c r="J74" s="1256"/>
      <c r="K74" s="1257"/>
      <c r="L74" s="1257"/>
      <c r="M74" s="328"/>
    </row>
    <row r="75" spans="2:13" ht="15" customHeight="1">
      <c r="B75" s="1251"/>
      <c r="C75" s="1236"/>
      <c r="D75" s="1237"/>
      <c r="E75" s="1235"/>
      <c r="F75" s="1236"/>
      <c r="G75" s="1236"/>
      <c r="H75" s="1236"/>
      <c r="I75" s="1237"/>
      <c r="J75" s="1256"/>
      <c r="K75" s="1257"/>
      <c r="L75" s="1257"/>
      <c r="M75" s="328"/>
    </row>
    <row r="76" spans="2:13" ht="15" customHeight="1">
      <c r="B76" s="1251"/>
      <c r="C76" s="1236"/>
      <c r="D76" s="1237"/>
      <c r="E76" s="1235"/>
      <c r="F76" s="1236"/>
      <c r="G76" s="1236"/>
      <c r="H76" s="1236"/>
      <c r="I76" s="1237"/>
      <c r="J76" s="1256"/>
      <c r="K76" s="1257"/>
      <c r="L76" s="1257"/>
      <c r="M76" s="328"/>
    </row>
    <row r="77" spans="2:13" ht="13.15">
      <c r="B77" s="1251"/>
      <c r="C77" s="1236"/>
      <c r="D77" s="1237"/>
      <c r="E77" s="1235"/>
      <c r="F77" s="1236"/>
      <c r="G77" s="1236"/>
      <c r="H77" s="1236"/>
      <c r="I77" s="1237"/>
      <c r="J77" s="1256"/>
      <c r="K77" s="1257"/>
      <c r="L77" s="1257"/>
      <c r="M77" s="328"/>
    </row>
    <row r="78" spans="2:13" ht="13.15">
      <c r="B78" s="1251"/>
      <c r="C78" s="1236"/>
      <c r="D78" s="1237"/>
      <c r="E78" s="1235"/>
      <c r="F78" s="1236"/>
      <c r="G78" s="1236"/>
      <c r="H78" s="1236"/>
      <c r="I78" s="1237"/>
      <c r="J78" s="1256"/>
      <c r="K78" s="1257"/>
      <c r="L78" s="1257"/>
      <c r="M78" s="328"/>
    </row>
    <row r="79" spans="2:13" ht="13.15">
      <c r="B79" s="1251"/>
      <c r="C79" s="1236"/>
      <c r="D79" s="1237"/>
      <c r="E79" s="1235"/>
      <c r="F79" s="1236"/>
      <c r="G79" s="1236"/>
      <c r="H79" s="1236"/>
      <c r="I79" s="1237"/>
      <c r="J79" s="1256"/>
      <c r="K79" s="1257"/>
      <c r="L79" s="1257"/>
      <c r="M79" s="328"/>
    </row>
    <row r="80" spans="2:13" ht="13.15">
      <c r="B80" s="1251"/>
      <c r="C80" s="1236"/>
      <c r="D80" s="1237"/>
      <c r="E80" s="1235"/>
      <c r="F80" s="1236"/>
      <c r="G80" s="1236"/>
      <c r="H80" s="1236"/>
      <c r="I80" s="1237"/>
      <c r="J80" s="1256"/>
      <c r="K80" s="1257"/>
      <c r="L80" s="1257"/>
      <c r="M80" s="328"/>
    </row>
    <row r="81" spans="2:13" ht="13.15">
      <c r="B81" s="1252"/>
      <c r="C81" s="1239"/>
      <c r="D81" s="1240"/>
      <c r="E81" s="1238"/>
      <c r="F81" s="1239"/>
      <c r="G81" s="1239"/>
      <c r="H81" s="1239"/>
      <c r="I81" s="1240"/>
      <c r="J81" s="1258" t="s">
        <v>162</v>
      </c>
      <c r="K81" s="1259"/>
      <c r="L81" s="1259"/>
      <c r="M81" s="328">
        <f>SUM(M62:M80)</f>
        <v>0.51549</v>
      </c>
    </row>
    <row r="82" spans="2:13" ht="15">
      <c r="B82" s="1271" t="s">
        <v>163</v>
      </c>
      <c r="C82" s="1272"/>
      <c r="D82" s="1272"/>
      <c r="E82" s="1272"/>
      <c r="F82" s="1272"/>
      <c r="G82" s="1230" t="s">
        <v>164</v>
      </c>
      <c r="H82" s="1230"/>
      <c r="I82" s="1230"/>
      <c r="J82" s="1230"/>
      <c r="K82" s="1230"/>
      <c r="L82" s="1230"/>
      <c r="M82" s="1231"/>
    </row>
    <row r="83" spans="2:13" s="10" customFormat="1">
      <c r="B83" s="1262" t="s">
        <v>165</v>
      </c>
      <c r="C83" s="1263"/>
      <c r="D83" s="1263"/>
      <c r="E83" s="1263"/>
      <c r="F83" s="1264"/>
      <c r="G83"/>
      <c r="H83"/>
      <c r="I83"/>
      <c r="J83"/>
      <c r="K83"/>
      <c r="L83"/>
      <c r="M83" s="49"/>
    </row>
    <row r="84" spans="2:13">
      <c r="B84" s="1265"/>
      <c r="C84" s="1266"/>
      <c r="D84" s="1266"/>
      <c r="E84" s="1266"/>
      <c r="F84" s="1267"/>
      <c r="M84" s="49"/>
    </row>
    <row r="85" spans="2:13">
      <c r="B85" s="1265"/>
      <c r="C85" s="1266"/>
      <c r="D85" s="1266"/>
      <c r="E85" s="1266"/>
      <c r="F85" s="1267"/>
      <c r="M85" s="49"/>
    </row>
    <row r="86" spans="2:13">
      <c r="B86" s="1265"/>
      <c r="C86" s="1266"/>
      <c r="D86" s="1266"/>
      <c r="E86" s="1266"/>
      <c r="F86" s="1267"/>
      <c r="M86" s="49"/>
    </row>
    <row r="87" spans="2:13">
      <c r="B87" s="1265"/>
      <c r="C87" s="1266"/>
      <c r="D87" s="1266"/>
      <c r="E87" s="1266"/>
      <c r="F87" s="1267"/>
      <c r="M87" s="49"/>
    </row>
    <row r="88" spans="2:13">
      <c r="B88" s="1265"/>
      <c r="C88" s="1266"/>
      <c r="D88" s="1266"/>
      <c r="E88" s="1266"/>
      <c r="F88" s="1267"/>
      <c r="M88" s="49"/>
    </row>
    <row r="89" spans="2:13">
      <c r="B89" s="1265"/>
      <c r="C89" s="1266"/>
      <c r="D89" s="1266"/>
      <c r="E89" s="1266"/>
      <c r="F89" s="1267"/>
      <c r="M89" s="49"/>
    </row>
    <row r="90" spans="2:13">
      <c r="B90" s="1265"/>
      <c r="C90" s="1266"/>
      <c r="D90" s="1266"/>
      <c r="E90" s="1266"/>
      <c r="F90" s="1267"/>
      <c r="M90" s="49"/>
    </row>
    <row r="91" spans="2:13">
      <c r="B91" s="1265"/>
      <c r="C91" s="1266"/>
      <c r="D91" s="1266"/>
      <c r="E91" s="1266"/>
      <c r="F91" s="1267"/>
      <c r="M91" s="49"/>
    </row>
    <row r="92" spans="2:13">
      <c r="B92" s="1265"/>
      <c r="C92" s="1266"/>
      <c r="D92" s="1266"/>
      <c r="E92" s="1266"/>
      <c r="F92" s="1267"/>
      <c r="M92" s="49"/>
    </row>
    <row r="93" spans="2:13">
      <c r="B93" s="1265"/>
      <c r="C93" s="1266"/>
      <c r="D93" s="1266"/>
      <c r="E93" s="1266"/>
      <c r="F93" s="1267"/>
      <c r="M93" s="49"/>
    </row>
    <row r="94" spans="2:13">
      <c r="B94" s="1265"/>
      <c r="C94" s="1266"/>
      <c r="D94" s="1266"/>
      <c r="E94" s="1266"/>
      <c r="F94" s="1267"/>
      <c r="M94" s="49"/>
    </row>
    <row r="95" spans="2:13">
      <c r="B95" s="1265"/>
      <c r="C95" s="1266"/>
      <c r="D95" s="1266"/>
      <c r="E95" s="1266"/>
      <c r="F95" s="1267"/>
      <c r="M95" s="49"/>
    </row>
    <row r="96" spans="2:13">
      <c r="B96" s="1265"/>
      <c r="C96" s="1266"/>
      <c r="D96" s="1266"/>
      <c r="E96" s="1266"/>
      <c r="F96" s="1267"/>
      <c r="M96" s="49"/>
    </row>
    <row r="97" spans="2:13">
      <c r="B97" s="1265"/>
      <c r="C97" s="1266"/>
      <c r="D97" s="1266"/>
      <c r="E97" s="1266"/>
      <c r="F97" s="1267"/>
      <c r="M97" s="49"/>
    </row>
    <row r="98" spans="2:13">
      <c r="B98" s="1265"/>
      <c r="C98" s="1266"/>
      <c r="D98" s="1266"/>
      <c r="E98" s="1266"/>
      <c r="F98" s="1267"/>
      <c r="M98" s="49"/>
    </row>
    <row r="99" spans="2:13">
      <c r="B99" s="1265"/>
      <c r="C99" s="1266"/>
      <c r="D99" s="1266"/>
      <c r="E99" s="1266"/>
      <c r="F99" s="1267"/>
      <c r="M99" s="49"/>
    </row>
    <row r="100" spans="2:13">
      <c r="B100" s="1265"/>
      <c r="C100" s="1266"/>
      <c r="D100" s="1266"/>
      <c r="E100" s="1266"/>
      <c r="F100" s="1267"/>
      <c r="M100" s="49"/>
    </row>
    <row r="101" spans="2:13">
      <c r="B101" s="1265"/>
      <c r="C101" s="1266"/>
      <c r="D101" s="1266"/>
      <c r="E101" s="1266"/>
      <c r="F101" s="1267"/>
      <c r="M101" s="49"/>
    </row>
    <row r="102" spans="2:13">
      <c r="B102" s="1265"/>
      <c r="C102" s="1266"/>
      <c r="D102" s="1266"/>
      <c r="E102" s="1266"/>
      <c r="F102" s="1267"/>
      <c r="M102" s="49"/>
    </row>
    <row r="103" spans="2:13">
      <c r="B103" s="1265"/>
      <c r="C103" s="1266"/>
      <c r="D103" s="1266"/>
      <c r="E103" s="1266"/>
      <c r="F103" s="1267"/>
      <c r="M103" s="49"/>
    </row>
    <row r="104" spans="2:13">
      <c r="B104" s="1265"/>
      <c r="C104" s="1266"/>
      <c r="D104" s="1266"/>
      <c r="E104" s="1266"/>
      <c r="F104" s="1267"/>
      <c r="M104" s="49"/>
    </row>
    <row r="105" spans="2:13">
      <c r="B105" s="1265"/>
      <c r="C105" s="1266"/>
      <c r="D105" s="1266"/>
      <c r="E105" s="1266"/>
      <c r="F105" s="1267"/>
      <c r="M105" s="49"/>
    </row>
    <row r="106" spans="2:13" ht="13.15" thickBot="1">
      <c r="B106" s="1265"/>
      <c r="C106" s="1266"/>
      <c r="D106" s="1266"/>
      <c r="E106" s="1266"/>
      <c r="F106" s="1267"/>
      <c r="M106" s="49"/>
    </row>
    <row r="107" spans="2:13" ht="26.65" thickBot="1">
      <c r="B107" s="1268"/>
      <c r="C107" s="1269"/>
      <c r="D107" s="1269"/>
      <c r="E107" s="1269"/>
      <c r="F107" s="1270"/>
      <c r="G107" s="1229" t="e" vm="1">
        <f>E2</f>
        <v>#VALUE!</v>
      </c>
      <c r="H107" s="1229"/>
      <c r="I107" s="502" t="str">
        <f>Peers!C2</f>
        <v>Paycom Software Inc</v>
      </c>
      <c r="J107" s="503" t="str">
        <f>Peers!C3</f>
        <v>Paychex Inc</v>
      </c>
      <c r="K107" s="504" t="str">
        <f>Peers!C4</f>
        <v>Automatic Data Processing Inc</v>
      </c>
      <c r="L107" s="505" t="str">
        <f>Peers!C5</f>
        <v>Paycor HCM Inc</v>
      </c>
      <c r="M107" s="506">
        <f>Peers!C6</f>
        <v>0</v>
      </c>
    </row>
  </sheetData>
  <mergeCells count="140">
    <mergeCell ref="J74:L74"/>
    <mergeCell ref="I35:M38"/>
    <mergeCell ref="J45:M45"/>
    <mergeCell ref="B44:M44"/>
    <mergeCell ref="L12:M12"/>
    <mergeCell ref="J80:L80"/>
    <mergeCell ref="J12:K12"/>
    <mergeCell ref="J13:K13"/>
    <mergeCell ref="J14:K14"/>
    <mergeCell ref="J15:K15"/>
    <mergeCell ref="J16:K16"/>
    <mergeCell ref="J17:K17"/>
    <mergeCell ref="L13:M13"/>
    <mergeCell ref="L14:M14"/>
    <mergeCell ref="L15:M15"/>
    <mergeCell ref="L16:M16"/>
    <mergeCell ref="L17:M17"/>
    <mergeCell ref="J54:K54"/>
    <mergeCell ref="J55:K55"/>
    <mergeCell ref="J56:K56"/>
    <mergeCell ref="J57:K57"/>
    <mergeCell ref="J58:K58"/>
    <mergeCell ref="J76:L76"/>
    <mergeCell ref="J71:L71"/>
    <mergeCell ref="J72:L72"/>
    <mergeCell ref="J73:L73"/>
    <mergeCell ref="J47:K47"/>
    <mergeCell ref="J48:K48"/>
    <mergeCell ref="J49:K49"/>
    <mergeCell ref="J50:K50"/>
    <mergeCell ref="J51:K51"/>
    <mergeCell ref="J52:K52"/>
    <mergeCell ref="J53:K53"/>
    <mergeCell ref="B60:I60"/>
    <mergeCell ref="B59:M59"/>
    <mergeCell ref="B61:D61"/>
    <mergeCell ref="B72:D72"/>
    <mergeCell ref="B62:D71"/>
    <mergeCell ref="J60:M60"/>
    <mergeCell ref="E2:K2"/>
    <mergeCell ref="F20:G20"/>
    <mergeCell ref="F28:G28"/>
    <mergeCell ref="F26:G26"/>
    <mergeCell ref="J21:K21"/>
    <mergeCell ref="I22:J22"/>
    <mergeCell ref="I23:J23"/>
    <mergeCell ref="I24:J24"/>
    <mergeCell ref="I25:J25"/>
    <mergeCell ref="I26:J26"/>
    <mergeCell ref="I27:J27"/>
    <mergeCell ref="I28:J28"/>
    <mergeCell ref="F27:G27"/>
    <mergeCell ref="D4:G17"/>
    <mergeCell ref="D3:G3"/>
    <mergeCell ref="H3:M3"/>
    <mergeCell ref="F19:H19"/>
    <mergeCell ref="F22:G22"/>
    <mergeCell ref="F23:G23"/>
    <mergeCell ref="F24:G24"/>
    <mergeCell ref="F25:G25"/>
    <mergeCell ref="F21:G21"/>
    <mergeCell ref="J4:K4"/>
    <mergeCell ref="J5:K5"/>
    <mergeCell ref="B17:C17"/>
    <mergeCell ref="B3:C16"/>
    <mergeCell ref="L19:M19"/>
    <mergeCell ref="B19:C19"/>
    <mergeCell ref="J6:K6"/>
    <mergeCell ref="J7:K7"/>
    <mergeCell ref="J8:K8"/>
    <mergeCell ref="J9:K9"/>
    <mergeCell ref="J10:K10"/>
    <mergeCell ref="J11:K11"/>
    <mergeCell ref="L4:M4"/>
    <mergeCell ref="L5:M5"/>
    <mergeCell ref="L6:M6"/>
    <mergeCell ref="L7:M7"/>
    <mergeCell ref="L8:M8"/>
    <mergeCell ref="L9:M9"/>
    <mergeCell ref="L10:M10"/>
    <mergeCell ref="L11:M11"/>
    <mergeCell ref="B29:C29"/>
    <mergeCell ref="D19:E19"/>
    <mergeCell ref="B18:M18"/>
    <mergeCell ref="B33:M33"/>
    <mergeCell ref="H40:H43"/>
    <mergeCell ref="J20:K20"/>
    <mergeCell ref="F32:G32"/>
    <mergeCell ref="F31:G31"/>
    <mergeCell ref="F29:G29"/>
    <mergeCell ref="F30:G30"/>
    <mergeCell ref="H35:H38"/>
    <mergeCell ref="C37:G37"/>
    <mergeCell ref="C38:G38"/>
    <mergeCell ref="C41:G41"/>
    <mergeCell ref="B34:G34"/>
    <mergeCell ref="I19:K19"/>
    <mergeCell ref="C43:G43"/>
    <mergeCell ref="C42:G42"/>
    <mergeCell ref="I29:J29"/>
    <mergeCell ref="I30:J30"/>
    <mergeCell ref="I31:J31"/>
    <mergeCell ref="I34:M34"/>
    <mergeCell ref="B39:G39"/>
    <mergeCell ref="C40:G40"/>
    <mergeCell ref="C35:G35"/>
    <mergeCell ref="C36:G36"/>
    <mergeCell ref="I40:I41"/>
    <mergeCell ref="I42:I43"/>
    <mergeCell ref="J40:K41"/>
    <mergeCell ref="J42:K43"/>
    <mergeCell ref="L40:L41"/>
    <mergeCell ref="L42:L43"/>
    <mergeCell ref="M40:M41"/>
    <mergeCell ref="M42:M43"/>
    <mergeCell ref="I39:M39"/>
    <mergeCell ref="G107:H107"/>
    <mergeCell ref="G82:M82"/>
    <mergeCell ref="E73:I81"/>
    <mergeCell ref="E62:I71"/>
    <mergeCell ref="J61:L61"/>
    <mergeCell ref="E72:I72"/>
    <mergeCell ref="B73:D81"/>
    <mergeCell ref="J64:L64"/>
    <mergeCell ref="J65:L65"/>
    <mergeCell ref="J66:L66"/>
    <mergeCell ref="J67:L67"/>
    <mergeCell ref="J68:L68"/>
    <mergeCell ref="J69:L69"/>
    <mergeCell ref="J70:L70"/>
    <mergeCell ref="J63:L63"/>
    <mergeCell ref="E61:I61"/>
    <mergeCell ref="J75:L75"/>
    <mergeCell ref="J77:L77"/>
    <mergeCell ref="J78:L78"/>
    <mergeCell ref="J79:L79"/>
    <mergeCell ref="J81:L81"/>
    <mergeCell ref="J62:L62"/>
    <mergeCell ref="B83:F107"/>
    <mergeCell ref="B82:F82"/>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34" priority="1" operator="lessThan">
      <formula>0</formula>
    </cfRule>
    <cfRule type="cellIs" dxfId="33" priority="2" operator="greaterThan">
      <formula>0</formula>
    </cfRule>
  </conditionalFormatting>
  <conditionalFormatting sqref="M40:M43">
    <cfRule type="cellIs" dxfId="32" priority="3" operator="lessThan">
      <formula>0</formula>
    </cfRule>
    <cfRule type="cellIs" dxfId="31"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75"/>
  <sheetViews>
    <sheetView showGridLines="0" zoomScale="80" workbookViewId="0">
      <selection activeCell="B15" sqref="B15:P15"/>
    </sheetView>
  </sheetViews>
  <sheetFormatPr defaultColWidth="11.265625" defaultRowHeight="12.75"/>
  <cols>
    <col min="1" max="1" width="2" customWidth="1"/>
    <col min="2" max="2" width="11" customWidth="1"/>
    <col min="3" max="3" width="42.86328125" customWidth="1"/>
    <col min="4" max="4" width="15.265625" style="2" customWidth="1"/>
    <col min="5" max="9" width="15.265625" customWidth="1"/>
    <col min="10" max="10" width="11.265625" bestFit="1" customWidth="1"/>
    <col min="11" max="11" width="14" customWidth="1"/>
    <col min="12" max="12" width="14.265625" customWidth="1"/>
    <col min="17" max="17" width="23.265625" customWidth="1"/>
  </cols>
  <sheetData>
    <row r="1" spans="2:25" ht="7.5" customHeight="1"/>
    <row r="2" spans="2:25" ht="20.65">
      <c r="B2" s="1452" t="str">
        <f>"Regions "&amp;"("&amp;OP!$J$20&amp;")"</f>
        <v>Regions (2023)</v>
      </c>
      <c r="C2" s="1453"/>
      <c r="D2" s="1453"/>
      <c r="E2" s="1453"/>
      <c r="F2" s="1453"/>
      <c r="G2" s="1453"/>
      <c r="H2" s="1453"/>
      <c r="I2" s="1453"/>
      <c r="J2" s="1453"/>
      <c r="K2" s="1453"/>
      <c r="L2" s="1453"/>
      <c r="M2" s="1453"/>
      <c r="N2" s="1453"/>
      <c r="O2" s="1453"/>
      <c r="P2" s="1453"/>
      <c r="Q2" s="1448" t="s">
        <v>166</v>
      </c>
      <c r="R2" s="1449"/>
      <c r="S2" s="1449"/>
      <c r="T2" s="1449"/>
      <c r="U2" s="1449"/>
      <c r="V2" s="1449"/>
      <c r="W2" s="1449"/>
      <c r="X2" s="1449"/>
      <c r="Y2" s="1450"/>
    </row>
    <row r="3" spans="2:25" ht="18" thickBot="1">
      <c r="B3" s="164"/>
      <c r="C3" s="165"/>
      <c r="D3" s="1463" t="s">
        <v>167</v>
      </c>
      <c r="E3" s="1463"/>
      <c r="F3" s="1463"/>
      <c r="G3" s="1463"/>
      <c r="H3" s="1463"/>
      <c r="I3" s="1464"/>
      <c r="J3" s="145"/>
      <c r="K3" s="1451" t="s">
        <v>168</v>
      </c>
      <c r="L3" s="1451"/>
      <c r="M3" s="1451"/>
      <c r="N3" s="1451"/>
      <c r="O3" s="1451"/>
      <c r="P3" s="1451"/>
      <c r="Q3" s="138"/>
      <c r="Y3" s="159"/>
    </row>
    <row r="4" spans="2:25" ht="13.5" thickBot="1">
      <c r="B4" s="151" t="s">
        <v>169</v>
      </c>
      <c r="C4" s="152" t="s">
        <v>170</v>
      </c>
      <c r="D4" s="153">
        <f>OP!J20</f>
        <v>2023</v>
      </c>
      <c r="E4" s="153">
        <f>D4-1</f>
        <v>2022</v>
      </c>
      <c r="F4" s="153">
        <f>E4-1</f>
        <v>2021</v>
      </c>
      <c r="G4" s="153">
        <f>F4-1</f>
        <v>2020</v>
      </c>
      <c r="H4" s="153">
        <f>G4-1</f>
        <v>2019</v>
      </c>
      <c r="I4" s="153">
        <f>H4-1</f>
        <v>2018</v>
      </c>
      <c r="J4" s="146"/>
      <c r="K4" s="153">
        <f>OP!J20</f>
        <v>2023</v>
      </c>
      <c r="L4" s="153">
        <f t="shared" ref="L4:P4" si="0">K4-1</f>
        <v>2022</v>
      </c>
      <c r="M4" s="153">
        <f t="shared" si="0"/>
        <v>2021</v>
      </c>
      <c r="N4" s="153">
        <f t="shared" si="0"/>
        <v>2020</v>
      </c>
      <c r="O4" s="153">
        <f t="shared" si="0"/>
        <v>2019</v>
      </c>
      <c r="P4" s="166">
        <f t="shared" si="0"/>
        <v>2018</v>
      </c>
      <c r="Q4" s="138"/>
      <c r="Y4" s="159"/>
    </row>
    <row r="5" spans="2:25" ht="13.15">
      <c r="B5" s="149">
        <f t="shared" ref="B5" si="1">IFERROR(D5/$D$13,"")</f>
        <v>1</v>
      </c>
      <c r="C5" s="150" t="s">
        <v>46</v>
      </c>
      <c r="D5" s="154">
        <v>1174598000</v>
      </c>
      <c r="E5" s="154">
        <v>852651000</v>
      </c>
      <c r="F5" s="154">
        <v>635627000</v>
      </c>
      <c r="G5" s="154">
        <v>561329000</v>
      </c>
      <c r="H5" s="154">
        <v>467633000</v>
      </c>
      <c r="I5" s="154">
        <v>377527000</v>
      </c>
      <c r="J5" s="147"/>
      <c r="K5" s="268">
        <f t="shared" ref="K5:O5" si="2">(D5-E5)/E5</f>
        <v>0.3775835599794054</v>
      </c>
      <c r="L5" s="268">
        <f t="shared" si="2"/>
        <v>0.34143294731029361</v>
      </c>
      <c r="M5" s="268">
        <f t="shared" si="2"/>
        <v>0.13236087927044568</v>
      </c>
      <c r="N5" s="268">
        <f t="shared" si="2"/>
        <v>0.20036224988399023</v>
      </c>
      <c r="O5" s="268">
        <f t="shared" si="2"/>
        <v>0.23867431998241184</v>
      </c>
      <c r="P5" s="268" t="s">
        <v>51</v>
      </c>
      <c r="Q5" s="138"/>
      <c r="Y5" s="159"/>
    </row>
    <row r="6" spans="2:25" ht="13.15">
      <c r="B6" s="848" t="str">
        <f t="shared" ref="B6:B12" si="3">IF(D6/$D$13=0,"-")</f>
        <v>-</v>
      </c>
      <c r="C6" s="150"/>
      <c r="D6" s="154"/>
      <c r="E6" s="154"/>
      <c r="F6" s="154"/>
      <c r="G6" s="154"/>
      <c r="H6" s="154"/>
      <c r="I6" s="154"/>
      <c r="J6" s="147"/>
      <c r="K6" s="268" t="str">
        <f t="shared" ref="K6:O10" si="4">IFERROR((D6-E6)/E6,"-")</f>
        <v>-</v>
      </c>
      <c r="L6" s="268" t="str">
        <f t="shared" si="4"/>
        <v>-</v>
      </c>
      <c r="M6" s="268" t="str">
        <f t="shared" si="4"/>
        <v>-</v>
      </c>
      <c r="N6" s="268" t="str">
        <f t="shared" si="4"/>
        <v>-</v>
      </c>
      <c r="O6" s="268" t="str">
        <f t="shared" si="4"/>
        <v>-</v>
      </c>
      <c r="P6" s="268" t="s">
        <v>51</v>
      </c>
      <c r="Q6" s="138"/>
      <c r="Y6" s="159"/>
    </row>
    <row r="7" spans="2:25" ht="13.15">
      <c r="B7" s="848" t="str">
        <f t="shared" si="3"/>
        <v>-</v>
      </c>
      <c r="C7" s="150"/>
      <c r="D7" s="154"/>
      <c r="E7" s="154"/>
      <c r="F7" s="154"/>
      <c r="G7" s="154"/>
      <c r="H7" s="154"/>
      <c r="I7" s="154"/>
      <c r="J7" s="147"/>
      <c r="K7" s="268" t="str">
        <f t="shared" si="4"/>
        <v>-</v>
      </c>
      <c r="L7" s="268" t="str">
        <f t="shared" si="4"/>
        <v>-</v>
      </c>
      <c r="M7" s="268" t="str">
        <f t="shared" si="4"/>
        <v>-</v>
      </c>
      <c r="N7" s="268" t="str">
        <f t="shared" si="4"/>
        <v>-</v>
      </c>
      <c r="O7" s="268" t="str">
        <f t="shared" si="4"/>
        <v>-</v>
      </c>
      <c r="P7" s="268" t="s">
        <v>51</v>
      </c>
      <c r="Q7" s="138"/>
      <c r="Y7" s="159"/>
    </row>
    <row r="8" spans="2:25" ht="13.15">
      <c r="B8" s="848" t="str">
        <f t="shared" si="3"/>
        <v>-</v>
      </c>
      <c r="C8" s="150"/>
      <c r="D8" s="154"/>
      <c r="E8" s="154"/>
      <c r="F8" s="154"/>
      <c r="G8" s="154"/>
      <c r="H8" s="154"/>
      <c r="I8" s="154"/>
      <c r="J8" s="147"/>
      <c r="K8" s="268" t="str">
        <f t="shared" si="4"/>
        <v>-</v>
      </c>
      <c r="L8" s="268" t="str">
        <f t="shared" si="4"/>
        <v>-</v>
      </c>
      <c r="M8" s="268" t="str">
        <f t="shared" si="4"/>
        <v>-</v>
      </c>
      <c r="N8" s="268" t="str">
        <f t="shared" si="4"/>
        <v>-</v>
      </c>
      <c r="O8" s="268" t="str">
        <f t="shared" si="4"/>
        <v>-</v>
      </c>
      <c r="P8" s="268" t="s">
        <v>51</v>
      </c>
      <c r="Q8" s="138"/>
      <c r="Y8" s="159"/>
    </row>
    <row r="9" spans="2:25" ht="13.15">
      <c r="B9" s="848" t="str">
        <f t="shared" si="3"/>
        <v>-</v>
      </c>
      <c r="C9" s="150"/>
      <c r="D9" s="154"/>
      <c r="E9" s="154"/>
      <c r="F9" s="154"/>
      <c r="G9" s="154"/>
      <c r="H9" s="154"/>
      <c r="I9" s="154"/>
      <c r="J9" s="147"/>
      <c r="K9" s="268" t="str">
        <f t="shared" si="4"/>
        <v>-</v>
      </c>
      <c r="L9" s="268" t="str">
        <f t="shared" si="4"/>
        <v>-</v>
      </c>
      <c r="M9" s="268" t="str">
        <f t="shared" si="4"/>
        <v>-</v>
      </c>
      <c r="N9" s="268" t="str">
        <f t="shared" si="4"/>
        <v>-</v>
      </c>
      <c r="O9" s="268" t="str">
        <f t="shared" si="4"/>
        <v>-</v>
      </c>
      <c r="P9" s="268" t="s">
        <v>51</v>
      </c>
      <c r="Q9" s="138"/>
      <c r="Y9" s="159"/>
    </row>
    <row r="10" spans="2:25" ht="13.5" thickBot="1">
      <c r="B10" s="848" t="str">
        <f t="shared" si="3"/>
        <v>-</v>
      </c>
      <c r="C10" s="141"/>
      <c r="D10" s="143"/>
      <c r="E10" s="565"/>
      <c r="F10" s="143"/>
      <c r="G10" s="143"/>
      <c r="H10" s="143"/>
      <c r="I10" s="143"/>
      <c r="J10" s="147"/>
      <c r="K10" s="268" t="str">
        <f t="shared" si="4"/>
        <v>-</v>
      </c>
      <c r="L10" s="268" t="str">
        <f t="shared" si="4"/>
        <v>-</v>
      </c>
      <c r="M10" s="268" t="str">
        <f t="shared" si="4"/>
        <v>-</v>
      </c>
      <c r="N10" s="268" t="str">
        <f t="shared" si="4"/>
        <v>-</v>
      </c>
      <c r="O10" s="268" t="str">
        <f t="shared" si="4"/>
        <v>-</v>
      </c>
      <c r="P10" s="268" t="s">
        <v>51</v>
      </c>
      <c r="Q10" s="138"/>
      <c r="Y10" s="159"/>
    </row>
    <row r="11" spans="2:25" ht="13.5" hidden="1" thickBot="1">
      <c r="B11" s="848" t="str">
        <f t="shared" si="3"/>
        <v>-</v>
      </c>
      <c r="C11" s="141"/>
      <c r="D11" s="143"/>
      <c r="E11" s="143"/>
      <c r="F11" s="143"/>
      <c r="G11" s="143"/>
      <c r="H11" s="143"/>
      <c r="I11" s="143"/>
      <c r="J11" s="147"/>
      <c r="K11" s="143"/>
      <c r="L11" s="143"/>
      <c r="M11" s="268" t="e">
        <f>(F11-G11)/G11</f>
        <v>#DIV/0!</v>
      </c>
      <c r="N11" s="143"/>
      <c r="O11" s="143"/>
      <c r="P11" s="167"/>
      <c r="Q11" s="138"/>
      <c r="Y11" s="159"/>
    </row>
    <row r="12" spans="2:25" ht="13.5" hidden="1" thickBot="1">
      <c r="B12" s="848" t="str">
        <f t="shared" si="3"/>
        <v>-</v>
      </c>
      <c r="C12" s="155"/>
      <c r="D12" s="539"/>
      <c r="E12" s="539"/>
      <c r="F12" s="539"/>
      <c r="G12" s="539"/>
      <c r="H12" s="539"/>
      <c r="I12" s="539"/>
      <c r="J12" s="147"/>
      <c r="K12" s="144"/>
      <c r="L12" s="144"/>
      <c r="M12" s="268" t="e">
        <f>(F12-G12)/G12</f>
        <v>#DIV/0!</v>
      </c>
      <c r="N12" s="144"/>
      <c r="O12" s="144"/>
      <c r="P12" s="168"/>
      <c r="Q12" s="138"/>
      <c r="Y12" s="159"/>
    </row>
    <row r="13" spans="2:25" ht="13.5" thickBot="1">
      <c r="B13" s="142">
        <f>SUM(B5:B12)</f>
        <v>1</v>
      </c>
      <c r="C13" s="537" t="s">
        <v>162</v>
      </c>
      <c r="D13" s="534">
        <f>SUM(D5:D12)</f>
        <v>1174598000</v>
      </c>
      <c r="E13" s="535">
        <f t="shared" ref="E13:I13" si="5">SUM(E5:E12)</f>
        <v>852651000</v>
      </c>
      <c r="F13" s="535">
        <f t="shared" si="5"/>
        <v>635627000</v>
      </c>
      <c r="G13" s="535">
        <f t="shared" si="5"/>
        <v>561329000</v>
      </c>
      <c r="H13" s="535">
        <f t="shared" si="5"/>
        <v>467633000</v>
      </c>
      <c r="I13" s="536">
        <f t="shared" si="5"/>
        <v>377527000</v>
      </c>
      <c r="J13" s="538"/>
      <c r="K13" s="270">
        <f>(D13-E13)/E13</f>
        <v>0.3775835599794054</v>
      </c>
      <c r="L13" s="270">
        <f>(E13-F13)/F13</f>
        <v>0.34143294731029361</v>
      </c>
      <c r="M13" s="270">
        <f>(F13-G13)/G13</f>
        <v>0.13236087927044568</v>
      </c>
      <c r="N13" s="270">
        <f t="shared" ref="N13:O13" si="6">(G13-H13)/H13</f>
        <v>0.20036224988399023</v>
      </c>
      <c r="O13" s="270">
        <f t="shared" si="6"/>
        <v>0.23867431998241184</v>
      </c>
      <c r="P13" s="270" t="s">
        <v>51</v>
      </c>
      <c r="Q13" s="138"/>
      <c r="Y13" s="159"/>
    </row>
    <row r="14" spans="2:25" ht="13.15">
      <c r="B14" s="162"/>
      <c r="C14" s="6"/>
      <c r="D14" s="14"/>
      <c r="E14" s="14"/>
      <c r="F14" s="14"/>
      <c r="G14" s="14"/>
      <c r="H14" s="14"/>
      <c r="I14" s="14"/>
      <c r="J14" s="14"/>
      <c r="K14" s="14"/>
      <c r="L14" s="14"/>
      <c r="M14" s="14"/>
      <c r="N14" s="14"/>
      <c r="O14" s="14"/>
      <c r="P14" s="14"/>
      <c r="Q14" s="138"/>
      <c r="Y14" s="159"/>
    </row>
    <row r="15" spans="2:25" ht="21" thickBot="1">
      <c r="B15" s="1452" t="str">
        <f>"Categories "&amp;"("&amp;OP!$J$20&amp;")"</f>
        <v>Categories (2023)</v>
      </c>
      <c r="C15" s="1453"/>
      <c r="D15" s="1453"/>
      <c r="E15" s="1453"/>
      <c r="F15" s="1453"/>
      <c r="G15" s="1453"/>
      <c r="H15" s="1453"/>
      <c r="I15" s="1453"/>
      <c r="J15" s="1453"/>
      <c r="K15" s="1453"/>
      <c r="L15" s="1453"/>
      <c r="M15" s="1453"/>
      <c r="N15" s="1453"/>
      <c r="O15" s="1453"/>
      <c r="P15" s="1453"/>
      <c r="Q15" s="138"/>
      <c r="S15" s="274"/>
      <c r="Y15" s="159"/>
    </row>
    <row r="16" spans="2:25" ht="20.65">
      <c r="B16" s="164"/>
      <c r="C16" s="165"/>
      <c r="D16" s="1429" t="s">
        <v>167</v>
      </c>
      <c r="E16" s="1430"/>
      <c r="F16" s="1430"/>
      <c r="G16" s="1430"/>
      <c r="H16" s="1430"/>
      <c r="I16" s="1431"/>
      <c r="J16" s="145"/>
      <c r="K16" s="1454" t="s">
        <v>168</v>
      </c>
      <c r="L16" s="1455"/>
      <c r="M16" s="1455"/>
      <c r="N16" s="1455"/>
      <c r="O16" s="1455"/>
      <c r="P16" s="1455"/>
      <c r="Q16" s="138"/>
      <c r="Y16" s="159"/>
    </row>
    <row r="17" spans="2:25" ht="13.15">
      <c r="B17" s="163" t="s">
        <v>169</v>
      </c>
      <c r="C17" s="137" t="s">
        <v>171</v>
      </c>
      <c r="D17" s="153">
        <f>OP!J20</f>
        <v>2023</v>
      </c>
      <c r="E17" s="153">
        <f>D17-1</f>
        <v>2022</v>
      </c>
      <c r="F17" s="153">
        <f>E17-1</f>
        <v>2021</v>
      </c>
      <c r="G17" s="153">
        <f>F17-1</f>
        <v>2020</v>
      </c>
      <c r="H17" s="153">
        <f>G17-1</f>
        <v>2019</v>
      </c>
      <c r="I17" s="153">
        <f>H17-1</f>
        <v>2018</v>
      </c>
      <c r="J17" s="146"/>
      <c r="K17" s="148">
        <f>OP!J20</f>
        <v>2023</v>
      </c>
      <c r="L17" s="148">
        <f t="shared" ref="L17:P17" si="7">K17-1</f>
        <v>2022</v>
      </c>
      <c r="M17" s="148">
        <f t="shared" si="7"/>
        <v>2021</v>
      </c>
      <c r="N17" s="148">
        <f t="shared" si="7"/>
        <v>2020</v>
      </c>
      <c r="O17" s="148">
        <f t="shared" si="7"/>
        <v>2019</v>
      </c>
      <c r="P17" s="169">
        <f t="shared" si="7"/>
        <v>2018</v>
      </c>
      <c r="Q17" s="138"/>
      <c r="Y17" s="159"/>
    </row>
    <row r="18" spans="2:25" ht="13.15">
      <c r="B18" s="149">
        <f t="shared" ref="B18" si="8">IFERROR(D18/$D$24,"")</f>
        <v>1</v>
      </c>
      <c r="C18" s="140" t="s">
        <v>172</v>
      </c>
      <c r="D18" s="154">
        <v>1174598000</v>
      </c>
      <c r="E18" s="154">
        <v>852651000</v>
      </c>
      <c r="F18" s="154">
        <v>635627000</v>
      </c>
      <c r="G18" s="154">
        <v>561329000</v>
      </c>
      <c r="H18" s="154">
        <v>467633000</v>
      </c>
      <c r="I18" s="154">
        <v>377527000</v>
      </c>
      <c r="J18" s="147"/>
      <c r="K18" s="271">
        <f>(D18-E18)/E18</f>
        <v>0.3775835599794054</v>
      </c>
      <c r="L18" s="271">
        <f t="shared" ref="L18:O24" si="9">(E18-F18)/F18</f>
        <v>0.34143294731029361</v>
      </c>
      <c r="M18" s="271">
        <f t="shared" si="9"/>
        <v>0.13236087927044568</v>
      </c>
      <c r="N18" s="271">
        <f t="shared" si="9"/>
        <v>0.20036224988399023</v>
      </c>
      <c r="O18" s="271">
        <f t="shared" si="9"/>
        <v>0.23867431998241184</v>
      </c>
      <c r="P18" s="271" t="s">
        <v>51</v>
      </c>
      <c r="Q18" s="138"/>
      <c r="Y18" s="159"/>
    </row>
    <row r="19" spans="2:25" ht="13.5" thickBot="1">
      <c r="B19" s="849" t="str">
        <f>IF(D19/$D$24=0,"-")</f>
        <v>-</v>
      </c>
      <c r="C19" s="434"/>
      <c r="D19" s="154"/>
      <c r="E19" s="154"/>
      <c r="F19" s="154"/>
      <c r="G19" s="154"/>
      <c r="H19" s="154"/>
      <c r="I19" s="154"/>
      <c r="J19" s="147"/>
      <c r="K19" s="271" t="str">
        <f t="shared" ref="K19:O23" si="10">IFERROR((D19-E19)/E19,"-")</f>
        <v>-</v>
      </c>
      <c r="L19" s="271" t="str">
        <f t="shared" si="10"/>
        <v>-</v>
      </c>
      <c r="M19" s="271" t="str">
        <f t="shared" si="10"/>
        <v>-</v>
      </c>
      <c r="N19" s="271" t="str">
        <f t="shared" si="10"/>
        <v>-</v>
      </c>
      <c r="O19" s="271" t="str">
        <f t="shared" si="10"/>
        <v>-</v>
      </c>
      <c r="P19" s="435" t="s">
        <v>51</v>
      </c>
      <c r="Q19" s="138"/>
      <c r="Y19" s="159"/>
    </row>
    <row r="20" spans="2:25" ht="13.5" thickBot="1">
      <c r="B20" s="849" t="str">
        <f>IF(D20/$D$24=0,"-")</f>
        <v>-</v>
      </c>
      <c r="C20" s="141"/>
      <c r="D20" s="154"/>
      <c r="E20" s="154"/>
      <c r="F20" s="154"/>
      <c r="G20" s="154"/>
      <c r="H20" s="154"/>
      <c r="I20" s="154"/>
      <c r="J20" s="147"/>
      <c r="K20" s="850" t="str">
        <f t="shared" si="10"/>
        <v>-</v>
      </c>
      <c r="L20" s="850" t="str">
        <f t="shared" si="10"/>
        <v>-</v>
      </c>
      <c r="M20" s="850" t="str">
        <f t="shared" si="10"/>
        <v>-</v>
      </c>
      <c r="N20" s="850" t="str">
        <f t="shared" si="10"/>
        <v>-</v>
      </c>
      <c r="O20" s="850" t="str">
        <f t="shared" si="10"/>
        <v>-</v>
      </c>
      <c r="P20" s="272" t="s">
        <v>51</v>
      </c>
      <c r="Q20" s="138"/>
      <c r="Y20" s="159"/>
    </row>
    <row r="21" spans="2:25" ht="13.5" thickBot="1">
      <c r="B21" s="849" t="str">
        <f>IF(D21/$D$24=0,"-")</f>
        <v>-</v>
      </c>
      <c r="C21" s="141"/>
      <c r="D21" s="154"/>
      <c r="E21" s="154"/>
      <c r="F21" s="154"/>
      <c r="G21" s="154"/>
      <c r="H21" s="154"/>
      <c r="I21" s="154"/>
      <c r="J21" s="147"/>
      <c r="K21" s="850" t="str">
        <f t="shared" si="10"/>
        <v>-</v>
      </c>
      <c r="L21" s="850" t="str">
        <f t="shared" si="10"/>
        <v>-</v>
      </c>
      <c r="M21" s="850" t="str">
        <f t="shared" si="10"/>
        <v>-</v>
      </c>
      <c r="N21" s="850" t="str">
        <f t="shared" si="10"/>
        <v>-</v>
      </c>
      <c r="O21" s="850" t="str">
        <f t="shared" si="10"/>
        <v>-</v>
      </c>
      <c r="P21" s="272" t="s">
        <v>51</v>
      </c>
      <c r="Q21" s="138"/>
      <c r="Y21" s="159"/>
    </row>
    <row r="22" spans="2:25" ht="13.5" thickBot="1">
      <c r="B22" s="849" t="str">
        <f>IF(D22/$D$24=0,"-")</f>
        <v>-</v>
      </c>
      <c r="C22" s="141"/>
      <c r="D22" s="154"/>
      <c r="E22" s="154"/>
      <c r="F22" s="154"/>
      <c r="G22" s="154"/>
      <c r="H22" s="154"/>
      <c r="I22" s="154"/>
      <c r="J22" s="147"/>
      <c r="K22" s="850" t="str">
        <f t="shared" si="10"/>
        <v>-</v>
      </c>
      <c r="L22" s="850" t="str">
        <f t="shared" si="10"/>
        <v>-</v>
      </c>
      <c r="M22" s="850" t="str">
        <f t="shared" si="10"/>
        <v>-</v>
      </c>
      <c r="N22" s="850" t="str">
        <f t="shared" si="10"/>
        <v>-</v>
      </c>
      <c r="O22" s="850" t="str">
        <f t="shared" si="10"/>
        <v>-</v>
      </c>
      <c r="P22" s="272" t="s">
        <v>51</v>
      </c>
      <c r="Q22" s="138"/>
      <c r="Y22" s="159"/>
    </row>
    <row r="23" spans="2:25" ht="13.5" thickBot="1">
      <c r="B23" s="849" t="str">
        <f>IF(D23/$D$24=0,"-")</f>
        <v>-</v>
      </c>
      <c r="C23" s="155"/>
      <c r="D23" s="540"/>
      <c r="E23" s="540"/>
      <c r="F23" s="540"/>
      <c r="G23" s="540"/>
      <c r="H23" s="540"/>
      <c r="I23" s="540"/>
      <c r="J23" s="147"/>
      <c r="K23" s="850" t="str">
        <f t="shared" si="10"/>
        <v>-</v>
      </c>
      <c r="L23" s="850" t="str">
        <f t="shared" si="10"/>
        <v>-</v>
      </c>
      <c r="M23" s="850" t="str">
        <f t="shared" si="10"/>
        <v>-</v>
      </c>
      <c r="N23" s="850" t="str">
        <f t="shared" si="10"/>
        <v>-</v>
      </c>
      <c r="O23" s="850" t="str">
        <f t="shared" si="10"/>
        <v>-</v>
      </c>
      <c r="P23" s="273" t="s">
        <v>51</v>
      </c>
      <c r="Q23" s="138"/>
      <c r="Y23" s="159"/>
    </row>
    <row r="24" spans="2:25" ht="13.5" thickBot="1">
      <c r="B24" s="142">
        <f>SUM(B18:B23)</f>
        <v>1</v>
      </c>
      <c r="C24" s="537" t="s">
        <v>162</v>
      </c>
      <c r="D24" s="534">
        <f>SUM(D18:D23)</f>
        <v>1174598000</v>
      </c>
      <c r="E24" s="535">
        <f t="shared" ref="E24:I24" si="11">SUM(E18:E23)</f>
        <v>852651000</v>
      </c>
      <c r="F24" s="535">
        <f t="shared" si="11"/>
        <v>635627000</v>
      </c>
      <c r="G24" s="535">
        <f t="shared" si="11"/>
        <v>561329000</v>
      </c>
      <c r="H24" s="535">
        <f t="shared" si="11"/>
        <v>467633000</v>
      </c>
      <c r="I24" s="536">
        <f t="shared" si="11"/>
        <v>377527000</v>
      </c>
      <c r="J24" s="538"/>
      <c r="K24" s="269">
        <f>(D24-E24)/E24</f>
        <v>0.3775835599794054</v>
      </c>
      <c r="L24" s="270">
        <f t="shared" si="9"/>
        <v>0.34143294731029361</v>
      </c>
      <c r="M24" s="270">
        <f t="shared" ref="M24" si="12">(F24-G24)/G24</f>
        <v>0.13236087927044568</v>
      </c>
      <c r="N24" s="270">
        <f t="shared" ref="N24" si="13">(G24-H24)/H24</f>
        <v>0.20036224988399023</v>
      </c>
      <c r="O24" s="270">
        <f t="shared" ref="O24" si="14">(H24-I24)/I24</f>
        <v>0.23867431998241184</v>
      </c>
      <c r="P24" s="270" t="s">
        <v>51</v>
      </c>
      <c r="Q24" s="138"/>
      <c r="Y24" s="159"/>
    </row>
    <row r="25" spans="2:25" ht="13.15">
      <c r="C25" s="13"/>
      <c r="D25" s="14"/>
      <c r="E25" s="15"/>
      <c r="F25" s="14"/>
      <c r="G25" s="15"/>
      <c r="H25" s="14"/>
      <c r="I25" s="15"/>
      <c r="Q25" s="138"/>
      <c r="Y25" s="159"/>
    </row>
    <row r="26" spans="2:25" ht="20.65">
      <c r="B26" s="1429" t="s">
        <v>69</v>
      </c>
      <c r="C26" s="1431"/>
      <c r="D26" s="1429" t="s">
        <v>173</v>
      </c>
      <c r="E26" s="1430"/>
      <c r="F26" s="1430"/>
      <c r="G26" s="1430"/>
      <c r="H26" s="1430"/>
      <c r="I26" s="1461" t="s">
        <v>174</v>
      </c>
      <c r="J26" s="1462"/>
      <c r="K26" s="1462"/>
      <c r="L26" s="1462"/>
      <c r="M26" s="1462"/>
      <c r="N26" s="1462"/>
      <c r="O26" s="1462"/>
      <c r="P26" s="1462"/>
      <c r="Q26" s="138"/>
      <c r="Y26" s="159"/>
    </row>
    <row r="27" spans="2:25" ht="30.75" customHeight="1">
      <c r="B27" s="1446" t="s">
        <v>175</v>
      </c>
      <c r="C27" s="1447"/>
      <c r="D27" s="1456" t="s">
        <v>176</v>
      </c>
      <c r="E27" s="1457"/>
      <c r="F27" s="1457"/>
      <c r="G27" s="1457"/>
      <c r="H27" s="1457"/>
      <c r="I27" s="138"/>
      <c r="Q27" s="138"/>
      <c r="Y27" s="159"/>
    </row>
    <row r="28" spans="2:25" ht="41.25" customHeight="1">
      <c r="B28" s="1446"/>
      <c r="C28" s="1447"/>
      <c r="D28" s="1456"/>
      <c r="E28" s="1457"/>
      <c r="F28" s="1457"/>
      <c r="G28" s="1457"/>
      <c r="H28" s="1457"/>
      <c r="I28" s="138"/>
      <c r="Q28" s="138"/>
      <c r="Y28" s="159"/>
    </row>
    <row r="29" spans="2:25" ht="28.5" customHeight="1">
      <c r="B29" s="1446"/>
      <c r="C29" s="1447"/>
      <c r="D29" s="1458"/>
      <c r="E29" s="1457"/>
      <c r="F29" s="1457"/>
      <c r="G29" s="1457"/>
      <c r="H29" s="1457"/>
      <c r="I29" s="138"/>
      <c r="Q29" s="138"/>
      <c r="Y29" s="159"/>
    </row>
    <row r="30" spans="2:25" ht="30.75" customHeight="1">
      <c r="B30" s="1446"/>
      <c r="C30" s="1447"/>
      <c r="D30" s="1458"/>
      <c r="E30" s="1457"/>
      <c r="F30" s="1457"/>
      <c r="G30" s="1457"/>
      <c r="H30" s="1457"/>
      <c r="I30" s="138"/>
      <c r="Q30" s="138"/>
      <c r="Y30" s="159"/>
    </row>
    <row r="31" spans="2:25" ht="41.25" customHeight="1" thickBot="1">
      <c r="B31" s="1446"/>
      <c r="C31" s="1447"/>
      <c r="D31" s="1458"/>
      <c r="E31" s="1457"/>
      <c r="F31" s="1457"/>
      <c r="G31" s="1457"/>
      <c r="H31" s="1457"/>
      <c r="I31" s="138"/>
      <c r="Q31" s="138"/>
      <c r="Y31" s="159"/>
    </row>
    <row r="32" spans="2:25" ht="28.5" hidden="1" customHeight="1">
      <c r="B32" s="1446"/>
      <c r="C32" s="1447"/>
      <c r="D32" s="1459"/>
      <c r="E32" s="1460"/>
      <c r="F32" s="1460"/>
      <c r="G32" s="1460"/>
      <c r="H32" s="1460"/>
      <c r="I32" s="138"/>
      <c r="Q32" s="138"/>
      <c r="Y32" s="159"/>
    </row>
    <row r="33" spans="2:25" ht="56.25" customHeight="1" thickBot="1">
      <c r="I33" s="139"/>
      <c r="J33" s="160"/>
      <c r="K33" s="160"/>
      <c r="L33" s="160"/>
      <c r="M33" s="160"/>
      <c r="N33" s="160"/>
      <c r="O33" s="160"/>
      <c r="P33" s="160"/>
      <c r="Q33" s="139"/>
      <c r="R33" s="160"/>
      <c r="S33" s="160"/>
      <c r="T33" s="160"/>
      <c r="U33" s="160"/>
      <c r="V33" s="160"/>
      <c r="W33" s="160"/>
      <c r="X33" s="160"/>
      <c r="Y33" s="161"/>
    </row>
    <row r="34" spans="2:25" ht="21" thickBot="1">
      <c r="B34" s="1429" t="s">
        <v>177</v>
      </c>
      <c r="C34" s="1430"/>
      <c r="D34" s="1430"/>
      <c r="E34" s="1430"/>
      <c r="F34" s="1430"/>
      <c r="G34" s="1430"/>
      <c r="H34" s="1430"/>
      <c r="I34" s="1431"/>
      <c r="J34" s="1410" t="s">
        <v>178</v>
      </c>
      <c r="K34" s="1411"/>
      <c r="L34" s="1411"/>
      <c r="M34" s="1411"/>
      <c r="N34" s="1411"/>
      <c r="O34" s="1411"/>
      <c r="P34" s="1411"/>
      <c r="Q34" s="1412"/>
    </row>
    <row r="35" spans="2:25" ht="13.15">
      <c r="B35" s="1405" t="s">
        <v>179</v>
      </c>
      <c r="C35" s="1406"/>
      <c r="D35" s="1405" t="s">
        <v>173</v>
      </c>
      <c r="E35" s="1409"/>
      <c r="F35" s="1409"/>
      <c r="G35" s="1409"/>
      <c r="H35" s="1409"/>
      <c r="I35" s="1406"/>
      <c r="J35" s="156"/>
      <c r="K35" s="157"/>
      <c r="L35" s="157"/>
      <c r="M35" s="157"/>
      <c r="N35" s="157"/>
      <c r="O35" s="157"/>
      <c r="P35" s="157"/>
      <c r="Q35" s="158"/>
    </row>
    <row r="36" spans="2:25" ht="27" customHeight="1">
      <c r="B36" s="1407" t="s">
        <v>180</v>
      </c>
      <c r="C36" s="1408"/>
      <c r="D36" s="1436" t="s">
        <v>181</v>
      </c>
      <c r="E36" s="1437"/>
      <c r="F36" s="1437"/>
      <c r="G36" s="1437"/>
      <c r="H36" s="1437"/>
      <c r="I36" s="1438"/>
      <c r="J36" s="138"/>
      <c r="Q36" s="159"/>
    </row>
    <row r="37" spans="2:25" ht="27" customHeight="1">
      <c r="B37" s="1444" t="s">
        <v>182</v>
      </c>
      <c r="C37" s="1445"/>
      <c r="D37" s="1436" t="s">
        <v>183</v>
      </c>
      <c r="E37" s="1437"/>
      <c r="F37" s="1437"/>
      <c r="G37" s="1437"/>
      <c r="H37" s="1437"/>
      <c r="I37" s="1438"/>
      <c r="J37" s="138"/>
      <c r="Q37" s="159"/>
    </row>
    <row r="38" spans="2:25" ht="13.15">
      <c r="B38" s="1405" t="s">
        <v>184</v>
      </c>
      <c r="C38" s="1409"/>
      <c r="D38" s="1409"/>
      <c r="E38" s="1409"/>
      <c r="F38" s="1409"/>
      <c r="G38" s="1409"/>
      <c r="H38" s="1409"/>
      <c r="I38" s="1406"/>
      <c r="J38" s="138"/>
      <c r="Q38" s="159"/>
    </row>
    <row r="39" spans="2:25" ht="13.5" customHeight="1">
      <c r="B39" s="1425" t="s">
        <v>185</v>
      </c>
      <c r="C39" s="1426"/>
      <c r="D39" s="1441" t="s">
        <v>186</v>
      </c>
      <c r="E39" s="1442"/>
      <c r="F39" s="1443"/>
      <c r="G39" s="1441" t="s">
        <v>187</v>
      </c>
      <c r="H39" s="1442"/>
      <c r="I39" s="1443"/>
      <c r="J39" s="138"/>
      <c r="Q39" s="159"/>
      <c r="T39" s="10"/>
      <c r="U39" s="10"/>
    </row>
    <row r="40" spans="2:25" ht="13.15">
      <c r="B40" s="1427" t="s">
        <v>188</v>
      </c>
      <c r="C40" s="1428"/>
      <c r="D40" s="1419">
        <v>9.0999999999999998E-2</v>
      </c>
      <c r="E40" s="1420"/>
      <c r="F40" s="1421"/>
      <c r="G40" s="1413" t="s">
        <v>189</v>
      </c>
      <c r="H40" s="1414"/>
      <c r="I40" s="1415"/>
      <c r="J40" s="138"/>
      <c r="Q40" s="159"/>
      <c r="T40" s="10"/>
      <c r="U40" s="10"/>
    </row>
    <row r="41" spans="2:25" ht="13.15">
      <c r="B41" s="1427" t="s">
        <v>190</v>
      </c>
      <c r="C41" s="1428"/>
      <c r="D41" s="1419">
        <v>9.1300000000000006E-2</v>
      </c>
      <c r="E41" s="1420"/>
      <c r="F41" s="1421"/>
      <c r="G41" s="1413" t="s">
        <v>191</v>
      </c>
      <c r="H41" s="1414"/>
      <c r="I41" s="1415"/>
      <c r="J41" s="138"/>
      <c r="Q41" s="159"/>
      <c r="T41" s="10"/>
      <c r="U41" s="10"/>
    </row>
    <row r="42" spans="2:25" ht="13.15">
      <c r="B42" s="1432" t="s">
        <v>192</v>
      </c>
      <c r="C42" s="1433"/>
      <c r="D42" s="1422">
        <v>7.5999999999999998E-2</v>
      </c>
      <c r="E42" s="1423"/>
      <c r="F42" s="1424"/>
      <c r="G42" s="1416" t="s">
        <v>193</v>
      </c>
      <c r="H42" s="1417"/>
      <c r="I42" s="1418"/>
      <c r="J42" s="138"/>
      <c r="Q42" s="159"/>
      <c r="T42" s="10"/>
      <c r="U42" s="10"/>
    </row>
    <row r="43" spans="2:25" ht="12.4" customHeight="1">
      <c r="B43" s="1434" t="s">
        <v>194</v>
      </c>
      <c r="C43" s="1435"/>
      <c r="D43" s="1439">
        <f>AVERAGE(D40:F42)</f>
        <v>8.610000000000001E-2</v>
      </c>
      <c r="E43" s="1439"/>
      <c r="F43" s="1439"/>
      <c r="G43" s="1439"/>
      <c r="H43" s="1439"/>
      <c r="I43" s="1440"/>
      <c r="Q43" s="159"/>
      <c r="T43" s="10"/>
      <c r="U43" s="10"/>
    </row>
    <row r="44" spans="2:25" ht="20.65">
      <c r="B44" s="1402" t="s">
        <v>195</v>
      </c>
      <c r="C44" s="1403"/>
      <c r="D44" s="1403"/>
      <c r="E44" s="1403"/>
      <c r="F44" s="1403"/>
      <c r="G44" s="1403"/>
      <c r="H44" s="1403"/>
      <c r="I44" s="1404"/>
      <c r="Q44" s="159"/>
      <c r="T44" s="10"/>
      <c r="U44" s="10"/>
    </row>
    <row r="45" spans="2:25" ht="15" customHeight="1">
      <c r="B45" s="1465" t="s">
        <v>196</v>
      </c>
      <c r="C45" s="1466"/>
      <c r="D45" s="1466"/>
      <c r="E45" s="1466"/>
      <c r="F45" s="1466"/>
      <c r="G45" s="1466"/>
      <c r="H45" s="1466"/>
      <c r="I45" s="1467"/>
      <c r="Q45" s="159"/>
      <c r="T45" s="10"/>
      <c r="U45" s="10"/>
    </row>
    <row r="46" spans="2:25">
      <c r="B46" s="1468"/>
      <c r="C46" s="1469"/>
      <c r="D46" s="1469"/>
      <c r="E46" s="1469"/>
      <c r="F46" s="1469"/>
      <c r="G46" s="1469"/>
      <c r="H46" s="1469"/>
      <c r="I46" s="1470"/>
      <c r="Q46" s="159"/>
      <c r="T46" s="10"/>
      <c r="U46" s="10"/>
    </row>
    <row r="47" spans="2:25" ht="12.75" customHeight="1">
      <c r="B47" s="1468"/>
      <c r="C47" s="1469"/>
      <c r="D47" s="1469"/>
      <c r="E47" s="1469"/>
      <c r="F47" s="1469"/>
      <c r="G47" s="1469"/>
      <c r="H47" s="1469"/>
      <c r="I47" s="1470"/>
      <c r="Q47" s="159"/>
      <c r="T47" s="10"/>
      <c r="U47" s="10"/>
    </row>
    <row r="48" spans="2:25" ht="11.25" customHeight="1">
      <c r="B48" s="586"/>
      <c r="C48" s="583"/>
      <c r="D48" s="583"/>
      <c r="E48" s="583"/>
      <c r="F48" s="583"/>
      <c r="G48" s="583"/>
      <c r="H48" s="583"/>
      <c r="I48" s="587"/>
      <c r="Q48" s="159"/>
      <c r="T48" s="10"/>
      <c r="U48" s="10"/>
    </row>
    <row r="49" spans="2:21" ht="15.75" customHeight="1">
      <c r="B49" s="1471" t="s">
        <v>197</v>
      </c>
      <c r="C49" s="857"/>
      <c r="D49" s="858" t="s">
        <v>198</v>
      </c>
      <c r="E49" s="858" t="s">
        <v>199</v>
      </c>
      <c r="F49" s="858" t="s">
        <v>200</v>
      </c>
      <c r="G49" s="858" t="s">
        <v>201</v>
      </c>
      <c r="H49" s="859" t="s">
        <v>202</v>
      </c>
      <c r="I49" s="587"/>
      <c r="Q49" s="159"/>
      <c r="T49" s="10"/>
      <c r="U49" s="10"/>
    </row>
    <row r="50" spans="2:21" ht="12.75" customHeight="1">
      <c r="B50" s="1472"/>
      <c r="C50" s="1482" t="s">
        <v>203</v>
      </c>
      <c r="D50" s="582" t="b">
        <v>0</v>
      </c>
      <c r="E50" s="582" t="b">
        <v>0</v>
      </c>
      <c r="F50" s="582" t="b">
        <v>0</v>
      </c>
      <c r="G50" s="582" t="b">
        <v>1</v>
      </c>
      <c r="H50" s="592" t="b">
        <v>0</v>
      </c>
      <c r="I50" s="587"/>
      <c r="Q50" s="159"/>
      <c r="T50" s="10"/>
      <c r="U50" s="10"/>
    </row>
    <row r="51" spans="2:21" ht="24.75" customHeight="1">
      <c r="B51" s="1472"/>
      <c r="C51" s="1483"/>
      <c r="D51" s="1474" t="s">
        <v>204</v>
      </c>
      <c r="E51" s="1474"/>
      <c r="F51" s="1474"/>
      <c r="G51" s="1474"/>
      <c r="H51" s="1475"/>
      <c r="I51" s="587"/>
      <c r="Q51" s="159"/>
      <c r="T51" s="10"/>
      <c r="U51" s="10"/>
    </row>
    <row r="52" spans="2:21">
      <c r="B52" s="1472"/>
      <c r="C52" s="1482" t="s">
        <v>205</v>
      </c>
      <c r="D52" s="582" t="b">
        <v>0</v>
      </c>
      <c r="E52" s="582" t="b">
        <v>0</v>
      </c>
      <c r="F52" s="582" t="b">
        <v>1</v>
      </c>
      <c r="G52" s="582" t="b">
        <v>0</v>
      </c>
      <c r="H52" s="592" t="b">
        <v>0</v>
      </c>
      <c r="I52" s="587"/>
      <c r="Q52" s="159"/>
      <c r="T52" s="10"/>
      <c r="U52" s="10"/>
    </row>
    <row r="53" spans="2:21" ht="24.75" customHeight="1">
      <c r="B53" s="1472"/>
      <c r="C53" s="1483"/>
      <c r="D53" s="1476" t="s">
        <v>206</v>
      </c>
      <c r="E53" s="1476"/>
      <c r="F53" s="1476"/>
      <c r="G53" s="1476"/>
      <c r="H53" s="1477"/>
      <c r="I53" s="587"/>
      <c r="Q53" s="159"/>
      <c r="T53" s="10"/>
      <c r="U53" s="10"/>
    </row>
    <row r="54" spans="2:21">
      <c r="B54" s="1472"/>
      <c r="C54" s="1482" t="s">
        <v>207</v>
      </c>
      <c r="D54" s="582" t="b">
        <v>0</v>
      </c>
      <c r="E54" s="582" t="b">
        <v>0</v>
      </c>
      <c r="F54" s="582" t="b">
        <v>0</v>
      </c>
      <c r="G54" s="582" t="b">
        <v>0</v>
      </c>
      <c r="H54" s="592" t="b">
        <v>1</v>
      </c>
      <c r="I54" s="587"/>
      <c r="Q54" s="159"/>
      <c r="T54" s="10"/>
      <c r="U54" s="10"/>
    </row>
    <row r="55" spans="2:21" ht="24.75" customHeight="1">
      <c r="B55" s="1472"/>
      <c r="C55" s="1483"/>
      <c r="D55" s="1476" t="s">
        <v>208</v>
      </c>
      <c r="E55" s="1476"/>
      <c r="F55" s="1476"/>
      <c r="G55" s="1476"/>
      <c r="H55" s="1477"/>
      <c r="I55" s="587"/>
      <c r="Q55" s="159"/>
      <c r="T55" s="10"/>
      <c r="U55" s="10"/>
    </row>
    <row r="56" spans="2:21">
      <c r="B56" s="1472"/>
      <c r="C56" s="1482" t="s">
        <v>209</v>
      </c>
      <c r="D56" s="584" t="b">
        <v>1</v>
      </c>
      <c r="E56" s="585" t="b">
        <v>0</v>
      </c>
      <c r="F56" s="585" t="b">
        <v>0</v>
      </c>
      <c r="G56" s="585" t="b">
        <v>0</v>
      </c>
      <c r="H56" s="593" t="b">
        <v>0</v>
      </c>
      <c r="I56" s="49"/>
      <c r="Q56" s="159"/>
      <c r="T56" s="10"/>
      <c r="U56" s="10"/>
    </row>
    <row r="57" spans="2:21" ht="24.75" customHeight="1">
      <c r="B57" s="1472"/>
      <c r="C57" s="1483"/>
      <c r="D57" s="1478" t="s">
        <v>210</v>
      </c>
      <c r="E57" s="1478"/>
      <c r="F57" s="1478"/>
      <c r="G57" s="1478"/>
      <c r="H57" s="1479"/>
      <c r="I57" s="49"/>
      <c r="Q57" s="159"/>
      <c r="T57" s="10"/>
      <c r="U57" s="10"/>
    </row>
    <row r="58" spans="2:21">
      <c r="B58" s="1472"/>
      <c r="C58" s="1482" t="s">
        <v>211</v>
      </c>
      <c r="D58" s="584" t="b">
        <v>0</v>
      </c>
      <c r="E58" s="585" t="b">
        <v>0</v>
      </c>
      <c r="F58" s="585" t="b">
        <v>0</v>
      </c>
      <c r="G58" s="585" t="b">
        <v>1</v>
      </c>
      <c r="H58" s="593" t="b">
        <v>0</v>
      </c>
      <c r="I58" s="49"/>
      <c r="Q58" s="159"/>
      <c r="T58" s="10"/>
      <c r="U58" s="10"/>
    </row>
    <row r="59" spans="2:21" ht="24.75" customHeight="1">
      <c r="B59" s="1473"/>
      <c r="C59" s="1484"/>
      <c r="D59" s="1480" t="s">
        <v>212</v>
      </c>
      <c r="E59" s="1480"/>
      <c r="F59" s="1480"/>
      <c r="G59" s="1480"/>
      <c r="H59" s="1481"/>
      <c r="I59" s="49"/>
      <c r="Q59" s="159"/>
      <c r="T59" s="10"/>
      <c r="U59" s="10"/>
    </row>
    <row r="60" spans="2:21">
      <c r="B60" s="581"/>
      <c r="I60" s="49"/>
      <c r="Q60" s="159"/>
      <c r="T60" s="10"/>
      <c r="U60" s="10"/>
    </row>
    <row r="61" spans="2:21">
      <c r="B61" s="588"/>
      <c r="C61" s="589"/>
      <c r="D61" s="590"/>
      <c r="E61" s="589"/>
      <c r="F61" s="589"/>
      <c r="G61" s="589"/>
      <c r="H61" s="589"/>
      <c r="I61" s="591"/>
      <c r="J61" s="160"/>
      <c r="K61" s="160"/>
      <c r="L61" s="160"/>
      <c r="M61" s="160"/>
      <c r="N61" s="160"/>
      <c r="O61" s="160"/>
      <c r="P61" s="160"/>
      <c r="Q61" s="161"/>
      <c r="T61" s="10"/>
      <c r="U61" s="10"/>
    </row>
    <row r="62" spans="2:21">
      <c r="T62" s="10"/>
      <c r="U62" s="10"/>
    </row>
    <row r="63" spans="2:21">
      <c r="T63" s="10"/>
      <c r="U63" s="10"/>
    </row>
    <row r="64" spans="2:21">
      <c r="T64" s="10"/>
      <c r="U64" s="10"/>
    </row>
    <row r="65" spans="15:21">
      <c r="T65" s="10"/>
      <c r="U65" s="10"/>
    </row>
    <row r="66" spans="15:21">
      <c r="O66" s="275"/>
      <c r="T66" s="10"/>
      <c r="U66" s="10"/>
    </row>
    <row r="67" spans="15:21">
      <c r="O67" s="275"/>
      <c r="T67" s="10"/>
      <c r="U67" s="10"/>
    </row>
    <row r="68" spans="15:21">
      <c r="O68" s="275"/>
      <c r="T68" s="10"/>
      <c r="U68" s="10"/>
    </row>
    <row r="69" spans="15:21">
      <c r="T69" s="10"/>
      <c r="U69" s="10"/>
    </row>
    <row r="70" spans="15:21">
      <c r="T70" s="10"/>
      <c r="U70" s="10"/>
    </row>
    <row r="71" spans="15:21">
      <c r="T71" s="10"/>
      <c r="U71" s="10"/>
    </row>
    <row r="72" spans="15:21">
      <c r="T72" s="10"/>
      <c r="U72" s="10"/>
    </row>
    <row r="73" spans="15:21">
      <c r="T73" s="10"/>
      <c r="U73" s="10"/>
    </row>
    <row r="74" spans="15:21">
      <c r="T74" s="10"/>
      <c r="U74" s="10"/>
    </row>
    <row r="75" spans="15:21">
      <c r="T75" s="10"/>
      <c r="U75" s="10"/>
    </row>
  </sheetData>
  <mergeCells count="58">
    <mergeCell ref="B45:I47"/>
    <mergeCell ref="B49:B59"/>
    <mergeCell ref="D51:H51"/>
    <mergeCell ref="D53:H53"/>
    <mergeCell ref="D55:H55"/>
    <mergeCell ref="D57:H57"/>
    <mergeCell ref="D59:H59"/>
    <mergeCell ref="C50:C51"/>
    <mergeCell ref="C52:C53"/>
    <mergeCell ref="C54:C55"/>
    <mergeCell ref="C56:C57"/>
    <mergeCell ref="C58:C59"/>
    <mergeCell ref="Q2:Y2"/>
    <mergeCell ref="K3:P3"/>
    <mergeCell ref="B2:P2"/>
    <mergeCell ref="K16:P16"/>
    <mergeCell ref="B32:C32"/>
    <mergeCell ref="B15:P15"/>
    <mergeCell ref="D16:I16"/>
    <mergeCell ref="D26:H26"/>
    <mergeCell ref="D27:H27"/>
    <mergeCell ref="D28:H28"/>
    <mergeCell ref="D29:H29"/>
    <mergeCell ref="D30:H30"/>
    <mergeCell ref="D31:H31"/>
    <mergeCell ref="D32:H32"/>
    <mergeCell ref="I26:P26"/>
    <mergeCell ref="D3:I3"/>
    <mergeCell ref="B27:C27"/>
    <mergeCell ref="B30:C30"/>
    <mergeCell ref="B31:C31"/>
    <mergeCell ref="B26:C26"/>
    <mergeCell ref="B29:C29"/>
    <mergeCell ref="B28:C28"/>
    <mergeCell ref="B43:C43"/>
    <mergeCell ref="D36:I36"/>
    <mergeCell ref="D37:I37"/>
    <mergeCell ref="D43:I43"/>
    <mergeCell ref="D39:F39"/>
    <mergeCell ref="G39:I39"/>
    <mergeCell ref="B37:C37"/>
    <mergeCell ref="B41:C41"/>
    <mergeCell ref="B44:I44"/>
    <mergeCell ref="B35:C35"/>
    <mergeCell ref="B36:C36"/>
    <mergeCell ref="D35:I35"/>
    <mergeCell ref="J34:Q34"/>
    <mergeCell ref="G41:I41"/>
    <mergeCell ref="G42:I42"/>
    <mergeCell ref="D40:F40"/>
    <mergeCell ref="D41:F41"/>
    <mergeCell ref="D42:F42"/>
    <mergeCell ref="B38:I38"/>
    <mergeCell ref="B39:C39"/>
    <mergeCell ref="B40:C40"/>
    <mergeCell ref="G40:I40"/>
    <mergeCell ref="B34:I34"/>
    <mergeCell ref="B42:C42"/>
  </mergeCells>
  <phoneticPr fontId="0" type="noConversion"/>
  <conditionalFormatting sqref="B5:B12">
    <cfRule type="dataBar" priority="73">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23">
    <cfRule type="dataBar" priority="44">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2">
    <cfRule type="dataBar" priority="56">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8">
    <cfRule type="dataBar" priority="7">
      <dataBar>
        <cfvo type="min"/>
        <cfvo type="max"/>
        <color rgb="FF63C384"/>
      </dataBar>
      <extLst>
        <ext xmlns:x14="http://schemas.microsoft.com/office/spreadsheetml/2009/9/main" uri="{B025F937-C7B1-47D3-B67F-A62EFF666E3E}">
          <x14:id>{000DB604-6EB7-461A-9F47-CD1010FFA5FD}</x14:id>
        </ext>
      </extLst>
    </cfRule>
  </conditionalFormatting>
  <conditionalFormatting sqref="D19:D23">
    <cfRule type="dataBar" priority="14">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10">
    <cfRule type="dataBar" priority="30">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8:I18">
    <cfRule type="dataBar" priority="1">
      <dataBar>
        <cfvo type="min"/>
        <cfvo type="max"/>
        <color rgb="FF63C384"/>
      </dataBar>
      <extLst>
        <ext xmlns:x14="http://schemas.microsoft.com/office/spreadsheetml/2009/9/main" uri="{B025F937-C7B1-47D3-B67F-A62EFF666E3E}">
          <x14:id>{77D95097-E6CC-4A2B-975B-5FF8A22514B4}</x14:id>
        </ext>
      </extLst>
    </cfRule>
  </conditionalFormatting>
  <conditionalFormatting sqref="D19:I23">
    <cfRule type="dataBar" priority="8">
      <dataBar>
        <cfvo type="min"/>
        <cfvo type="max"/>
        <color rgb="FF63C384"/>
      </dataBar>
      <extLst>
        <ext xmlns:x14="http://schemas.microsoft.com/office/spreadsheetml/2009/9/main" uri="{B025F937-C7B1-47D3-B67F-A62EFF666E3E}">
          <x14:id>{5BBC426E-7FA9-4F5C-AC78-B3996BA8F931}</x14:id>
        </ext>
      </extLst>
    </cfRule>
  </conditionalFormatting>
  <conditionalFormatting sqref="E5:E12">
    <cfRule type="dataBar" priority="55">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8">
    <cfRule type="dataBar" priority="6">
      <dataBar>
        <cfvo type="min"/>
        <cfvo type="max"/>
        <color rgb="FF63C384"/>
      </dataBar>
      <extLst>
        <ext xmlns:x14="http://schemas.microsoft.com/office/spreadsheetml/2009/9/main" uri="{B025F937-C7B1-47D3-B67F-A62EFF666E3E}">
          <x14:id>{BFA81E53-6CE8-4BEA-A62F-5074CA0A72CA}</x14:id>
        </ext>
      </extLst>
    </cfRule>
  </conditionalFormatting>
  <conditionalFormatting sqref="E19:E23">
    <cfRule type="dataBar" priority="13">
      <dataBar>
        <cfvo type="min"/>
        <cfvo type="max"/>
        <color rgb="FF63C384"/>
      </dataBar>
      <extLst>
        <ext xmlns:x14="http://schemas.microsoft.com/office/spreadsheetml/2009/9/main" uri="{B025F937-C7B1-47D3-B67F-A62EFF666E3E}">
          <x14:id>{5AA7A103-2149-42E1-9BBB-48A01258D43D}</x14:id>
        </ext>
      </extLst>
    </cfRule>
  </conditionalFormatting>
  <conditionalFormatting sqref="F5:F12">
    <cfRule type="dataBar" priority="54">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8">
    <cfRule type="dataBar" priority="5">
      <dataBar>
        <cfvo type="min"/>
        <cfvo type="max"/>
        <color rgb="FF63C384"/>
      </dataBar>
      <extLst>
        <ext xmlns:x14="http://schemas.microsoft.com/office/spreadsheetml/2009/9/main" uri="{B025F937-C7B1-47D3-B67F-A62EFF666E3E}">
          <x14:id>{EFF89189-993F-40F0-8503-C94CD38730CB}</x14:id>
        </ext>
      </extLst>
    </cfRule>
  </conditionalFormatting>
  <conditionalFormatting sqref="F19:F23">
    <cfRule type="dataBar" priority="12">
      <dataBar>
        <cfvo type="min"/>
        <cfvo type="max"/>
        <color rgb="FF63C384"/>
      </dataBar>
      <extLst>
        <ext xmlns:x14="http://schemas.microsoft.com/office/spreadsheetml/2009/9/main" uri="{B025F937-C7B1-47D3-B67F-A62EFF666E3E}">
          <x14:id>{5EE1521A-2483-44CA-9CCA-E5FC63E6246F}</x14:id>
        </ext>
      </extLst>
    </cfRule>
  </conditionalFormatting>
  <conditionalFormatting sqref="G5:G12">
    <cfRule type="dataBar" priority="53">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8">
    <cfRule type="dataBar" priority="4">
      <dataBar>
        <cfvo type="min"/>
        <cfvo type="max"/>
        <color rgb="FF63C384"/>
      </dataBar>
      <extLst>
        <ext xmlns:x14="http://schemas.microsoft.com/office/spreadsheetml/2009/9/main" uri="{B025F937-C7B1-47D3-B67F-A62EFF666E3E}">
          <x14:id>{9A6552F9-C1D2-4016-9D8F-187BD298C16C}</x14:id>
        </ext>
      </extLst>
    </cfRule>
  </conditionalFormatting>
  <conditionalFormatting sqref="G19:G23">
    <cfRule type="dataBar" priority="11">
      <dataBar>
        <cfvo type="min"/>
        <cfvo type="max"/>
        <color rgb="FF63C384"/>
      </dataBar>
      <extLst>
        <ext xmlns:x14="http://schemas.microsoft.com/office/spreadsheetml/2009/9/main" uri="{B025F937-C7B1-47D3-B67F-A62EFF666E3E}">
          <x14:id>{00DC50B7-1706-4DFB-A90F-9F95CB19CA6D}</x14:id>
        </ext>
      </extLst>
    </cfRule>
  </conditionalFormatting>
  <conditionalFormatting sqref="H5:H12">
    <cfRule type="dataBar" priority="52">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8">
    <cfRule type="dataBar" priority="3">
      <dataBar>
        <cfvo type="min"/>
        <cfvo type="max"/>
        <color rgb="FF63C384"/>
      </dataBar>
      <extLst>
        <ext xmlns:x14="http://schemas.microsoft.com/office/spreadsheetml/2009/9/main" uri="{B025F937-C7B1-47D3-B67F-A62EFF666E3E}">
          <x14:id>{1CF8BB2F-DFD7-42E8-9906-EC081ACBED81}</x14:id>
        </ext>
      </extLst>
    </cfRule>
  </conditionalFormatting>
  <conditionalFormatting sqref="H19:H23">
    <cfRule type="dataBar" priority="10">
      <dataBar>
        <cfvo type="min"/>
        <cfvo type="max"/>
        <color rgb="FF63C384"/>
      </dataBar>
      <extLst>
        <ext xmlns:x14="http://schemas.microsoft.com/office/spreadsheetml/2009/9/main" uri="{B025F937-C7B1-47D3-B67F-A62EFF666E3E}">
          <x14:id>{EED505F4-1AE5-4E85-A25F-1DAC1EADC97D}</x14:id>
        </ext>
      </extLst>
    </cfRule>
  </conditionalFormatting>
  <conditionalFormatting sqref="I5:I12">
    <cfRule type="dataBar" priority="51">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8">
    <cfRule type="dataBar" priority="2">
      <dataBar>
        <cfvo type="min"/>
        <cfvo type="max"/>
        <color rgb="FF63C384"/>
      </dataBar>
      <extLst>
        <ext xmlns:x14="http://schemas.microsoft.com/office/spreadsheetml/2009/9/main" uri="{B025F937-C7B1-47D3-B67F-A62EFF666E3E}">
          <x14:id>{F00E26F0-D19D-465F-BBDA-45167459EE3D}</x14:id>
        </ext>
      </extLst>
    </cfRule>
  </conditionalFormatting>
  <conditionalFormatting sqref="I19:I23">
    <cfRule type="dataBar" priority="9">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2 L6:O10">
    <cfRule type="dataBar" priority="63">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8:K23 L19:O23">
    <cfRule type="dataBar" priority="21">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8:O23">
    <cfRule type="dataBar" priority="69">
      <dataBar>
        <cfvo type="min"/>
        <cfvo type="max"/>
        <color rgb="FF63C384"/>
      </dataBar>
      <extLst>
        <ext xmlns:x14="http://schemas.microsoft.com/office/spreadsheetml/2009/9/main" uri="{B025F937-C7B1-47D3-B67F-A62EFF666E3E}">
          <x14:id>{589E11FE-E342-4D21-9EB3-CB0F15AE87A6}</x14:id>
        </ext>
      </extLst>
    </cfRule>
    <cfRule type="dataBar" priority="33">
      <dataBar>
        <cfvo type="min"/>
        <cfvo type="max"/>
        <color rgb="FF63C384"/>
      </dataBar>
      <extLst>
        <ext xmlns:x14="http://schemas.microsoft.com/office/spreadsheetml/2009/9/main" uri="{B025F937-C7B1-47D3-B67F-A62EFF666E3E}">
          <x14:id>{CBC457F7-3DB8-46A0-988B-11CCF8FF31E5}</x14:id>
        </ext>
      </extLst>
    </cfRule>
    <cfRule type="dataBar" priority="41">
      <dataBar>
        <cfvo type="min"/>
        <cfvo type="max"/>
        <color rgb="FF63C384"/>
      </dataBar>
      <extLst>
        <ext xmlns:x14="http://schemas.microsoft.com/office/spreadsheetml/2009/9/main" uri="{B025F937-C7B1-47D3-B67F-A62EFF666E3E}">
          <x14:id>{BE9D279A-ADD8-46F4-B26E-577DEFFA037B}</x14:id>
        </ext>
      </extLst>
    </cfRule>
  </conditionalFormatting>
  <conditionalFormatting sqref="K18:P22 K20:O23">
    <cfRule type="dataBar" priority="15">
      <dataBar>
        <cfvo type="min"/>
        <cfvo type="max"/>
        <color rgb="FF63C384"/>
      </dataBar>
      <extLst>
        <ext xmlns:x14="http://schemas.microsoft.com/office/spreadsheetml/2009/9/main" uri="{B025F937-C7B1-47D3-B67F-A62EFF666E3E}">
          <x14:id>{A85696C3-3FD4-4347-BBC8-6CEF041D9BC2}</x14:id>
        </ext>
      </extLst>
    </cfRule>
    <cfRule type="dataBar" priority="34">
      <dataBar>
        <cfvo type="min"/>
        <cfvo type="max"/>
        <color rgb="FF63C384"/>
      </dataBar>
      <extLst>
        <ext xmlns:x14="http://schemas.microsoft.com/office/spreadsheetml/2009/9/main" uri="{B025F937-C7B1-47D3-B67F-A62EFF666E3E}">
          <x14:id>{9095667E-69EE-4811-BEDE-AFA010708C3B}</x14:id>
        </ext>
      </extLst>
    </cfRule>
    <cfRule type="dataBar" priority="39">
      <dataBar>
        <cfvo type="min"/>
        <cfvo type="max"/>
        <color rgb="FF63C384"/>
      </dataBar>
      <extLst>
        <ext xmlns:x14="http://schemas.microsoft.com/office/spreadsheetml/2009/9/main" uri="{B025F937-C7B1-47D3-B67F-A62EFF666E3E}">
          <x14:id>{00030478-9DDE-4C48-B970-8BFEEA7887D7}</x14:id>
        </ext>
      </extLst>
    </cfRule>
    <cfRule type="dataBar" priority="32">
      <dataBar>
        <cfvo type="min"/>
        <cfvo type="max"/>
        <color rgb="FF63C384"/>
      </dataBar>
      <extLst>
        <ext xmlns:x14="http://schemas.microsoft.com/office/spreadsheetml/2009/9/main" uri="{B025F937-C7B1-47D3-B67F-A62EFF666E3E}">
          <x14:id>{4CBCF4A4-EFBB-41F0-984E-0C4EF2D8C81C}</x14:id>
        </ext>
      </extLst>
    </cfRule>
  </conditionalFormatting>
  <conditionalFormatting sqref="K18:P23">
    <cfRule type="dataBar" priority="35">
      <dataBar>
        <cfvo type="min"/>
        <cfvo type="max"/>
        <color rgb="FF63C384"/>
      </dataBar>
      <extLst>
        <ext xmlns:x14="http://schemas.microsoft.com/office/spreadsheetml/2009/9/main" uri="{B025F937-C7B1-47D3-B67F-A62EFF666E3E}">
          <x14:id>{EC7F1560-4E75-4756-AE37-09B82982D1AB}</x14:id>
        </ext>
      </extLst>
    </cfRule>
  </conditionalFormatting>
  <conditionalFormatting sqref="K23:P23">
    <cfRule type="dataBar" priority="40">
      <dataBar>
        <cfvo type="min"/>
        <cfvo type="max"/>
        <color rgb="FF63C384"/>
      </dataBar>
      <extLst>
        <ext xmlns:x14="http://schemas.microsoft.com/office/spreadsheetml/2009/9/main" uri="{B025F937-C7B1-47D3-B67F-A62EFF666E3E}">
          <x14:id>{FE2287FA-B40E-40F5-8AA8-262EA0BD4636}</x14:id>
        </ext>
      </extLst>
    </cfRule>
    <cfRule type="dataBar" priority="38">
      <dataBar>
        <cfvo type="min"/>
        <cfvo type="max"/>
        <color rgb="FF63C384"/>
      </dataBar>
      <extLst>
        <ext xmlns:x14="http://schemas.microsoft.com/office/spreadsheetml/2009/9/main" uri="{B025F937-C7B1-47D3-B67F-A62EFF666E3E}">
          <x14:id>{904D660B-3592-4479-B026-ACD9350A3616}</x14:id>
        </ext>
      </extLst>
    </cfRule>
    <cfRule type="dataBar" priority="22">
      <dataBar>
        <cfvo type="min"/>
        <cfvo type="max"/>
        <color rgb="FF63C384"/>
      </dataBar>
      <extLst>
        <ext xmlns:x14="http://schemas.microsoft.com/office/spreadsheetml/2009/9/main" uri="{B025F937-C7B1-47D3-B67F-A62EFF666E3E}">
          <x14:id>{624EF9E9-FC69-4C57-8B92-4F6320D43BF6}</x14:id>
        </ext>
      </extLst>
    </cfRule>
    <cfRule type="dataBar" priority="31">
      <dataBar>
        <cfvo type="min"/>
        <cfvo type="max"/>
        <color rgb="FF63C384"/>
      </dataBar>
      <extLst>
        <ext xmlns:x14="http://schemas.microsoft.com/office/spreadsheetml/2009/9/main" uri="{B025F937-C7B1-47D3-B67F-A62EFF666E3E}">
          <x14:id>{1C8C07B2-BD7C-4727-B188-3301C366D456}</x14:id>
        </ext>
      </extLst>
    </cfRule>
  </conditionalFormatting>
  <conditionalFormatting sqref="L5:L12">
    <cfRule type="dataBar" priority="61">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23">
    <cfRule type="dataBar" priority="20">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1:M12 K5:P10">
    <cfRule type="dataBar" priority="37">
      <dataBar>
        <cfvo type="min"/>
        <cfvo type="max"/>
        <color rgb="FF63C384"/>
      </dataBar>
      <extLst>
        <ext xmlns:x14="http://schemas.microsoft.com/office/spreadsheetml/2009/9/main" uri="{B025F937-C7B1-47D3-B67F-A62EFF666E3E}">
          <x14:id>{5832A442-CC22-41FC-AD17-86122538435B}</x14:id>
        </ext>
      </extLst>
    </cfRule>
    <cfRule type="dataBar" priority="36">
      <dataBar>
        <cfvo type="min"/>
        <cfvo type="max"/>
        <color rgb="FF63C384"/>
      </dataBar>
      <extLst>
        <ext xmlns:x14="http://schemas.microsoft.com/office/spreadsheetml/2009/9/main" uri="{B025F937-C7B1-47D3-B67F-A62EFF666E3E}">
          <x14:id>{1642E512-5328-4DB9-81F4-5A67EFFA2D7A}</x14:id>
        </ext>
      </extLst>
    </cfRule>
  </conditionalFormatting>
  <conditionalFormatting sqref="M11:M12 M5:P10">
    <cfRule type="dataBar" priority="42">
      <dataBar>
        <cfvo type="min"/>
        <cfvo type="max"/>
        <color rgb="FF63C384"/>
      </dataBar>
      <extLst>
        <ext xmlns:x14="http://schemas.microsoft.com/office/spreadsheetml/2009/9/main" uri="{B025F937-C7B1-47D3-B67F-A62EFF666E3E}">
          <x14:id>{418255D3-2B96-41A9-9582-87939D7FAE81}</x14:id>
        </ext>
      </extLst>
    </cfRule>
  </conditionalFormatting>
  <conditionalFormatting sqref="M20:M22">
    <cfRule type="dataBar" priority="19">
      <dataBar>
        <cfvo type="min"/>
        <cfvo type="max"/>
        <color rgb="FF63C384"/>
      </dataBar>
      <extLst>
        <ext xmlns:x14="http://schemas.microsoft.com/office/spreadsheetml/2009/9/main" uri="{B025F937-C7B1-47D3-B67F-A62EFF666E3E}">
          <x14:id>{56FDBD16-DDEB-4D7A-98AA-9D8D76CB1BBA}</x14:id>
        </ext>
      </extLst>
    </cfRule>
  </conditionalFormatting>
  <conditionalFormatting sqref="N11:N12">
    <cfRule type="dataBar" priority="59">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8:N23">
    <cfRule type="dataBar" priority="18">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1:O12">
    <cfRule type="dataBar" priority="58">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8:O23">
    <cfRule type="dataBar" priority="17">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1:P12">
    <cfRule type="dataBar" priority="57">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8:P22">
    <cfRule type="dataBar" priority="16">
      <dataBar>
        <cfvo type="min"/>
        <cfvo type="max"/>
        <color rgb="FF63C384"/>
      </dataBar>
      <extLst>
        <ext xmlns:x14="http://schemas.microsoft.com/office/spreadsheetml/2009/9/main" uri="{B025F937-C7B1-47D3-B67F-A62EFF666E3E}">
          <x14:id>{00154FAC-2C70-4EF2-A308-BA8404420986}</x14:id>
        </ext>
      </extLst>
    </cfRule>
  </conditionalFormatting>
  <conditionalFormatting sqref="P18:P23">
    <cfRule type="dataBar" priority="64">
      <dataBar>
        <cfvo type="min"/>
        <cfvo type="max"/>
        <color rgb="FF63C384"/>
      </dataBar>
      <extLst>
        <ext xmlns:x14="http://schemas.microsoft.com/office/spreadsheetml/2009/9/main" uri="{B025F937-C7B1-47D3-B67F-A62EFF666E3E}">
          <x14:id>{A1AE97AD-5647-4F9F-A100-6C15C1895B18}</x14:id>
        </ext>
      </extLst>
    </cfRule>
  </conditionalFormatting>
  <conditionalFormatting sqref="P23">
    <cfRule type="dataBar" priority="27">
      <dataBar>
        <cfvo type="min"/>
        <cfvo type="max"/>
        <color rgb="FF63C384"/>
      </dataBar>
      <extLst>
        <ext xmlns:x14="http://schemas.microsoft.com/office/spreadsheetml/2009/9/main" uri="{B025F937-C7B1-47D3-B67F-A62EFF666E3E}">
          <x14:id>{E25FCA19-5187-42DE-ACC0-FA124C432602}</x14:id>
        </ext>
      </extLst>
    </cfRule>
    <cfRule type="dataBar" priority="26">
      <dataBar>
        <cfvo type="min"/>
        <cfvo type="max"/>
        <color rgb="FF63C384"/>
      </dataBar>
      <extLst>
        <ext xmlns:x14="http://schemas.microsoft.com/office/spreadsheetml/2009/9/main" uri="{B025F937-C7B1-47D3-B67F-A62EFF666E3E}">
          <x14:id>{CA13E27F-6DDD-451D-9981-58C3F52DF064}</x14:id>
        </ext>
      </extLst>
    </cfRule>
    <cfRule type="dataBar" priority="25">
      <dataBar>
        <cfvo type="min"/>
        <cfvo type="max"/>
        <color rgb="FF63C384"/>
      </dataBar>
      <extLst>
        <ext xmlns:x14="http://schemas.microsoft.com/office/spreadsheetml/2009/9/main" uri="{B025F937-C7B1-47D3-B67F-A62EFF666E3E}">
          <x14:id>{ECB61C77-2C43-48F4-8A50-733EB85A1CEE}</x14:id>
        </ext>
      </extLst>
    </cfRule>
    <cfRule type="dataBar" priority="24">
      <dataBar>
        <cfvo type="min"/>
        <cfvo type="max"/>
        <color rgb="FF63C384"/>
      </dataBar>
      <extLst>
        <ext xmlns:x14="http://schemas.microsoft.com/office/spreadsheetml/2009/9/main" uri="{B025F937-C7B1-47D3-B67F-A62EFF666E3E}">
          <x14:id>{657DE2C6-03A4-4EDE-99AD-798EB4DDA82C}</x14:id>
        </ext>
      </extLst>
    </cfRule>
    <cfRule type="dataBar" priority="23">
      <dataBar>
        <cfvo type="min"/>
        <cfvo type="max"/>
        <color rgb="FF63C384"/>
      </dataBar>
      <extLst>
        <ext xmlns:x14="http://schemas.microsoft.com/office/spreadsheetml/2009/9/main" uri="{B025F937-C7B1-47D3-B67F-A62EFF666E3E}">
          <x14:id>{44059659-321E-4F16-A91E-71EB67462F51}</x14:id>
        </ext>
      </extLst>
    </cfRule>
  </conditionalFormatting>
  <hyperlinks>
    <hyperlink ref="B40:C40" r:id="rId1" display="Fortune Business Insights" xr:uid="{A1F99F73-D757-4FBD-83AC-E0E3137A3B36}"/>
    <hyperlink ref="B41:C41" r:id="rId2" location=":~:text=The%20global%20human%20capital%20management,9.13%25%20from%202024%20to%202034." display="Precedence Research" xr:uid="{E11B7D49-9101-44CD-9594-15E7234AAC90}"/>
    <hyperlink ref="B42:C42" r:id="rId3" display="Mordor Intelligence" xr:uid="{56BA27A3-F91F-4DD2-92FE-7AAE2347BB48}"/>
  </hyperlinks>
  <pageMargins left="0.75" right="0.75" top="1" bottom="1" header="0" footer="0"/>
  <pageSetup orientation="landscape" r:id="rId4"/>
  <headerFooter alignWithMargins="0"/>
  <drawing r:id="rId5"/>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B18:B23</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D5:D12</xm:sqref>
        </x14:conditionalFormatting>
        <x14:conditionalFormatting xmlns:xm="http://schemas.microsoft.com/office/excel/2006/main">
          <x14:cfRule type="dataBar" id="{000DB604-6EB7-461A-9F47-CD1010FFA5FD}">
            <x14:dataBar minLength="0" maxLength="100" gradient="0">
              <x14:cfvo type="autoMin"/>
              <x14:cfvo type="autoMax"/>
              <x14:negativeFillColor rgb="FFFF0000"/>
              <x14:axisColor rgb="FF000000"/>
            </x14:dataBar>
          </x14:cfRule>
          <xm:sqref>D18</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D19:D23</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77D95097-E6CC-4A2B-975B-5FF8A22514B4}">
            <x14:dataBar minLength="0" maxLength="100" gradient="0">
              <x14:cfvo type="autoMin"/>
              <x14:cfvo type="autoMax"/>
              <x14:negativeFillColor rgb="FFFF0000"/>
              <x14:axisColor rgb="FF000000"/>
            </x14:dataBar>
          </x14:cfRule>
          <xm:sqref>D18:I18</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D19:I23</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E5:E12</xm:sqref>
        </x14:conditionalFormatting>
        <x14:conditionalFormatting xmlns:xm="http://schemas.microsoft.com/office/excel/2006/main">
          <x14:cfRule type="dataBar" id="{BFA81E53-6CE8-4BEA-A62F-5074CA0A72CA}">
            <x14:dataBar minLength="0" maxLength="100" gradient="0">
              <x14:cfvo type="autoMin"/>
              <x14:cfvo type="autoMax"/>
              <x14:negativeFillColor rgb="FFFF0000"/>
              <x14:axisColor rgb="FF000000"/>
            </x14:dataBar>
          </x14:cfRule>
          <xm:sqref>E18</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E19:E23</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F5:F12</xm:sqref>
        </x14:conditionalFormatting>
        <x14:conditionalFormatting xmlns:xm="http://schemas.microsoft.com/office/excel/2006/main">
          <x14:cfRule type="dataBar" id="{EFF89189-993F-40F0-8503-C94CD38730CB}">
            <x14:dataBar minLength="0" maxLength="100" gradient="0">
              <x14:cfvo type="autoMin"/>
              <x14:cfvo type="autoMax"/>
              <x14:negativeFillColor rgb="FFFF0000"/>
              <x14:axisColor rgb="FF000000"/>
            </x14:dataBar>
          </x14:cfRule>
          <xm:sqref>F18</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F19:F23</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G5:G12</xm:sqref>
        </x14:conditionalFormatting>
        <x14:conditionalFormatting xmlns:xm="http://schemas.microsoft.com/office/excel/2006/main">
          <x14:cfRule type="dataBar" id="{9A6552F9-C1D2-4016-9D8F-187BD298C16C}">
            <x14:dataBar minLength="0" maxLength="100" gradient="0">
              <x14:cfvo type="autoMin"/>
              <x14:cfvo type="autoMax"/>
              <x14:negativeFillColor rgb="FFFF0000"/>
              <x14:axisColor rgb="FF000000"/>
            </x14:dataBar>
          </x14:cfRule>
          <xm:sqref>G18</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G19:G23</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H5:H12</xm:sqref>
        </x14:conditionalFormatting>
        <x14:conditionalFormatting xmlns:xm="http://schemas.microsoft.com/office/excel/2006/main">
          <x14:cfRule type="dataBar" id="{1CF8BB2F-DFD7-42E8-9906-EC081ACBED81}">
            <x14:dataBar minLength="0" maxLength="100" gradient="0">
              <x14:cfvo type="autoMin"/>
              <x14:cfvo type="autoMax"/>
              <x14:negativeFillColor rgb="FFFF0000"/>
              <x14:axisColor rgb="FF000000"/>
            </x14:dataBar>
          </x14:cfRule>
          <xm:sqref>H18</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H19:H23</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I5:I12</xm:sqref>
        </x14:conditionalFormatting>
        <x14:conditionalFormatting xmlns:xm="http://schemas.microsoft.com/office/excel/2006/main">
          <x14:cfRule type="dataBar" id="{F00E26F0-D19D-465F-BBDA-45167459EE3D}">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I19:I23</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K5:K12 L6:O10</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K18:K23 L19:O23</xm:sqref>
        </x14:conditionalFormatting>
        <x14:conditionalFormatting xmlns:xm="http://schemas.microsoft.com/office/excel/2006/main">
          <x14:cfRule type="dataBar" id="{589E11FE-E342-4D21-9EB3-CB0F15AE87A6}">
            <x14:dataBar minLength="0" maxLength="100" gradient="0">
              <x14:cfvo type="autoMin"/>
              <x14:cfvo type="autoMax"/>
              <x14:negativeFill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K18:O23</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m:sqref>K18:P22 K20:O23</xm:sqref>
        </x14:conditionalFormatting>
        <x14:conditionalFormatting xmlns:xm="http://schemas.microsoft.com/office/excel/2006/main">
          <x14:cfRule type="dataBar" id="{EC7F1560-4E75-4756-AE37-09B82982D1AB}">
            <x14:dataBar minLength="0" maxLength="100" gradient="0">
              <x14:cfvo type="autoMin"/>
              <x14:cfvo type="autoMax"/>
              <x14:negativeFillColor rgb="FFFF0000"/>
              <x14:axisColor rgb="FF000000"/>
            </x14:dataBar>
          </x14:cfRule>
          <xm:sqref>K18:P23</xm:sqref>
        </x14:conditionalFormatting>
        <x14:conditionalFormatting xmlns:xm="http://schemas.microsoft.com/office/excel/2006/main">
          <x14:cfRule type="dataBar" id="{FE2287FA-B40E-40F5-8AA8-262EA0BD463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04D660B-3592-4479-B026-ACD9350A361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4EF9E9-FC69-4C57-8B92-4F6320D43BF6}">
            <x14:dataBar minLength="0" maxLength="100" gradient="0">
              <x14:cfvo type="autoMin"/>
              <x14:cfvo type="autoMax"/>
              <x14:negativeFillColor rgb="FFFF0000"/>
              <x14:axisColor rgb="FF000000"/>
            </x14:dataBar>
          </x14:cfRule>
          <x14:cfRule type="dataBar" id="{1C8C07B2-BD7C-4727-B188-3301C366D456}">
            <x14:dataBar minLength="0" maxLength="100" gradient="0">
              <x14:cfvo type="autoMin"/>
              <x14:cfvo type="autoMax"/>
              <x14:negativeFillColor rgb="FFFF0000"/>
              <x14:axisColor rgb="FF000000"/>
            </x14:dataBar>
          </x14:cfRule>
          <xm:sqref>K23:P23</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L5:L12</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L18:L23</xm:sqref>
        </x14:conditionalFormatting>
        <x14:conditionalFormatting xmlns:xm="http://schemas.microsoft.com/office/excel/2006/main">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1642E512-5328-4DB9-81F4-5A67EFFA2D7A}">
            <x14:dataBar minLength="0" maxLength="100" gradient="0">
              <x14:cfvo type="autoMin"/>
              <x14:cfvo type="autoMax"/>
              <x14:negativeFillColor rgb="FFFF0000"/>
              <x14:axisColor rgb="FF000000"/>
            </x14:dataBar>
          </x14:cfRule>
          <xm:sqref>M11:M12 K5:P10</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M11:M12 M5:P10</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M20:M22</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N18:N23</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O18:O23</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P11:P12</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P18:P22</xm:sqref>
        </x14:conditionalFormatting>
        <x14:conditionalFormatting xmlns:xm="http://schemas.microsoft.com/office/excel/2006/main">
          <x14:cfRule type="dataBar" id="{A1AE97AD-5647-4F9F-A100-6C15C1895B18}">
            <x14:dataBar minLength="0" maxLength="100" gradient="0">
              <x14:cfvo type="autoMin"/>
              <x14:cfvo type="autoMax"/>
              <x14:negativeFillColor rgb="FFFF0000"/>
              <x14:axisColor rgb="FF000000"/>
            </x14:dataBar>
          </x14:cfRule>
          <xm:sqref>P18:P23</xm:sqref>
        </x14:conditionalFormatting>
        <x14:conditionalFormatting xmlns:xm="http://schemas.microsoft.com/office/excel/2006/main">
          <x14:cfRule type="dataBar" id="{E25FCA19-5187-42DE-ACC0-FA124C43260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A13E27F-6DDD-451D-9981-58C3F52DF064}">
            <x14:dataBar minLength="0" maxLength="100" gradient="0">
              <x14:cfvo type="autoMin"/>
              <x14:cfvo type="autoMax"/>
              <x14:negativeFillColor rgb="FFFF0000"/>
              <x14:axisColor rgb="FF000000"/>
            </x14:dataBar>
          </x14:cfRule>
          <x14:cfRule type="dataBar" id="{ECB61C77-2C43-48F4-8A50-733EB85A1CEE}">
            <x14:dataBar minLength="0" maxLength="100" gradient="0">
              <x14:cfvo type="autoMin"/>
              <x14:cfvo type="autoMax"/>
              <x14:negativeFillColor rgb="FFFF0000"/>
              <x14:axisColor rgb="FF000000"/>
            </x14:dataBar>
          </x14:cfRule>
          <x14:cfRule type="dataBar" id="{657DE2C6-03A4-4EDE-99AD-798EB4DDA82C}">
            <x14:dataBar minLength="0" maxLength="100" gradient="0">
              <x14:cfvo type="autoMin"/>
              <x14:cfvo type="autoMax"/>
              <x14:negativeFillColor rgb="FFFF0000"/>
              <x14:axisColor rgb="FF000000"/>
            </x14:dataBar>
          </x14:cfRule>
          <x14:cfRule type="dataBar" id="{44059659-321E-4F16-A91E-71EB67462F51}">
            <x14:dataBar minLength="0" maxLength="100" gradient="0">
              <x14:cfvo type="autoMin"/>
              <x14:cfvo type="autoMax"/>
              <x14:negativeFillColor rgb="FFFF0000"/>
              <x14:axisColor rgb="FF000000"/>
            </x14:dataBar>
          </x14:cfRule>
          <xm:sqref>P23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265625" defaultRowHeight="12.75"/>
  <cols>
    <col min="1" max="1" width="27" bestFit="1" customWidth="1"/>
  </cols>
  <sheetData>
    <row r="1" spans="1:1">
      <c r="A1" t="s">
        <v>213</v>
      </c>
    </row>
    <row r="2" spans="1:1">
      <c r="A2" t="s">
        <v>214</v>
      </c>
    </row>
    <row r="3" spans="1:1">
      <c r="A3" t="s">
        <v>215</v>
      </c>
    </row>
    <row r="4" spans="1:1">
      <c r="A4" t="s">
        <v>216</v>
      </c>
    </row>
    <row r="5" spans="1:1">
      <c r="A5" t="s">
        <v>217</v>
      </c>
    </row>
    <row r="6" spans="1:1">
      <c r="A6" s="10" t="s">
        <v>218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R131"/>
  <sheetViews>
    <sheetView showGridLines="0" topLeftCell="F80" zoomScale="67" zoomScaleNormal="100" workbookViewId="0">
      <selection activeCell="A74" sqref="A74"/>
    </sheetView>
  </sheetViews>
  <sheetFormatPr defaultColWidth="11.265625" defaultRowHeight="12.75"/>
  <cols>
    <col min="1" max="1" width="0.265625" customWidth="1"/>
    <col min="2" max="2" width="31.73046875" bestFit="1" customWidth="1"/>
    <col min="3" max="4" width="32" customWidth="1"/>
    <col min="5" max="5" width="33.265625" customWidth="1"/>
    <col min="6" max="6" width="33.86328125" customWidth="1"/>
    <col min="7" max="7" width="32" customWidth="1"/>
    <col min="8" max="8" width="22.86328125" customWidth="1"/>
    <col min="9" max="9" width="19.59765625" customWidth="1"/>
    <col min="10" max="10" width="11.3984375" bestFit="1" customWidth="1"/>
    <col min="12" max="12" width="32.3984375" bestFit="1" customWidth="1"/>
    <col min="13" max="13" width="18.265625" customWidth="1"/>
    <col min="14" max="14" width="24" customWidth="1"/>
    <col min="15" max="15" width="17.73046875" customWidth="1"/>
    <col min="16" max="16" width="17.59765625" customWidth="1"/>
    <col min="17" max="17" width="18.59765625" customWidth="1"/>
    <col min="18" max="18" width="19" customWidth="1"/>
    <col min="22" max="27" width="11.265625" bestFit="1" customWidth="1"/>
    <col min="31" max="36" width="11.265625" bestFit="1" customWidth="1"/>
  </cols>
  <sheetData>
    <row r="1" spans="2:13" ht="13.9">
      <c r="B1" s="185" t="s">
        <v>219</v>
      </c>
      <c r="C1" s="186" t="s">
        <v>220</v>
      </c>
      <c r="D1" s="1502" t="s">
        <v>173</v>
      </c>
      <c r="E1" s="1502"/>
      <c r="F1" s="1502"/>
      <c r="G1" s="1502"/>
    </row>
    <row r="2" spans="2:13" ht="87" customHeight="1">
      <c r="B2" s="187" t="e" vm="2">
        <v>#VALUE!</v>
      </c>
      <c r="C2" s="769" t="s">
        <v>221</v>
      </c>
      <c r="D2" s="1500" t="s">
        <v>222</v>
      </c>
      <c r="E2" s="1501"/>
      <c r="F2" s="1501"/>
      <c r="G2" s="1501"/>
    </row>
    <row r="3" spans="2:13" ht="81.75" customHeight="1">
      <c r="B3" s="187" t="e" vm="3">
        <v>#VALUE!</v>
      </c>
      <c r="C3" s="768" t="s">
        <v>223</v>
      </c>
      <c r="D3" s="1500" t="s">
        <v>224</v>
      </c>
      <c r="E3" s="1501"/>
      <c r="F3" s="1501"/>
      <c r="G3" s="1501"/>
    </row>
    <row r="4" spans="2:13" ht="103.15" customHeight="1">
      <c r="B4" s="762" t="e" vm="4">
        <v>#VALUE!</v>
      </c>
      <c r="C4" s="767" t="s">
        <v>225</v>
      </c>
      <c r="D4" s="1500" t="s">
        <v>226</v>
      </c>
      <c r="E4" s="1501"/>
      <c r="F4" s="1501"/>
      <c r="G4" s="1501"/>
    </row>
    <row r="5" spans="2:13" ht="110.25" customHeight="1">
      <c r="B5" s="286" t="e" vm="5">
        <v>#VALUE!</v>
      </c>
      <c r="C5" s="764" t="s">
        <v>227</v>
      </c>
      <c r="D5" s="1500" t="s">
        <v>228</v>
      </c>
      <c r="E5" s="1501"/>
      <c r="F5" s="1501"/>
      <c r="G5" s="1501"/>
    </row>
    <row r="6" spans="2:13" ht="81.75" customHeight="1">
      <c r="C6" s="763"/>
      <c r="D6" s="1498"/>
      <c r="E6" s="1499"/>
      <c r="F6" s="1499"/>
      <c r="G6" s="1499"/>
      <c r="K6" s="2"/>
    </row>
    <row r="7" spans="2:13" ht="13.15" thickBot="1">
      <c r="B7" s="10"/>
    </row>
    <row r="8" spans="2:13" ht="46.5" customHeight="1" thickBot="1">
      <c r="B8" s="184" t="s">
        <v>229</v>
      </c>
      <c r="C8" s="315" t="e" vm="1">
        <f>OP!E2</f>
        <v>#VALUE!</v>
      </c>
      <c r="D8" s="316" t="str">
        <f>C2</f>
        <v>Paycom Software Inc</v>
      </c>
      <c r="E8" s="317" t="str">
        <f>C3</f>
        <v>Paychex Inc</v>
      </c>
      <c r="F8" s="318" t="str">
        <f>C4</f>
        <v>Automatic Data Processing Inc</v>
      </c>
      <c r="G8" s="515" t="str">
        <f>C5</f>
        <v>Paycor HCM Inc</v>
      </c>
      <c r="H8" s="180" t="s">
        <v>230</v>
      </c>
      <c r="I8" s="477" t="s">
        <v>231</v>
      </c>
    </row>
    <row r="9" spans="2:13" ht="16.5" customHeight="1" thickBot="1">
      <c r="B9" s="178" t="s">
        <v>232</v>
      </c>
      <c r="C9" s="172"/>
      <c r="D9" s="173"/>
      <c r="E9" s="173"/>
      <c r="F9" s="173"/>
      <c r="G9" s="173"/>
      <c r="H9" s="174" t="str">
        <f t="shared" ref="H9:H22" si="0">IFERROR(AVERAGE(C9:G9),"")</f>
        <v/>
      </c>
      <c r="I9" s="452"/>
      <c r="K9" s="1490" t="s">
        <v>233</v>
      </c>
      <c r="L9" s="1491"/>
      <c r="M9" s="1492"/>
    </row>
    <row r="10" spans="2:13" ht="13.5" customHeight="1" thickBot="1">
      <c r="B10" s="177" t="s">
        <v>234</v>
      </c>
      <c r="C10" s="170">
        <f>C45*55.57*1000</f>
        <v>9038460.5000000019</v>
      </c>
      <c r="D10" s="170">
        <f>57.43*D45*1000</f>
        <v>9274945</v>
      </c>
      <c r="E10" s="170">
        <f>E45*359.74*1000</f>
        <v>47949744.600000001</v>
      </c>
      <c r="F10" s="170">
        <f>F45*407.83*1000</f>
        <v>112479514</v>
      </c>
      <c r="G10" s="170">
        <f>178.82*G45*1000</f>
        <v>2557126</v>
      </c>
      <c r="H10" s="418">
        <f t="shared" si="0"/>
        <v>36259958.019999996</v>
      </c>
      <c r="I10" s="453">
        <f>SQRT((C10-H10)^2)</f>
        <v>27221497.519999996</v>
      </c>
      <c r="K10" s="1493"/>
      <c r="L10" s="1488" t="s">
        <v>235</v>
      </c>
      <c r="M10" s="1489"/>
    </row>
    <row r="11" spans="2:13" ht="13.5" thickBot="1">
      <c r="B11" s="389" t="s">
        <v>236</v>
      </c>
      <c r="C11" s="390">
        <f>C56</f>
        <v>1402515</v>
      </c>
      <c r="D11" s="390">
        <f>D56</f>
        <v>1778291</v>
      </c>
      <c r="E11" s="390">
        <f t="shared" ref="E11:G11" si="1">E56</f>
        <v>5278300</v>
      </c>
      <c r="F11" s="390">
        <f>F56</f>
        <v>19202600</v>
      </c>
      <c r="G11" s="390">
        <f t="shared" si="1"/>
        <v>654948</v>
      </c>
      <c r="H11" s="419">
        <f t="shared" si="0"/>
        <v>5663330.7999999998</v>
      </c>
      <c r="I11" s="454">
        <f>SQRT((C11-H11)^2)</f>
        <v>4260815.8</v>
      </c>
      <c r="K11" s="1493"/>
      <c r="L11" s="1488"/>
      <c r="M11" s="1489"/>
    </row>
    <row r="12" spans="2:13" ht="16.5" customHeight="1" thickBot="1">
      <c r="B12" s="178" t="s">
        <v>237</v>
      </c>
      <c r="C12" s="183"/>
      <c r="D12" s="183"/>
      <c r="E12" s="183"/>
      <c r="F12" s="183"/>
      <c r="G12" s="183"/>
      <c r="H12" s="420" t="str">
        <f t="shared" si="0"/>
        <v/>
      </c>
      <c r="I12" s="455"/>
      <c r="K12" s="1487"/>
      <c r="L12" s="1488" t="s">
        <v>238</v>
      </c>
      <c r="M12" s="1489"/>
    </row>
    <row r="13" spans="2:13" ht="13.5" thickBot="1">
      <c r="B13" s="177" t="s">
        <v>239</v>
      </c>
      <c r="C13" s="400">
        <f>C56/C55-1</f>
        <v>0.19403830076332507</v>
      </c>
      <c r="D13" s="400">
        <f>(D11/1375218)-1</f>
        <v>0.29309753071876599</v>
      </c>
      <c r="E13" s="400">
        <f t="shared" ref="E13:G13" si="2">E56/E55-1</f>
        <v>5.4163088414451499E-2</v>
      </c>
      <c r="F13" s="400">
        <f>F56/F55-1</f>
        <v>6.6064865705117493E-2</v>
      </c>
      <c r="G13" s="400">
        <f t="shared" si="2"/>
        <v>0.1850144384213992</v>
      </c>
      <c r="H13" s="421">
        <f t="shared" si="0"/>
        <v>0.15847564480461185</v>
      </c>
      <c r="I13" s="456">
        <f t="shared" ref="I13:I18" si="3">SQRT((C13-H13)^2)</f>
        <v>3.5562655958713218E-2</v>
      </c>
      <c r="K13" s="1487"/>
      <c r="L13" s="1488"/>
      <c r="M13" s="1489"/>
    </row>
    <row r="14" spans="2:13" ht="13.5" thickBot="1">
      <c r="B14" s="391" t="s">
        <v>240</v>
      </c>
      <c r="C14" s="761">
        <f>C56/C54-1</f>
        <v>1.2065063315434994</v>
      </c>
      <c r="D14" s="392">
        <f>D56/D54-1</f>
        <v>0.7153529836759458</v>
      </c>
      <c r="E14" s="392">
        <f t="shared" ref="E14:G14" si="4">E56/E54-1</f>
        <v>0.3010993886807336</v>
      </c>
      <c r="F14" s="392">
        <f>F56/F54-1</f>
        <v>0.27971263678409097</v>
      </c>
      <c r="G14" s="392">
        <f t="shared" si="4"/>
        <v>0.8565496049912551</v>
      </c>
      <c r="H14" s="422">
        <f t="shared" si="0"/>
        <v>0.67184418913510491</v>
      </c>
      <c r="I14" s="457">
        <f t="shared" si="3"/>
        <v>0.53466214240839449</v>
      </c>
      <c r="K14" s="1494"/>
      <c r="L14" s="1488" t="s">
        <v>241</v>
      </c>
      <c r="M14" s="1489"/>
    </row>
    <row r="15" spans="2:13" ht="13.5" thickBot="1">
      <c r="B15" s="401" t="s">
        <v>124</v>
      </c>
      <c r="C15" s="765">
        <f>C59/C56</f>
        <v>0.18544757097072045</v>
      </c>
      <c r="D15" s="402">
        <f>D59/D56</f>
        <v>0.32873022469325885</v>
      </c>
      <c r="E15" s="402">
        <f>E59/E56</f>
        <v>0.41189398101661517</v>
      </c>
      <c r="F15" s="402">
        <f>F59/F56</f>
        <v>0.25940237259537768</v>
      </c>
      <c r="G15" s="402">
        <f t="shared" ref="G15" si="5">G59/G56</f>
        <v>-8.4664736742458946E-2</v>
      </c>
      <c r="H15" s="422">
        <f t="shared" si="0"/>
        <v>0.22016188250670266</v>
      </c>
      <c r="I15" s="458">
        <f t="shared" si="3"/>
        <v>3.4714311535982201E-2</v>
      </c>
      <c r="K15" s="1495"/>
      <c r="L15" s="1496"/>
      <c r="M15" s="1497"/>
    </row>
    <row r="16" spans="2:13" ht="13.5" thickBot="1">
      <c r="B16" s="391" t="s">
        <v>242</v>
      </c>
      <c r="C16" s="392">
        <f>C62/C56</f>
        <v>0.14742516122822216</v>
      </c>
      <c r="D16" s="392">
        <f>D62/D56</f>
        <v>0.26549816649805907</v>
      </c>
      <c r="E16" s="392">
        <f t="shared" ref="E16:G16" si="6">E62/E56</f>
        <v>0.32025462743686411</v>
      </c>
      <c r="F16" s="392">
        <f>F62/F56</f>
        <v>0.19540062283232479</v>
      </c>
      <c r="G16" s="392">
        <f t="shared" si="6"/>
        <v>-8.9994930895277186E-2</v>
      </c>
      <c r="H16" s="422">
        <f t="shared" si="0"/>
        <v>0.16771672942003862</v>
      </c>
      <c r="I16" s="457">
        <f t="shared" si="3"/>
        <v>2.0291568191816461E-2</v>
      </c>
    </row>
    <row r="17" spans="1:9" ht="13.5" thickBot="1">
      <c r="B17" s="401" t="s">
        <v>243</v>
      </c>
      <c r="C17" s="402">
        <f>C62/C74</f>
        <v>0.20014829671733794</v>
      </c>
      <c r="D17" s="402">
        <f>D62/D74</f>
        <v>0.3309658184785329</v>
      </c>
      <c r="E17" s="402">
        <f t="shared" ref="E17:G17" si="7">E62/E74</f>
        <v>0.44472507234938174</v>
      </c>
      <c r="F17" s="402">
        <f>F62/F74</f>
        <v>0.82509455536986542</v>
      </c>
      <c r="G17" s="402">
        <f t="shared" si="7"/>
        <v>-4.5800613244273564E-2</v>
      </c>
      <c r="H17" s="422">
        <f t="shared" si="0"/>
        <v>0.35102662593416889</v>
      </c>
      <c r="I17" s="458">
        <f t="shared" si="3"/>
        <v>0.15087832921683095</v>
      </c>
    </row>
    <row r="18" spans="1:9" ht="13.5" thickBot="1">
      <c r="B18" s="389" t="s">
        <v>244</v>
      </c>
      <c r="C18" s="393">
        <f>(1+C61/(C59+C60))*C59/(C73+C74-C65)</f>
        <v>0.22702225172519128</v>
      </c>
      <c r="D18" s="393">
        <f>(1+D61/(D59+D60))*D59/(D73+D74-D64)</f>
        <v>0.4879212945491489</v>
      </c>
      <c r="E18" s="393">
        <f>(1+E61/(E59+E60))*E59/(E73+E74-E64)</f>
        <v>0.5826619993702925</v>
      </c>
      <c r="F18" s="393">
        <f>(1+F61/(F59+F60))*F59/(F73+F74-F65)</f>
        <v>1.1478937194776462</v>
      </c>
      <c r="G18" s="393">
        <f t="shared" ref="G18" si="8">(1+G61/(G59+G60))*G59/(G73+G74-G65)</f>
        <v>-4.7499239815476893E-2</v>
      </c>
      <c r="H18" s="423">
        <f t="shared" si="0"/>
        <v>0.47960000506136036</v>
      </c>
      <c r="I18" s="459">
        <f t="shared" si="3"/>
        <v>0.25257775333616905</v>
      </c>
    </row>
    <row r="19" spans="1:9" ht="15.4" thickBot="1">
      <c r="B19" s="178" t="s">
        <v>245</v>
      </c>
      <c r="C19" s="183"/>
      <c r="D19" s="183"/>
      <c r="E19" s="183"/>
      <c r="F19" s="183"/>
      <c r="G19" s="183"/>
      <c r="H19" s="424" t="str">
        <f t="shared" si="0"/>
        <v/>
      </c>
      <c r="I19" s="455"/>
    </row>
    <row r="20" spans="1:9" ht="13.5" thickBot="1">
      <c r="B20" s="177" t="s">
        <v>68</v>
      </c>
      <c r="C20" s="403">
        <f>C73/C70</f>
        <v>4.83163190796757E-2</v>
      </c>
      <c r="D20" s="403">
        <f t="shared" ref="D20:G20" si="9">D73/D70</f>
        <v>9.5094909412661629E-3</v>
      </c>
      <c r="E20" s="403">
        <f t="shared" si="9"/>
        <v>7.8714449441881523E-2</v>
      </c>
      <c r="F20" s="403">
        <f t="shared" si="9"/>
        <v>6.8158866281476091E-2</v>
      </c>
      <c r="G20" s="403">
        <f t="shared" si="9"/>
        <v>5.1533057688129E-3</v>
      </c>
      <c r="H20" s="425">
        <f t="shared" si="0"/>
        <v>4.1970486302622477E-2</v>
      </c>
      <c r="I20" s="460">
        <f>SQRT((C20-H20)^2)</f>
        <v>6.345832777053223E-3</v>
      </c>
    </row>
    <row r="21" spans="1:9" ht="13.5" thickBot="1">
      <c r="B21" s="391" t="s">
        <v>246</v>
      </c>
      <c r="C21" s="394">
        <f>(C73-C65)/C58</f>
        <v>-0.61541879304248792</v>
      </c>
      <c r="D21" s="395">
        <f>(D73-D64)/D58</f>
        <v>6.2750642240858301E-2</v>
      </c>
      <c r="E21" s="395">
        <f>(E73-E65)/E59</f>
        <v>-0.2997102249206568</v>
      </c>
      <c r="F21" s="395">
        <f>(F73-F65)/F58</f>
        <v>0.13663813927807303</v>
      </c>
      <c r="G21" s="395">
        <f t="shared" ref="G21" si="10">(G73-G65)/G58</f>
        <v>-1.2139314462267548</v>
      </c>
      <c r="H21" s="425">
        <f t="shared" si="0"/>
        <v>-0.38593433653419362</v>
      </c>
      <c r="I21" s="461">
        <f>SQRT((C21-H21)^2)</f>
        <v>0.2294844565082943</v>
      </c>
    </row>
    <row r="22" spans="1:9" ht="13.5" thickBot="1">
      <c r="B22" s="404" t="s">
        <v>247</v>
      </c>
      <c r="C22" s="415">
        <f t="shared" ref="C22:G22" si="11">-C58/C60</f>
        <v>-2661.6004730298059</v>
      </c>
      <c r="D22" s="415">
        <f>-D58/D60</f>
        <v>318.50438596491227</v>
      </c>
      <c r="E22" s="415">
        <f>-E59/E60</f>
        <v>-47.887665198237876</v>
      </c>
      <c r="F22" s="415">
        <f>-F58/F60</f>
        <v>48.25645295587011</v>
      </c>
      <c r="G22" s="415">
        <f t="shared" si="11"/>
        <v>18.388082016232378</v>
      </c>
      <c r="H22" s="426">
        <f t="shared" si="0"/>
        <v>-464.86784345820581</v>
      </c>
      <c r="I22" s="462">
        <f>SQRT((C22-H22)^2)</f>
        <v>2196.7326295716002</v>
      </c>
    </row>
    <row r="23" spans="1:9" ht="15.4" thickBot="1">
      <c r="B23" s="178" t="s">
        <v>248</v>
      </c>
      <c r="C23" s="183"/>
      <c r="D23" s="183"/>
      <c r="E23" s="183"/>
      <c r="F23" s="183"/>
      <c r="G23" s="183"/>
      <c r="H23" s="427"/>
      <c r="I23" s="455"/>
    </row>
    <row r="24" spans="1:9" ht="13.5" thickBot="1">
      <c r="B24" s="396" t="s">
        <v>249</v>
      </c>
      <c r="C24" s="397">
        <f>C68/C72</f>
        <v>1.1306015346318681</v>
      </c>
      <c r="D24" s="397">
        <f>D68/D72</f>
        <v>1.1264158253468799</v>
      </c>
      <c r="E24" s="397">
        <f t="shared" ref="E24:G24" si="12">E68/E72</f>
        <v>1.3658623872219398</v>
      </c>
      <c r="F24" s="397">
        <f t="shared" si="12"/>
        <v>1.010259538598048</v>
      </c>
      <c r="G24" s="397">
        <f t="shared" si="12"/>
        <v>1.1129297064940691</v>
      </c>
      <c r="H24" s="428">
        <f t="shared" ref="H24:H41" si="13">IFERROR(AVERAGE(C24:G24),"")</f>
        <v>1.1492137984585609</v>
      </c>
      <c r="I24" s="463">
        <f>SQRT((C24-H24)^2)</f>
        <v>1.8612263826692788E-2</v>
      </c>
    </row>
    <row r="25" spans="1:9" ht="13.5" thickBot="1">
      <c r="B25" s="404" t="s">
        <v>250</v>
      </c>
      <c r="C25" s="405">
        <f>(C65+C66)/C72</f>
        <v>0.13947955962737701</v>
      </c>
      <c r="D25" s="405">
        <f>(D64+D66)/D72</f>
        <v>7.9283449213912952E-3</v>
      </c>
      <c r="E25" s="405">
        <f t="shared" ref="E25:G25" si="14">(E65+E66)/E72</f>
        <v>0.47625774613399635</v>
      </c>
      <c r="F25" s="405">
        <f t="shared" si="14"/>
        <v>0.14067435669920142</v>
      </c>
      <c r="G25" s="405">
        <f t="shared" si="14"/>
        <v>0.13575885359844073</v>
      </c>
      <c r="H25" s="426">
        <f t="shared" si="13"/>
        <v>0.1800197721960814</v>
      </c>
      <c r="I25" s="464">
        <f>SQRT((C25-H25)^2)</f>
        <v>4.0540212568704381E-2</v>
      </c>
    </row>
    <row r="26" spans="1:9" ht="15.4" thickBot="1">
      <c r="B26" s="178" t="s">
        <v>251</v>
      </c>
      <c r="C26" s="183"/>
      <c r="D26" s="183"/>
      <c r="E26" s="183"/>
      <c r="F26" s="183"/>
      <c r="G26" s="183"/>
      <c r="H26" s="427" t="str">
        <f t="shared" si="13"/>
        <v/>
      </c>
      <c r="I26" s="455"/>
    </row>
    <row r="27" spans="1:9" ht="13.5" thickBot="1">
      <c r="B27" s="396" t="s">
        <v>252</v>
      </c>
      <c r="C27" s="397" t="str">
        <f>IFERROR(C57/C67,"-")</f>
        <v>-</v>
      </c>
      <c r="D27" s="397">
        <f>IFERROR(D57/D67,"-")</f>
        <v>216.35689045936397</v>
      </c>
      <c r="E27" s="397" t="str">
        <f>IFERROR(E57/E67,"-")</f>
        <v>-</v>
      </c>
      <c r="F27" s="397" t="str">
        <f>IFERROR(F57/F67,"-")</f>
        <v>-</v>
      </c>
      <c r="G27" s="397" t="str">
        <f>IFERROR(G57/G67,"-")</f>
        <v>-</v>
      </c>
      <c r="H27" s="428">
        <f t="shared" si="13"/>
        <v>216.35689045936397</v>
      </c>
      <c r="I27" s="463" t="e">
        <f>SQRT((C27-H27)^2)</f>
        <v>#VALUE!</v>
      </c>
    </row>
    <row r="28" spans="1:9" ht="13.5" thickBot="1">
      <c r="B28" s="401" t="s">
        <v>253</v>
      </c>
      <c r="C28" s="405">
        <f>C56/C66</f>
        <v>42.504318574415855</v>
      </c>
      <c r="D28" s="405">
        <f>D56/D66</f>
        <v>88.763651791953677</v>
      </c>
      <c r="E28" s="405">
        <f>E56/E66</f>
        <v>4.9814080785201966</v>
      </c>
      <c r="F28" s="405">
        <f>F56/F66</f>
        <v>5.6013651478910216</v>
      </c>
      <c r="G28" s="405">
        <f>G56/G66</f>
        <v>13.598289178639648</v>
      </c>
      <c r="H28" s="425">
        <f t="shared" si="13"/>
        <v>31.089806554284074</v>
      </c>
      <c r="I28" s="464">
        <f>SQRT((C28-H28)^2)</f>
        <v>11.414512020131781</v>
      </c>
    </row>
    <row r="29" spans="1:9" ht="13.5" thickBot="1">
      <c r="A29" s="10" t="s">
        <v>254</v>
      </c>
      <c r="B29" s="391" t="s">
        <v>255</v>
      </c>
      <c r="C29" s="398">
        <f>C57/C71</f>
        <v>51.137879138689513</v>
      </c>
      <c r="D29" s="395">
        <f>D57/D71</f>
        <v>20.413749416549976</v>
      </c>
      <c r="E29" s="395">
        <f t="shared" ref="E29:G29" si="15">E57/E71</f>
        <v>14.183125599232982</v>
      </c>
      <c r="F29" s="395">
        <f>F57/F71</f>
        <v>15.359478082392611</v>
      </c>
      <c r="G29" s="395">
        <f t="shared" si="15"/>
        <v>8.1744113662162654</v>
      </c>
      <c r="H29" s="425">
        <f t="shared" si="13"/>
        <v>21.853728720616267</v>
      </c>
      <c r="I29" s="461">
        <f>SQRT((C29-H29)^2)</f>
        <v>29.284150418073246</v>
      </c>
    </row>
    <row r="30" spans="1:9" ht="13.5" thickBot="1">
      <c r="B30" s="401" t="s">
        <v>256</v>
      </c>
      <c r="C30" s="405">
        <f>C56/C69</f>
        <v>23.128545514511874</v>
      </c>
      <c r="D30" s="405">
        <f>D56/D69</f>
        <v>3.343381263583789</v>
      </c>
      <c r="E30" s="405">
        <f t="shared" ref="E30:G30" si="16">E56/E69</f>
        <v>12.820743259655089</v>
      </c>
      <c r="F30" s="405">
        <f>F56/F69</f>
        <v>18.180836962696461</v>
      </c>
      <c r="G30" s="405">
        <f t="shared" si="16"/>
        <v>13.194753913411366</v>
      </c>
      <c r="H30" s="425">
        <f t="shared" si="13"/>
        <v>14.133652182771716</v>
      </c>
      <c r="I30" s="464">
        <f>SQRT((C30-H30)^2)</f>
        <v>8.9948933317401583</v>
      </c>
    </row>
    <row r="31" spans="1:9" ht="13.5" thickBot="1">
      <c r="B31" s="389" t="s">
        <v>257</v>
      </c>
      <c r="C31" s="406">
        <f>C56/C70</f>
        <v>0.33035642780758739</v>
      </c>
      <c r="D31" s="406">
        <f>D56/D70</f>
        <v>0.41233400359492706</v>
      </c>
      <c r="E31" s="406">
        <f t="shared" ref="E31:G31" si="17">E56/E70</f>
        <v>0.50835492290356443</v>
      </c>
      <c r="F31" s="406">
        <f>F56/F70</f>
        <v>0.35323116769402552</v>
      </c>
      <c r="G31" s="406">
        <f t="shared" si="17"/>
        <v>0.2509963045045342</v>
      </c>
      <c r="H31" s="425">
        <f t="shared" si="13"/>
        <v>0.37105456530092773</v>
      </c>
      <c r="I31" s="465">
        <f>SQRT((C31-H31)^2)</f>
        <v>4.0698137493340336E-2</v>
      </c>
    </row>
    <row r="32" spans="1:9" ht="15.4" thickBot="1">
      <c r="B32" s="179" t="s">
        <v>109</v>
      </c>
      <c r="C32" s="183"/>
      <c r="D32" s="183"/>
      <c r="E32" s="183"/>
      <c r="F32" s="183"/>
      <c r="G32" s="183"/>
      <c r="H32" s="429" t="str">
        <f t="shared" si="13"/>
        <v/>
      </c>
      <c r="I32" s="455"/>
    </row>
    <row r="33" spans="2:18" ht="13.5" thickBot="1">
      <c r="B33" s="177" t="s">
        <v>258</v>
      </c>
      <c r="C33" s="901">
        <f t="shared" ref="C33:G33" si="18">C10/C62</f>
        <v>43.713475619782756</v>
      </c>
      <c r="D33" s="904">
        <f t="shared" si="18"/>
        <v>19.64477170627768</v>
      </c>
      <c r="E33" s="414">
        <f t="shared" si="18"/>
        <v>28.365916114529107</v>
      </c>
      <c r="F33" s="414">
        <f t="shared" si="18"/>
        <v>29.976950588987794</v>
      </c>
      <c r="G33" s="414">
        <f t="shared" si="18"/>
        <v>-43.383767093074546</v>
      </c>
      <c r="H33" s="428">
        <f t="shared" si="13"/>
        <v>15.663469387300557</v>
      </c>
      <c r="I33" s="466">
        <f>SQRT((C33-H33)^2)</f>
        <v>28.050006232482197</v>
      </c>
    </row>
    <row r="34" spans="2:18" ht="13.5" thickBot="1">
      <c r="B34" s="391" t="s">
        <v>254</v>
      </c>
      <c r="C34" s="399">
        <f t="shared" ref="C34:G34" si="19">C10/C56</f>
        <v>6.4444661910924319</v>
      </c>
      <c r="D34" s="399">
        <f t="shared" si="19"/>
        <v>5.2156508692896724</v>
      </c>
      <c r="E34" s="399">
        <f t="shared" si="19"/>
        <v>9.0843158971638598</v>
      </c>
      <c r="F34" s="399">
        <f t="shared" si="19"/>
        <v>5.8575148157020402</v>
      </c>
      <c r="G34" s="399">
        <f t="shared" si="19"/>
        <v>3.9043191215180442</v>
      </c>
      <c r="H34" s="425">
        <f t="shared" si="13"/>
        <v>6.1012533789532091</v>
      </c>
      <c r="I34" s="467">
        <f>SQRT((C34-H34)^2)</f>
        <v>0.34321281213922283</v>
      </c>
    </row>
    <row r="35" spans="2:18" ht="13.5" thickBot="1">
      <c r="B35" s="401" t="s">
        <v>259</v>
      </c>
      <c r="C35" s="416">
        <f t="shared" ref="C35:G35" si="20">C10/C74</f>
        <v>8.7491776888943971</v>
      </c>
      <c r="D35" s="416">
        <f t="shared" si="20"/>
        <v>6.5017479465921175</v>
      </c>
      <c r="E35" s="416">
        <f t="shared" si="20"/>
        <v>12.615034096290451</v>
      </c>
      <c r="F35" s="416">
        <f t="shared" si="20"/>
        <v>24.73381871756531</v>
      </c>
      <c r="G35" s="416">
        <f t="shared" si="20"/>
        <v>1.9870031377095498</v>
      </c>
      <c r="H35" s="425">
        <f t="shared" si="13"/>
        <v>10.917356317410364</v>
      </c>
      <c r="I35" s="468">
        <f>SQRT((C35-H35)^2)</f>
        <v>2.1681786285159674</v>
      </c>
    </row>
    <row r="36" spans="2:18" ht="13.5" thickBot="1">
      <c r="B36" s="391" t="s">
        <v>260</v>
      </c>
      <c r="C36" s="399">
        <f>(C73+C10-C65)/C56</f>
        <v>6.3042281187723495</v>
      </c>
      <c r="D36" s="399">
        <f>(D73+D10-D64)/D56</f>
        <v>5.2387134614076096</v>
      </c>
      <c r="E36" s="399">
        <f>(E73+E10-E65)/E56</f>
        <v>8.9608670594699049</v>
      </c>
      <c r="F36" s="399">
        <f>(F73+F10-F65)/F56</f>
        <v>5.8987540228927333</v>
      </c>
      <c r="G36" s="399">
        <f>(G73+G10-G65)/G56</f>
        <v>3.7447476746245503</v>
      </c>
      <c r="H36" s="425">
        <f t="shared" si="13"/>
        <v>6.0294620674334301</v>
      </c>
      <c r="I36" s="467">
        <f>SQRT((C36-H36)^2)</f>
        <v>0.2747660513389194</v>
      </c>
    </row>
    <row r="37" spans="2:18" ht="13.5" thickBot="1">
      <c r="B37" s="404" t="s">
        <v>261</v>
      </c>
      <c r="C37" s="905">
        <f>(C73+C10-C65)/C58</f>
        <v>27.665386408508223</v>
      </c>
      <c r="D37" s="905">
        <f>(D73+D10-D64)/D58</f>
        <v>14.25393262552959</v>
      </c>
      <c r="E37" s="413">
        <f>(E73+E10-E65)/E59</f>
        <v>21.755275562301644</v>
      </c>
      <c r="F37" s="413">
        <f>(F73+F10-F65)/F58</f>
        <v>19.544380909655601</v>
      </c>
      <c r="G37" s="413">
        <f>(G73+G10-G65)/G58</f>
        <v>28.487972309014669</v>
      </c>
      <c r="H37" s="426">
        <f t="shared" si="13"/>
        <v>22.341389563001947</v>
      </c>
      <c r="I37" s="469">
        <f>SQRT((C37-H37)^2)</f>
        <v>5.3239968455062758</v>
      </c>
      <c r="K37" s="13"/>
      <c r="L37" s="1125" t="s">
        <v>262</v>
      </c>
      <c r="M37" s="945">
        <v>2022</v>
      </c>
      <c r="N37" s="945">
        <v>2023</v>
      </c>
      <c r="O37" s="945">
        <v>2024</v>
      </c>
      <c r="P37" s="946">
        <v>2025</v>
      </c>
      <c r="Q37" s="946">
        <v>2026</v>
      </c>
      <c r="R37" s="947">
        <v>2027</v>
      </c>
    </row>
    <row r="38" spans="2:18" ht="15.4" thickBot="1">
      <c r="B38" s="179" t="s">
        <v>263</v>
      </c>
      <c r="C38" s="183"/>
      <c r="D38" s="183"/>
      <c r="E38" s="183"/>
      <c r="F38" s="183"/>
      <c r="G38" s="183"/>
      <c r="H38" s="430" t="str">
        <f t="shared" si="13"/>
        <v/>
      </c>
      <c r="I38" s="455"/>
      <c r="L38" s="736" t="s">
        <v>264</v>
      </c>
      <c r="M38">
        <v>39.799999999999997</v>
      </c>
      <c r="N38">
        <v>27.5</v>
      </c>
      <c r="O38">
        <v>13.9</v>
      </c>
      <c r="P38">
        <v>15.9</v>
      </c>
      <c r="Q38">
        <v>13.4</v>
      </c>
      <c r="R38" s="930">
        <v>10.4</v>
      </c>
    </row>
    <row r="39" spans="2:18" ht="13.5" thickBot="1">
      <c r="B39" s="177" t="s">
        <v>43</v>
      </c>
      <c r="C39" s="417">
        <f>43.8/55.57</f>
        <v>0.78819506928198668</v>
      </c>
      <c r="D39" s="417">
        <f>48.97/57.43</f>
        <v>0.85269023158627888</v>
      </c>
      <c r="E39" s="417">
        <f>321.25/359.74</f>
        <v>0.89300605993217319</v>
      </c>
      <c r="F39" s="417">
        <f>407.1/407.83</f>
        <v>0.99821003849643242</v>
      </c>
      <c r="G39" s="417">
        <f>81.4/178.82</f>
        <v>0.45520635275696236</v>
      </c>
      <c r="H39" s="421">
        <f t="shared" si="13"/>
        <v>0.79746155041076672</v>
      </c>
      <c r="I39" s="470">
        <f>SQRT((C39-H39)^2)</f>
        <v>9.2664811287800353E-3</v>
      </c>
      <c r="L39" s="931" t="s">
        <v>265</v>
      </c>
      <c r="M39" s="948">
        <v>56.8</v>
      </c>
      <c r="N39" s="948">
        <v>30.3</v>
      </c>
      <c r="O39" s="948">
        <v>16.2</v>
      </c>
      <c r="P39" s="948">
        <v>12.1</v>
      </c>
      <c r="Q39" s="948">
        <v>10.7</v>
      </c>
      <c r="R39" s="930"/>
    </row>
    <row r="40" spans="2:18" ht="13.5" thickBot="1">
      <c r="B40" s="407" t="s">
        <v>266</v>
      </c>
      <c r="C40" s="408">
        <f ca="1">OP!M22</f>
        <v>0.57779999999999998</v>
      </c>
      <c r="D40" s="408">
        <v>0.95</v>
      </c>
      <c r="E40" s="408">
        <v>0.99</v>
      </c>
      <c r="F40" s="408">
        <v>0.8</v>
      </c>
      <c r="G40" s="408">
        <v>0.43</v>
      </c>
      <c r="H40" s="431">
        <f t="shared" ca="1" si="13"/>
        <v>0.74956</v>
      </c>
      <c r="I40" s="471">
        <f ca="1">SQRT((C40-H40)^2)</f>
        <v>0.17176000000000002</v>
      </c>
      <c r="L40" s="736" t="s">
        <v>267</v>
      </c>
      <c r="M40">
        <v>21.6</v>
      </c>
      <c r="N40">
        <v>16.7</v>
      </c>
      <c r="O40">
        <v>17.8</v>
      </c>
      <c r="P40">
        <v>19.5</v>
      </c>
      <c r="Q40">
        <v>18.2</v>
      </c>
      <c r="R40" s="930">
        <v>16.899999999999999</v>
      </c>
    </row>
    <row r="41" spans="2:18" ht="13.5" thickBot="1">
      <c r="B41" s="404" t="s">
        <v>268</v>
      </c>
      <c r="C41" s="411">
        <v>0</v>
      </c>
      <c r="D41" s="412">
        <v>8.6999999999999994E-3</v>
      </c>
      <c r="E41" s="412">
        <v>2.9399999999999999E-2</v>
      </c>
      <c r="F41" s="412">
        <v>2.0299999999999999E-2</v>
      </c>
      <c r="G41" s="412">
        <v>0</v>
      </c>
      <c r="H41" s="422">
        <f t="shared" si="13"/>
        <v>1.1679999999999999E-2</v>
      </c>
      <c r="I41" s="472">
        <f>SQRT((C41-H41)^2)</f>
        <v>1.1679999999999999E-2</v>
      </c>
      <c r="L41" s="931" t="s">
        <v>269</v>
      </c>
      <c r="M41" s="948">
        <v>20.9</v>
      </c>
      <c r="N41" s="948">
        <v>18.600000000000001</v>
      </c>
      <c r="O41" s="948">
        <v>17.899999999999999</v>
      </c>
      <c r="P41" s="948">
        <v>19.2</v>
      </c>
      <c r="Q41" s="948">
        <v>17.8</v>
      </c>
      <c r="R41" s="929">
        <v>16.7</v>
      </c>
    </row>
    <row r="42" spans="2:18" ht="15.4" thickBot="1">
      <c r="B42" s="179" t="s">
        <v>270</v>
      </c>
      <c r="C42" s="183"/>
      <c r="D42" s="183"/>
      <c r="E42" s="183"/>
      <c r="F42" s="183"/>
      <c r="G42" s="183"/>
      <c r="H42" s="432"/>
      <c r="I42" s="455"/>
      <c r="L42" s="950" t="s">
        <v>271</v>
      </c>
      <c r="M42" s="598">
        <v>58.1</v>
      </c>
      <c r="N42" s="598">
        <v>25.2</v>
      </c>
      <c r="O42" s="598">
        <v>9.77</v>
      </c>
      <c r="P42" s="598">
        <v>9.99</v>
      </c>
      <c r="Q42" s="598">
        <v>8.64</v>
      </c>
      <c r="R42" s="949">
        <v>6.91</v>
      </c>
    </row>
    <row r="43" spans="2:18" ht="13.5" thickBot="1">
      <c r="B43" s="181" t="s">
        <v>272</v>
      </c>
      <c r="C43" s="902">
        <f>(177.08/C45)-1</f>
        <v>8.8718106363356863E-2</v>
      </c>
      <c r="D43" s="902">
        <f>(D45/182.71)-1</f>
        <v>-0.11608560013135572</v>
      </c>
      <c r="E43" s="517">
        <f>(E45/116.15)-1</f>
        <v>0.14756780025828653</v>
      </c>
      <c r="F43" s="517">
        <f>(F45/238.4)-1</f>
        <v>0.15687919463087252</v>
      </c>
      <c r="G43" s="517">
        <f>(G45/21.99)-1</f>
        <v>-0.34970441109595263</v>
      </c>
      <c r="H43" s="421">
        <f t="shared" ref="H43:H50" si="21">IFERROR(AVERAGE(C43:G43),"")</f>
        <v>-1.4524981994958486E-2</v>
      </c>
      <c r="I43" s="446">
        <f>SQRT((C43-H43)^2)</f>
        <v>0.10324308835831535</v>
      </c>
    </row>
    <row r="44" spans="2:18" ht="13.5" thickBot="1">
      <c r="B44" s="391" t="s">
        <v>273</v>
      </c>
      <c r="C44" s="903">
        <f>(168.25/C45)-1</f>
        <v>3.4429757147248718E-2</v>
      </c>
      <c r="D44" s="903">
        <f>(D45/202.62)-1</f>
        <v>-0.20294146678511504</v>
      </c>
      <c r="E44" s="518">
        <f>(E45/99.21)-1</f>
        <v>0.34351375869368006</v>
      </c>
      <c r="F44" s="518">
        <f>(F45/213.17)-1</f>
        <v>0.29380306797391764</v>
      </c>
      <c r="G44" s="518">
        <f>(G45/26.25)-1</f>
        <v>-0.45523809523809522</v>
      </c>
      <c r="H44" s="421">
        <f t="shared" si="21"/>
        <v>2.7134043583272316E-3</v>
      </c>
      <c r="I44" s="473">
        <f>SQRT((C44-H44)^2)</f>
        <v>3.1716352788921487E-2</v>
      </c>
    </row>
    <row r="45" spans="2:18" ht="13.5" thickBot="1">
      <c r="B45" s="182" t="s">
        <v>274</v>
      </c>
      <c r="C45" s="541">
        <v>162.65</v>
      </c>
      <c r="D45" s="541">
        <v>161.5</v>
      </c>
      <c r="E45" s="541">
        <v>133.29</v>
      </c>
      <c r="F45" s="541">
        <v>275.8</v>
      </c>
      <c r="G45" s="541">
        <v>14.3</v>
      </c>
      <c r="H45" s="421">
        <f t="shared" si="21"/>
        <v>149.50799999999998</v>
      </c>
      <c r="I45" s="474">
        <f>SQRT((C45-H45)^2)</f>
        <v>13.142000000000024</v>
      </c>
      <c r="K45" s="13"/>
      <c r="L45" s="1125" t="s">
        <v>275</v>
      </c>
      <c r="M45" s="945">
        <v>2022</v>
      </c>
      <c r="N45" s="945">
        <v>2023</v>
      </c>
      <c r="O45" s="945">
        <v>2024</v>
      </c>
      <c r="P45" s="946">
        <v>2025</v>
      </c>
      <c r="Q45" s="946">
        <v>2026</v>
      </c>
      <c r="R45" s="947">
        <v>2027</v>
      </c>
    </row>
    <row r="46" spans="2:18" ht="13.5" thickBot="1">
      <c r="B46" s="391" t="s">
        <v>276</v>
      </c>
      <c r="C46" s="606">
        <v>180.86</v>
      </c>
      <c r="D46" s="606">
        <v>180.86</v>
      </c>
      <c r="E46" s="606">
        <v>121.2</v>
      </c>
      <c r="F46" s="606">
        <v>273.41000000000003</v>
      </c>
      <c r="G46" s="606">
        <v>18.2</v>
      </c>
      <c r="H46" s="421">
        <f t="shared" si="21"/>
        <v>154.90600000000001</v>
      </c>
      <c r="I46" s="475">
        <f>SQRT((C46-H46)^2)</f>
        <v>25.954000000000008</v>
      </c>
      <c r="L46" s="736" t="s">
        <v>264</v>
      </c>
      <c r="M46">
        <v>92.5</v>
      </c>
      <c r="N46">
        <v>47.7</v>
      </c>
      <c r="O46">
        <v>23</v>
      </c>
      <c r="P46">
        <v>26.4</v>
      </c>
      <c r="Q46">
        <v>21.8</v>
      </c>
      <c r="R46" s="930">
        <v>17.3</v>
      </c>
    </row>
    <row r="47" spans="2:18" ht="13.5" thickBot="1">
      <c r="B47" s="409" t="s">
        <v>277</v>
      </c>
      <c r="C47" s="410">
        <f>C46/C45-1</f>
        <v>0.11195819243774974</v>
      </c>
      <c r="D47" s="410">
        <f t="shared" ref="D47:G47" si="22">D46/D45-1</f>
        <v>0.11987616099071219</v>
      </c>
      <c r="E47" s="410">
        <f t="shared" si="22"/>
        <v>-9.0704478955660472E-2</v>
      </c>
      <c r="F47" s="410">
        <f t="shared" si="22"/>
        <v>-8.6656997824510196E-3</v>
      </c>
      <c r="G47" s="410">
        <f t="shared" si="22"/>
        <v>0.27272727272727271</v>
      </c>
      <c r="H47" s="433">
        <f t="shared" si="21"/>
        <v>8.1038289483524623E-2</v>
      </c>
      <c r="I47" s="476">
        <f>SQRT((C47-H47)^2)</f>
        <v>3.0919902954225115E-2</v>
      </c>
      <c r="L47" s="931" t="s">
        <v>265</v>
      </c>
      <c r="M47" s="948">
        <v>75.5</v>
      </c>
      <c r="N47" s="948">
        <v>39.799999999999997</v>
      </c>
      <c r="O47" s="948">
        <v>28.1</v>
      </c>
      <c r="P47" s="948">
        <v>22.5</v>
      </c>
      <c r="Q47" s="948">
        <v>16.2</v>
      </c>
      <c r="R47" s="929"/>
    </row>
    <row r="48" spans="2:18" ht="15.4" thickBot="1">
      <c r="B48" s="179" t="s">
        <v>278</v>
      </c>
      <c r="C48" s="179"/>
      <c r="D48" s="179"/>
      <c r="E48" s="179"/>
      <c r="F48" s="179"/>
      <c r="G48" s="179"/>
      <c r="H48" s="179" t="str">
        <f t="shared" si="21"/>
        <v/>
      </c>
      <c r="I48" s="445"/>
      <c r="J48" s="450"/>
      <c r="L48" s="736" t="s">
        <v>279</v>
      </c>
      <c r="M48">
        <v>32.299999999999997</v>
      </c>
      <c r="N48">
        <v>23.5</v>
      </c>
      <c r="O48">
        <v>24.5</v>
      </c>
      <c r="P48">
        <v>26.1</v>
      </c>
      <c r="Q48">
        <v>23.3</v>
      </c>
      <c r="R48" s="930">
        <v>21.4</v>
      </c>
    </row>
    <row r="49" spans="2:18" ht="13.5" thickBot="1">
      <c r="B49" s="181" t="s">
        <v>280</v>
      </c>
      <c r="C49" s="478">
        <f>(Inputs!B59-Inputs!E59)/Inputs!E59</f>
        <v>2.0810572687224669</v>
      </c>
      <c r="D49" s="351">
        <f>(617282/222519)-1</f>
        <v>1.7740642372112045</v>
      </c>
      <c r="E49" s="1">
        <f>(1690.4/1097.5)-1</f>
        <v>0.54022779043280189</v>
      </c>
      <c r="F49" s="351">
        <f>(3752/2598.5)-1</f>
        <v>0.44390994804695016</v>
      </c>
      <c r="G49" s="351">
        <f>(-59.942/-72.482)-1</f>
        <v>-0.17300847106867911</v>
      </c>
      <c r="H49" s="433">
        <f t="shared" si="21"/>
        <v>0.93325015466894867</v>
      </c>
      <c r="I49" s="446">
        <f>SQRT((C49-H49)^2)</f>
        <v>1.1478071140535182</v>
      </c>
      <c r="J49" s="351"/>
      <c r="L49" s="931" t="s">
        <v>269</v>
      </c>
      <c r="M49" s="948">
        <v>30.5</v>
      </c>
      <c r="N49" s="948">
        <v>22.9</v>
      </c>
      <c r="O49" s="948">
        <v>24.9</v>
      </c>
      <c r="P49" s="948">
        <v>16.8</v>
      </c>
      <c r="Q49" s="948">
        <v>17.3</v>
      </c>
      <c r="R49" s="929">
        <v>16.100000000000001</v>
      </c>
    </row>
    <row r="50" spans="2:18" ht="13.5" thickBot="1">
      <c r="B50" s="447" t="s">
        <v>281</v>
      </c>
      <c r="C50" s="766">
        <f t="shared" ref="C50:G50" si="23">C63/C11</f>
        <v>0.12715229427136251</v>
      </c>
      <c r="D50" s="448">
        <f t="shared" si="23"/>
        <v>0.12373902808932846</v>
      </c>
      <c r="E50" s="448">
        <f>E63/E11</f>
        <v>1.299660875660724E-2</v>
      </c>
      <c r="F50" s="448">
        <f t="shared" si="23"/>
        <v>4.9769302073677524E-2</v>
      </c>
      <c r="G50" s="448">
        <f t="shared" si="23"/>
        <v>9.3776910533355323E-2</v>
      </c>
      <c r="H50" s="433">
        <f t="shared" si="21"/>
        <v>8.1486828744866208E-2</v>
      </c>
      <c r="I50" s="449">
        <f>SQRT((C50-H50)^2)</f>
        <v>4.5665465526496307E-2</v>
      </c>
      <c r="J50" s="451"/>
      <c r="L50" s="950" t="s">
        <v>271</v>
      </c>
      <c r="M50" s="598">
        <v>197</v>
      </c>
      <c r="N50" s="598">
        <v>94.8</v>
      </c>
      <c r="O50" s="598">
        <v>24.8</v>
      </c>
      <c r="P50" s="598">
        <v>41.7</v>
      </c>
      <c r="Q50" s="598">
        <v>26.4</v>
      </c>
      <c r="R50" s="949">
        <v>12.5</v>
      </c>
    </row>
    <row r="51" spans="2:18" ht="13.15" thickBot="1"/>
    <row r="52" spans="2:18" ht="15.4" thickBot="1">
      <c r="B52" s="807" t="s">
        <v>282</v>
      </c>
      <c r="C52" s="808" t="e" vm="1">
        <f>OP!E2</f>
        <v>#VALUE!</v>
      </c>
      <c r="D52" s="809" t="str">
        <f>D8</f>
        <v>Paycom Software Inc</v>
      </c>
      <c r="E52" s="810" t="str">
        <f>E8</f>
        <v>Paychex Inc</v>
      </c>
      <c r="F52" s="811" t="str">
        <f>F8</f>
        <v>Automatic Data Processing Inc</v>
      </c>
      <c r="G52" s="812" t="str">
        <f>G8</f>
        <v>Paycor HCM Inc</v>
      </c>
    </row>
    <row r="53" spans="2:18" ht="13.5" thickBot="1">
      <c r="B53" s="813" t="s">
        <v>283</v>
      </c>
      <c r="C53" s="175"/>
      <c r="D53" s="175"/>
      <c r="E53" s="176"/>
      <c r="F53" s="175"/>
      <c r="G53" s="814"/>
    </row>
    <row r="54" spans="2:18" ht="13.5" thickBot="1">
      <c r="B54" s="815" t="s">
        <v>284</v>
      </c>
      <c r="C54" s="188">
        <f>'Fin. Data'!E5</f>
        <v>635627</v>
      </c>
      <c r="D54" s="171">
        <v>1036691</v>
      </c>
      <c r="E54" s="171">
        <v>4056800</v>
      </c>
      <c r="F54" s="171">
        <v>15005400</v>
      </c>
      <c r="G54" s="816">
        <v>352777</v>
      </c>
    </row>
    <row r="55" spans="2:18" ht="13.5" thickBot="1">
      <c r="B55" s="815" t="s">
        <v>285</v>
      </c>
      <c r="C55" s="188">
        <f>'Fin. Data'!C5</f>
        <v>1174598</v>
      </c>
      <c r="D55" s="817">
        <v>1521101</v>
      </c>
      <c r="E55" s="171">
        <v>5007100</v>
      </c>
      <c r="F55" s="171">
        <v>18012600</v>
      </c>
      <c r="G55" s="816">
        <v>552692</v>
      </c>
    </row>
    <row r="56" spans="2:18" ht="13.5" thickBot="1">
      <c r="B56" s="815" t="s">
        <v>236</v>
      </c>
      <c r="C56" s="188">
        <f>'Fin. Data'!B5</f>
        <v>1402515</v>
      </c>
      <c r="D56" s="171">
        <v>1778291</v>
      </c>
      <c r="E56" s="171">
        <v>5278300</v>
      </c>
      <c r="F56" s="171">
        <v>19202600</v>
      </c>
      <c r="G56" s="816">
        <v>654948</v>
      </c>
    </row>
    <row r="57" spans="2:18" ht="13.5" thickBot="1">
      <c r="B57" s="815" t="s">
        <v>286</v>
      </c>
      <c r="C57" s="188">
        <f>'Fin. Data'!B5-'Fin. Data'!B7</f>
        <v>441729</v>
      </c>
      <c r="D57" s="171">
        <v>306145</v>
      </c>
      <c r="E57" s="171">
        <v>1479300</v>
      </c>
      <c r="F57" s="171">
        <v>10476700</v>
      </c>
      <c r="G57" s="816">
        <v>223235</v>
      </c>
    </row>
    <row r="58" spans="2:18" ht="13.5" thickBot="1">
      <c r="B58" s="815" t="s">
        <v>52</v>
      </c>
      <c r="C58" s="188">
        <f>'Fin. Data'!B19</f>
        <v>319597</v>
      </c>
      <c r="D58" s="171">
        <f>68993+D59</f>
        <v>653571</v>
      </c>
      <c r="E58" s="171">
        <f>176500+E59</f>
        <v>2350600</v>
      </c>
      <c r="F58" s="171">
        <v>5795600</v>
      </c>
      <c r="G58" s="816">
        <v>86093</v>
      </c>
    </row>
    <row r="59" spans="2:18" ht="13.5" thickBot="1">
      <c r="B59" s="815" t="s">
        <v>287</v>
      </c>
      <c r="C59" s="379">
        <f>'Fin. Data'!B11</f>
        <v>260093</v>
      </c>
      <c r="D59" s="171">
        <v>584578</v>
      </c>
      <c r="E59" s="171">
        <f>2174100</f>
        <v>2174100</v>
      </c>
      <c r="F59" s="171">
        <v>4981200</v>
      </c>
      <c r="G59" s="816">
        <v>-55451</v>
      </c>
    </row>
    <row r="60" spans="2:18" ht="13.5" thickBot="1">
      <c r="B60" s="815" t="s">
        <v>288</v>
      </c>
      <c r="C60" s="379">
        <f>120.835-0.758</f>
        <v>120.077</v>
      </c>
      <c r="D60" s="171">
        <v>-2052</v>
      </c>
      <c r="E60" s="171">
        <f>(82.7-37.3)*1000</f>
        <v>45400.000000000007</v>
      </c>
      <c r="F60" s="314">
        <v>-120100</v>
      </c>
      <c r="G60" s="816">
        <v>-4682</v>
      </c>
    </row>
    <row r="61" spans="2:18" ht="13.5" thickBot="1">
      <c r="B61" s="815" t="s">
        <v>289</v>
      </c>
      <c r="C61" s="379">
        <f>'Fin. Data'!B21</f>
        <v>-70249</v>
      </c>
      <c r="D61" s="171">
        <v>131006</v>
      </c>
      <c r="E61" s="171">
        <v>527600</v>
      </c>
      <c r="F61" s="171">
        <v>1120300</v>
      </c>
      <c r="G61" s="816">
        <v>-773</v>
      </c>
    </row>
    <row r="62" spans="2:18" ht="13.5" thickBot="1">
      <c r="B62" s="815" t="s">
        <v>65</v>
      </c>
      <c r="C62" s="379">
        <f>'Fin. Data'!B23</f>
        <v>206766</v>
      </c>
      <c r="D62" s="171">
        <v>472133</v>
      </c>
      <c r="E62" s="171">
        <v>1690400</v>
      </c>
      <c r="F62" s="171">
        <v>3752200</v>
      </c>
      <c r="G62" s="816">
        <v>-58942</v>
      </c>
    </row>
    <row r="63" spans="2:18" ht="13.5" thickBot="1">
      <c r="B63" s="815" t="s">
        <v>290</v>
      </c>
      <c r="C63" s="379">
        <v>178333</v>
      </c>
      <c r="D63" s="171">
        <v>220044</v>
      </c>
      <c r="E63" s="932">
        <f>68.6*1000</f>
        <v>68600</v>
      </c>
      <c r="F63" s="171">
        <v>955700</v>
      </c>
      <c r="G63" s="816">
        <v>61419</v>
      </c>
    </row>
    <row r="64" spans="2:18" ht="13.5" thickBot="1">
      <c r="B64" s="818" t="s">
        <v>291</v>
      </c>
      <c r="C64" s="176"/>
      <c r="D64" s="176"/>
      <c r="E64" s="176"/>
      <c r="F64" s="176"/>
      <c r="G64" s="819"/>
    </row>
    <row r="65" spans="2:7" ht="13.5" thickBot="1">
      <c r="B65" s="815" t="s">
        <v>292</v>
      </c>
      <c r="C65" s="188">
        <f>'Fin. Data'!B39</f>
        <v>401811</v>
      </c>
      <c r="D65" s="171">
        <v>346456</v>
      </c>
      <c r="E65" s="171">
        <v>1468900</v>
      </c>
      <c r="F65" s="171">
        <v>2913400</v>
      </c>
      <c r="G65" s="816">
        <v>117958</v>
      </c>
    </row>
    <row r="66" spans="2:7" ht="13.5" thickBot="1">
      <c r="B66" s="815" t="s">
        <v>293</v>
      </c>
      <c r="C66" s="188">
        <f>'Fin. Data'!B40</f>
        <v>32997</v>
      </c>
      <c r="D66" s="171">
        <v>20034</v>
      </c>
      <c r="E66" s="171">
        <v>1059600</v>
      </c>
      <c r="F66" s="171">
        <v>3428200</v>
      </c>
      <c r="G66" s="816">
        <v>48164</v>
      </c>
    </row>
    <row r="67" spans="2:7" ht="13.5" thickBot="1">
      <c r="B67" s="815" t="s">
        <v>294</v>
      </c>
      <c r="C67" s="188">
        <f>'Fin. Data'!B41</f>
        <v>0</v>
      </c>
      <c r="D67" s="171">
        <v>1415</v>
      </c>
      <c r="E67" s="171">
        <v>0</v>
      </c>
      <c r="F67" s="171">
        <v>0</v>
      </c>
      <c r="G67" s="816">
        <v>0</v>
      </c>
    </row>
    <row r="68" spans="2:7" ht="13.5" thickBot="1">
      <c r="B68" s="815" t="s">
        <v>295</v>
      </c>
      <c r="C68" s="188">
        <f>Inputs!B27</f>
        <v>3524492</v>
      </c>
      <c r="D68" s="171">
        <v>2846321</v>
      </c>
      <c r="E68" s="171">
        <v>7251500</v>
      </c>
      <c r="F68" s="171">
        <v>45542500</v>
      </c>
      <c r="G68" s="816">
        <v>1361842</v>
      </c>
    </row>
    <row r="69" spans="2:7" ht="13.5" thickBot="1">
      <c r="B69" s="815" t="s">
        <v>296</v>
      </c>
      <c r="C69" s="188">
        <f>'Fin. Data'!B42</f>
        <v>60640</v>
      </c>
      <c r="D69" s="171">
        <v>531884</v>
      </c>
      <c r="E69" s="171">
        <v>411700</v>
      </c>
      <c r="F69" s="171">
        <v>1056200</v>
      </c>
      <c r="G69" s="816">
        <v>49637</v>
      </c>
    </row>
    <row r="70" spans="2:7" ht="13.5" thickBot="1">
      <c r="B70" s="815" t="s">
        <v>39</v>
      </c>
      <c r="C70" s="188">
        <f>'Fin. Data'!B44</f>
        <v>4245460</v>
      </c>
      <c r="D70" s="171">
        <v>4312744</v>
      </c>
      <c r="E70" s="171">
        <v>10383100</v>
      </c>
      <c r="F70" s="171">
        <v>54362700</v>
      </c>
      <c r="G70" s="816">
        <v>2609393</v>
      </c>
    </row>
    <row r="71" spans="2:7" ht="13.5" thickBot="1">
      <c r="B71" s="815" t="s">
        <v>297</v>
      </c>
      <c r="C71" s="188">
        <f>Inputs!B43</f>
        <v>8638</v>
      </c>
      <c r="D71" s="171">
        <v>14997</v>
      </c>
      <c r="E71" s="171">
        <v>104300</v>
      </c>
      <c r="F71" s="171">
        <v>682100</v>
      </c>
      <c r="G71" s="816">
        <v>27309</v>
      </c>
    </row>
    <row r="72" spans="2:7" ht="13.5" thickBot="1">
      <c r="B72" s="815" t="s">
        <v>298</v>
      </c>
      <c r="C72" s="188">
        <f>Inputs!B42</f>
        <v>3117360</v>
      </c>
      <c r="D72" s="171">
        <v>2526883</v>
      </c>
      <c r="E72" s="171">
        <v>5309100</v>
      </c>
      <c r="F72" s="171">
        <v>45080000</v>
      </c>
      <c r="G72" s="816">
        <v>1223655</v>
      </c>
    </row>
    <row r="73" spans="2:7" ht="13.5" thickBot="1">
      <c r="B73" s="815" t="s">
        <v>299</v>
      </c>
      <c r="C73" s="188">
        <f>'Fin. Data'!B59</f>
        <v>205125</v>
      </c>
      <c r="D73" s="171">
        <v>41012</v>
      </c>
      <c r="E73" s="817">
        <v>817300</v>
      </c>
      <c r="F73" s="171">
        <v>3705300</v>
      </c>
      <c r="G73" s="816">
        <v>13447</v>
      </c>
    </row>
    <row r="74" spans="2:7" ht="13.5" thickBot="1">
      <c r="B74" s="820" t="s">
        <v>300</v>
      </c>
      <c r="C74" s="821">
        <f>'Fin. Data'!B65</f>
        <v>1033064</v>
      </c>
      <c r="D74" s="822">
        <v>1426531</v>
      </c>
      <c r="E74" s="822">
        <v>3801000</v>
      </c>
      <c r="F74" s="822">
        <v>4547600</v>
      </c>
      <c r="G74" s="823">
        <v>1286926</v>
      </c>
    </row>
    <row r="75" spans="2:7" ht="13.5" thickBot="1">
      <c r="B75" s="944"/>
    </row>
    <row r="76" spans="2:7" ht="13.5" thickBot="1">
      <c r="B76" s="1485" t="s">
        <v>301</v>
      </c>
      <c r="C76" s="1486"/>
    </row>
    <row r="77" spans="2:7" ht="13.15">
      <c r="B77" s="782" t="s">
        <v>302</v>
      </c>
      <c r="C77" s="783">
        <v>8.5000000000000006E-2</v>
      </c>
    </row>
    <row r="78" spans="2:7" ht="13.15">
      <c r="B78" s="782" t="s">
        <v>303</v>
      </c>
      <c r="C78" s="783">
        <v>8.7999999999999995E-2</v>
      </c>
      <c r="D78" s="617">
        <f>D59/D56</f>
        <v>0.32873022469325885</v>
      </c>
    </row>
    <row r="79" spans="2:7" ht="13.15">
      <c r="B79" s="782" t="s">
        <v>304</v>
      </c>
      <c r="C79" s="784">
        <v>0.09</v>
      </c>
    </row>
    <row r="80" spans="2:7" ht="13.5" thickBot="1">
      <c r="B80" s="785" t="s">
        <v>305</v>
      </c>
      <c r="C80" s="786">
        <v>9.2999999999999999E-2</v>
      </c>
    </row>
    <row r="82" spans="3:18" s="1153" customFormat="1" ht="15">
      <c r="C82" s="1154" t="s">
        <v>306</v>
      </c>
    </row>
    <row r="84" spans="3:18" ht="13.15" thickBot="1"/>
    <row r="85" spans="3:18" ht="13.5" thickBot="1">
      <c r="C85" s="574" t="s">
        <v>307</v>
      </c>
      <c r="D85" s="1126">
        <v>2019</v>
      </c>
      <c r="E85" s="1127">
        <v>2020</v>
      </c>
      <c r="F85" s="1127">
        <v>2021</v>
      </c>
      <c r="G85" s="1127">
        <v>2022</v>
      </c>
      <c r="H85" s="1127">
        <v>2023</v>
      </c>
      <c r="I85" s="1128">
        <v>2024</v>
      </c>
      <c r="L85" s="1114" t="s">
        <v>269</v>
      </c>
      <c r="M85" s="641">
        <v>2019</v>
      </c>
      <c r="N85" s="642">
        <v>2020</v>
      </c>
      <c r="O85" s="642">
        <v>2021</v>
      </c>
      <c r="P85" s="642">
        <v>2022</v>
      </c>
      <c r="Q85" s="642">
        <v>2023</v>
      </c>
      <c r="R85" s="643">
        <v>2024</v>
      </c>
    </row>
    <row r="86" spans="3:18" ht="13.15">
      <c r="C86" s="867" t="s">
        <v>308</v>
      </c>
      <c r="D86" s="1129">
        <v>737671</v>
      </c>
      <c r="E86" s="1130">
        <v>841434</v>
      </c>
      <c r="F86" s="1131">
        <f>D54</f>
        <v>1036691</v>
      </c>
      <c r="G86" s="1131">
        <v>1375218</v>
      </c>
      <c r="H86" s="1132">
        <f>D55</f>
        <v>1521101</v>
      </c>
      <c r="I86" s="1133">
        <f>D56</f>
        <v>1778291</v>
      </c>
      <c r="L86" s="867" t="s">
        <v>308</v>
      </c>
      <c r="M86" s="869">
        <v>14110200</v>
      </c>
      <c r="N86" s="870">
        <v>14598400</v>
      </c>
      <c r="O86" s="871">
        <f>F54</f>
        <v>15005400</v>
      </c>
      <c r="P86" s="871">
        <v>16498300</v>
      </c>
      <c r="Q86" s="872">
        <f>F55</f>
        <v>18012600</v>
      </c>
      <c r="R86" s="873">
        <f>F56</f>
        <v>19202600</v>
      </c>
    </row>
    <row r="87" spans="3:18">
      <c r="C87" s="570" t="s">
        <v>309</v>
      </c>
      <c r="D87" s="1134" t="s">
        <v>51</v>
      </c>
      <c r="E87" s="1134">
        <f>E86/D86-1</f>
        <v>0.14066297848227727</v>
      </c>
      <c r="F87" s="1134">
        <f>F86/E86-1</f>
        <v>0.23205266247857814</v>
      </c>
      <c r="G87" s="1134">
        <f>G86/F86-1</f>
        <v>0.32654571130645493</v>
      </c>
      <c r="H87" s="1134">
        <f>H86/G86-1</f>
        <v>0.10607990878537077</v>
      </c>
      <c r="I87" s="1135">
        <f t="shared" ref="I87" si="24">I86/H86-1</f>
        <v>0.1690814745371938</v>
      </c>
      <c r="L87" s="570" t="s">
        <v>309</v>
      </c>
      <c r="M87" s="874"/>
      <c r="N87" s="875">
        <f>N86/M86-1</f>
        <v>3.4599084350328102E-2</v>
      </c>
      <c r="O87" s="876">
        <f t="shared" ref="O87" si="25">O86/N86-1</f>
        <v>2.7879767645769382E-2</v>
      </c>
      <c r="P87" s="876">
        <f t="shared" ref="P87" si="26">P86/O86-1</f>
        <v>9.9490849960680805E-2</v>
      </c>
      <c r="Q87" s="876">
        <f t="shared" ref="Q87" si="27">Q86/P86-1</f>
        <v>9.1785214234193724E-2</v>
      </c>
      <c r="R87" s="877">
        <f t="shared" ref="R87" si="28">R86/Q86-1</f>
        <v>6.6064865705117493E-2</v>
      </c>
    </row>
    <row r="88" spans="3:18" ht="13.15">
      <c r="C88" s="787" t="s">
        <v>310</v>
      </c>
      <c r="D88" s="1136">
        <v>26.5</v>
      </c>
      <c r="E88" s="1136">
        <v>31</v>
      </c>
      <c r="F88" s="1136">
        <v>33.9</v>
      </c>
      <c r="G88" s="1136">
        <v>36.6</v>
      </c>
      <c r="H88" s="1136">
        <v>36.86</v>
      </c>
      <c r="I88" s="1137">
        <v>39.049999999999997</v>
      </c>
      <c r="L88" s="787" t="s">
        <v>311</v>
      </c>
      <c r="M88" s="878">
        <v>810</v>
      </c>
      <c r="N88" s="879">
        <v>860</v>
      </c>
      <c r="O88" s="879">
        <v>920</v>
      </c>
      <c r="P88" s="879">
        <v>990</v>
      </c>
      <c r="Q88" s="879">
        <v>1000</v>
      </c>
      <c r="R88" s="880">
        <v>1100</v>
      </c>
    </row>
    <row r="89" spans="3:18">
      <c r="C89" s="570" t="s">
        <v>309</v>
      </c>
      <c r="D89" s="1138"/>
      <c r="E89" s="1138">
        <f>E88/D88-1</f>
        <v>0.16981132075471694</v>
      </c>
      <c r="F89" s="1138">
        <f t="shared" ref="F89:I89" si="29">F88/E88-1</f>
        <v>9.3548387096774155E-2</v>
      </c>
      <c r="G89" s="1138">
        <f t="shared" si="29"/>
        <v>7.9646017699115168E-2</v>
      </c>
      <c r="H89" s="1138">
        <f t="shared" si="29"/>
        <v>7.1038251366120075E-3</v>
      </c>
      <c r="I89" s="1139">
        <f t="shared" si="29"/>
        <v>5.9413998914812804E-2</v>
      </c>
      <c r="L89" s="570" t="s">
        <v>309</v>
      </c>
      <c r="M89" s="881"/>
      <c r="N89" s="875">
        <f>N88/M88-1</f>
        <v>6.1728395061728447E-2</v>
      </c>
      <c r="O89" s="875">
        <f t="shared" ref="O89" si="30">O88/N88-1</f>
        <v>6.9767441860465018E-2</v>
      </c>
      <c r="P89" s="875">
        <f t="shared" ref="P89" si="31">P88/O88-1</f>
        <v>7.6086956521739024E-2</v>
      </c>
      <c r="Q89" s="875">
        <f t="shared" ref="Q89" si="32">Q88/P88-1</f>
        <v>1.0101010101010166E-2</v>
      </c>
      <c r="R89" s="882">
        <f t="shared" ref="R89" si="33">R88/Q88-1</f>
        <v>0.10000000000000009</v>
      </c>
    </row>
    <row r="90" spans="3:18" ht="13.15">
      <c r="C90" s="787" t="s">
        <v>312</v>
      </c>
      <c r="D90" s="1140">
        <f t="shared" ref="D90:I90" si="34">D86/D88</f>
        <v>27836.641509433961</v>
      </c>
      <c r="E90" s="1141">
        <f t="shared" si="34"/>
        <v>27143.032258064515</v>
      </c>
      <c r="F90" s="1141">
        <f t="shared" si="34"/>
        <v>30580.855457227139</v>
      </c>
      <c r="G90" s="1141">
        <f t="shared" si="34"/>
        <v>37574.262295081964</v>
      </c>
      <c r="H90" s="1141">
        <f t="shared" si="34"/>
        <v>41266.983179598479</v>
      </c>
      <c r="I90" s="1142">
        <f t="shared" si="34"/>
        <v>45538.822023047382</v>
      </c>
      <c r="L90" s="787" t="s">
        <v>312</v>
      </c>
      <c r="M90" s="883">
        <f t="shared" ref="M90:O90" si="35">M86/M88</f>
        <v>17420</v>
      </c>
      <c r="N90" s="884">
        <f t="shared" si="35"/>
        <v>16974.883720930233</v>
      </c>
      <c r="O90" s="884">
        <f t="shared" si="35"/>
        <v>16310.217391304348</v>
      </c>
      <c r="P90" s="884">
        <f>P86/P88</f>
        <v>16664.949494949495</v>
      </c>
      <c r="Q90" s="884">
        <f t="shared" ref="Q90:R90" si="36">Q86/Q88</f>
        <v>18012.599999999999</v>
      </c>
      <c r="R90" s="885">
        <f t="shared" si="36"/>
        <v>17456.909090909092</v>
      </c>
    </row>
    <row r="91" spans="3:18">
      <c r="C91" s="570" t="s">
        <v>309</v>
      </c>
      <c r="D91" s="1143"/>
      <c r="E91" s="1138">
        <f>E90/D90-1</f>
        <v>-2.4917131297408024E-2</v>
      </c>
      <c r="F91" s="1134">
        <f>F90/E90-1</f>
        <v>0.12665582704530753</v>
      </c>
      <c r="G91" s="1134">
        <f>G90/F90-1</f>
        <v>0.22868578178384746</v>
      </c>
      <c r="H91" s="1134">
        <f>H90/G90-1</f>
        <v>9.8277934388078414E-2</v>
      </c>
      <c r="I91" s="1135">
        <f>I90/H90-1</f>
        <v>0.10351711015213749</v>
      </c>
      <c r="L91" s="570" t="s">
        <v>309</v>
      </c>
      <c r="M91" s="886"/>
      <c r="N91" s="875">
        <f>N90/M90-1</f>
        <v>-2.5552025204923501E-2</v>
      </c>
      <c r="O91" s="887">
        <f t="shared" ref="O91" si="37">O90/N90-1</f>
        <v>-3.9155869374606911E-2</v>
      </c>
      <c r="P91" s="887">
        <f t="shared" ref="P91" si="38">P90/O90-1</f>
        <v>2.1749072690733673E-2</v>
      </c>
      <c r="Q91" s="887">
        <f t="shared" ref="Q91" si="39">Q90/P90-1</f>
        <v>8.0867362091851858E-2</v>
      </c>
      <c r="R91" s="888">
        <f t="shared" ref="R91" si="40">R90/Q90-1</f>
        <v>-3.0850122086256704E-2</v>
      </c>
    </row>
    <row r="92" spans="3:18" ht="13.15">
      <c r="C92" s="787" t="s">
        <v>313</v>
      </c>
      <c r="D92" s="1140">
        <f t="shared" ref="D92:I92" si="41">D90*7</f>
        <v>194856.49056603771</v>
      </c>
      <c r="E92" s="1141">
        <f t="shared" si="41"/>
        <v>190001.22580645161</v>
      </c>
      <c r="F92" s="1141">
        <f t="shared" si="41"/>
        <v>214065.98820058996</v>
      </c>
      <c r="G92" s="1141">
        <f t="shared" si="41"/>
        <v>263019.83606557373</v>
      </c>
      <c r="H92" s="1141">
        <f t="shared" si="41"/>
        <v>288868.88225718937</v>
      </c>
      <c r="I92" s="1142">
        <f t="shared" si="41"/>
        <v>318771.75416133169</v>
      </c>
      <c r="L92" s="787" t="s">
        <v>313</v>
      </c>
      <c r="M92" s="883">
        <f t="shared" ref="M92:R92" si="42">M90*11</f>
        <v>191620</v>
      </c>
      <c r="N92" s="925">
        <f t="shared" si="42"/>
        <v>186723.72093023255</v>
      </c>
      <c r="O92" s="884">
        <f t="shared" si="42"/>
        <v>179412.39130434784</v>
      </c>
      <c r="P92" s="884">
        <f t="shared" si="42"/>
        <v>183314.44444444444</v>
      </c>
      <c r="Q92" s="884">
        <f t="shared" si="42"/>
        <v>198138.59999999998</v>
      </c>
      <c r="R92" s="885">
        <f t="shared" si="42"/>
        <v>192026</v>
      </c>
    </row>
    <row r="93" spans="3:18">
      <c r="C93" s="570" t="s">
        <v>314</v>
      </c>
      <c r="D93" s="1144">
        <v>178286</v>
      </c>
      <c r="E93" s="1143">
        <v>235716</v>
      </c>
      <c r="F93" s="1143">
        <v>275994</v>
      </c>
      <c r="G93" s="1143">
        <v>346561</v>
      </c>
      <c r="H93" s="1143">
        <v>417617</v>
      </c>
      <c r="I93" s="1145">
        <v>444870</v>
      </c>
      <c r="L93" s="570" t="s">
        <v>314</v>
      </c>
      <c r="M93" s="890">
        <f>112599*1000</f>
        <v>112599000</v>
      </c>
      <c r="N93" s="887">
        <f>145134*1000</f>
        <v>145134000</v>
      </c>
      <c r="O93" s="887">
        <f>161808*1000</f>
        <v>161808000</v>
      </c>
      <c r="P93" s="887">
        <f>214455*1000</f>
        <v>214455000</v>
      </c>
      <c r="Q93" s="887">
        <f>296716*1000</f>
        <v>296716000</v>
      </c>
      <c r="R93" s="888">
        <f>334954*1000</f>
        <v>334954000</v>
      </c>
    </row>
    <row r="94" spans="3:18" ht="13.15">
      <c r="C94" s="787" t="s">
        <v>315</v>
      </c>
      <c r="D94" s="1140"/>
      <c r="E94" s="1146">
        <f>E93/(E88-D88)</f>
        <v>52381.333333333336</v>
      </c>
      <c r="F94" s="1146">
        <f>F93/(F88-E88)</f>
        <v>95170.344827586247</v>
      </c>
      <c r="G94" s="1146">
        <f>G93/(G88-F88)</f>
        <v>128355.9259259258</v>
      </c>
      <c r="H94" s="1146">
        <f>H93/(H88-G88)</f>
        <v>1606219.2307692431</v>
      </c>
      <c r="I94" s="1147">
        <f>I93/(I88-H88)</f>
        <v>203136.98630137008</v>
      </c>
      <c r="L94" s="787" t="s">
        <v>315</v>
      </c>
      <c r="M94" s="883"/>
      <c r="N94" s="891">
        <f>N93/(N88-M88)</f>
        <v>2902680</v>
      </c>
      <c r="O94" s="891">
        <f t="shared" ref="O94" si="43">O93/(O88-N88)</f>
        <v>2696800</v>
      </c>
      <c r="P94" s="891">
        <f t="shared" ref="P94" si="44">P93/(P88-O88)</f>
        <v>3063642.8571428573</v>
      </c>
      <c r="Q94" s="891">
        <f t="shared" ref="Q94" si="45">Q93/(Q88-P88)</f>
        <v>29671600</v>
      </c>
      <c r="R94" s="892">
        <f t="shared" ref="R94" si="46">R93/(R88-Q88)</f>
        <v>3349540</v>
      </c>
    </row>
    <row r="95" spans="3:18" ht="13.15" thickBot="1">
      <c r="C95" s="570" t="s">
        <v>316</v>
      </c>
      <c r="D95" s="1143">
        <f t="shared" ref="D95:I95" si="47">D90*7/((1+$G$98)^7)</f>
        <v>104561.96659664174</v>
      </c>
      <c r="E95" s="1148">
        <f t="shared" si="47"/>
        <v>101956.58234623802</v>
      </c>
      <c r="F95" s="1148">
        <f t="shared" si="47"/>
        <v>114869.97760601381</v>
      </c>
      <c r="G95" s="1148">
        <f t="shared" si="47"/>
        <v>141139.10823833811</v>
      </c>
      <c r="H95" s="1148">
        <f t="shared" si="47"/>
        <v>155009.96825737742</v>
      </c>
      <c r="I95" s="1149">
        <f t="shared" si="47"/>
        <v>171056.15221615572</v>
      </c>
      <c r="L95" s="570" t="s">
        <v>316</v>
      </c>
      <c r="M95" s="886">
        <f t="shared" ref="M95:R95" si="48">M90*7/((1+$P$98)^7)</f>
        <v>67568.444818623524</v>
      </c>
      <c r="N95" s="893">
        <f t="shared" si="48"/>
        <v>65841.934213560584</v>
      </c>
      <c r="O95" s="887">
        <f t="shared" si="48"/>
        <v>63263.836038122936</v>
      </c>
      <c r="P95" s="887">
        <f t="shared" si="48"/>
        <v>64639.765806810727</v>
      </c>
      <c r="Q95" s="887">
        <f t="shared" si="48"/>
        <v>69867.013153842592</v>
      </c>
      <c r="R95" s="888">
        <f t="shared" si="48"/>
        <v>67711.60726824445</v>
      </c>
    </row>
    <row r="96" spans="3:18" ht="13.5" thickBot="1">
      <c r="C96" s="894" t="s">
        <v>317</v>
      </c>
      <c r="D96" s="1150"/>
      <c r="E96" s="1151">
        <f t="shared" ref="E96:I96" si="49">E95-E94</f>
        <v>49575.249012904686</v>
      </c>
      <c r="F96" s="1151">
        <f t="shared" si="49"/>
        <v>19699.632778427564</v>
      </c>
      <c r="G96" s="1151">
        <f t="shared" si="49"/>
        <v>12783.182312412318</v>
      </c>
      <c r="H96" s="1151">
        <f t="shared" si="49"/>
        <v>-1451209.2625118657</v>
      </c>
      <c r="I96" s="1152">
        <f t="shared" si="49"/>
        <v>-32080.834085214359</v>
      </c>
      <c r="L96" s="894" t="s">
        <v>317</v>
      </c>
      <c r="M96" s="895"/>
      <c r="N96" s="896">
        <f>N95-N94</f>
        <v>-2836838.0657864395</v>
      </c>
      <c r="O96" s="896">
        <f t="shared" ref="O96:R96" si="50">O95-O94</f>
        <v>-2633536.1639618771</v>
      </c>
      <c r="P96" s="896">
        <f t="shared" si="50"/>
        <v>-2999003.0913360463</v>
      </c>
      <c r="Q96" s="896">
        <f t="shared" si="50"/>
        <v>-29601732.986846156</v>
      </c>
      <c r="R96" s="897">
        <f t="shared" si="50"/>
        <v>-3281828.3927317555</v>
      </c>
    </row>
    <row r="97" spans="3:18" ht="13.15" thickBot="1"/>
    <row r="98" spans="3:18" ht="13.5" thickBot="1">
      <c r="C98" s="899" t="s">
        <v>318</v>
      </c>
      <c r="D98" s="898">
        <v>7</v>
      </c>
      <c r="F98" s="899" t="s">
        <v>319</v>
      </c>
      <c r="G98" s="900">
        <f>C80</f>
        <v>9.2999999999999999E-2</v>
      </c>
      <c r="L98" s="899" t="s">
        <v>318</v>
      </c>
      <c r="M98" s="898">
        <v>11</v>
      </c>
      <c r="O98" s="899" t="s">
        <v>319</v>
      </c>
      <c r="P98" s="900">
        <f>C78</f>
        <v>8.7999999999999995E-2</v>
      </c>
    </row>
    <row r="100" spans="3:18" ht="13.15" thickBot="1"/>
    <row r="101" spans="3:18" ht="13.5" thickBot="1">
      <c r="C101" s="574" t="s">
        <v>320</v>
      </c>
      <c r="D101" s="641">
        <v>2019</v>
      </c>
      <c r="E101" s="642">
        <v>2020</v>
      </c>
      <c r="F101" s="642">
        <v>2021</v>
      </c>
      <c r="G101" s="642">
        <v>2022</v>
      </c>
      <c r="H101" s="642">
        <v>2023</v>
      </c>
      <c r="I101" s="643">
        <v>2024</v>
      </c>
      <c r="L101" s="1181" t="s">
        <v>321</v>
      </c>
      <c r="M101" s="641">
        <v>2019</v>
      </c>
      <c r="N101" s="642">
        <v>2020</v>
      </c>
      <c r="O101" s="642">
        <v>2021</v>
      </c>
      <c r="P101" s="642">
        <v>2022</v>
      </c>
      <c r="Q101" s="642">
        <v>2023</v>
      </c>
      <c r="R101" s="643">
        <v>2024</v>
      </c>
    </row>
    <row r="102" spans="3:18" ht="13.15">
      <c r="C102" s="867" t="s">
        <v>308</v>
      </c>
      <c r="D102" s="869">
        <v>467633000</v>
      </c>
      <c r="E102" s="870">
        <v>561329000</v>
      </c>
      <c r="F102" s="871">
        <v>635600000</v>
      </c>
      <c r="G102" s="871">
        <v>852700000</v>
      </c>
      <c r="H102" s="872">
        <v>1174600000</v>
      </c>
      <c r="I102" s="873">
        <v>1402500000</v>
      </c>
      <c r="L102" s="867" t="s">
        <v>308</v>
      </c>
      <c r="M102" s="869">
        <v>3772500</v>
      </c>
      <c r="N102" s="870">
        <v>4040500</v>
      </c>
      <c r="O102" s="871">
        <f>E54</f>
        <v>4056800</v>
      </c>
      <c r="P102" s="871">
        <v>4611700</v>
      </c>
      <c r="Q102" s="872">
        <f>E55</f>
        <v>5007100</v>
      </c>
      <c r="R102" s="873">
        <f>E56</f>
        <v>5278300</v>
      </c>
    </row>
    <row r="103" spans="3:18">
      <c r="C103" s="570" t="s">
        <v>309</v>
      </c>
      <c r="D103" s="874"/>
      <c r="E103" s="875">
        <v>0.20036224988399032</v>
      </c>
      <c r="F103" s="876">
        <v>0.13231277913665607</v>
      </c>
      <c r="G103" s="876">
        <v>0.34156702328508493</v>
      </c>
      <c r="H103" s="876">
        <v>0.37750674328603262</v>
      </c>
      <c r="I103" s="877">
        <v>0.19402349736080371</v>
      </c>
      <c r="L103" s="570" t="s">
        <v>309</v>
      </c>
      <c r="M103" s="874"/>
      <c r="N103" s="909">
        <f>N102/M102-1</f>
        <v>7.104042412193512E-2</v>
      </c>
      <c r="O103" s="909">
        <f>O102/N102-1</f>
        <v>4.0341541888380128E-3</v>
      </c>
      <c r="P103" s="909">
        <f>P102/O102-1</f>
        <v>0.13678268586077702</v>
      </c>
      <c r="Q103" s="909">
        <f>Q102/P102-1</f>
        <v>8.5738447860875588E-2</v>
      </c>
      <c r="R103" s="877">
        <f>R102/Q102-1</f>
        <v>5.4163088414451499E-2</v>
      </c>
    </row>
    <row r="104" spans="3:18" ht="13.15">
      <c r="C104" s="787" t="s">
        <v>322</v>
      </c>
      <c r="D104" s="878">
        <v>20.2</v>
      </c>
      <c r="E104" s="879">
        <v>24.45</v>
      </c>
      <c r="F104" s="879">
        <v>28.75</v>
      </c>
      <c r="G104" s="879">
        <v>33.299999999999997</v>
      </c>
      <c r="H104" s="879">
        <v>36.200000000000003</v>
      </c>
      <c r="I104" s="880">
        <v>39.049999999999997</v>
      </c>
      <c r="L104" s="787" t="s">
        <v>311</v>
      </c>
      <c r="M104" s="926">
        <v>670</v>
      </c>
      <c r="N104" s="927">
        <v>680</v>
      </c>
      <c r="O104" s="927">
        <v>710</v>
      </c>
      <c r="P104" s="927">
        <v>730</v>
      </c>
      <c r="Q104" s="927">
        <v>740</v>
      </c>
      <c r="R104" s="928">
        <v>745</v>
      </c>
    </row>
    <row r="105" spans="3:18">
      <c r="C105" s="570" t="s">
        <v>309</v>
      </c>
      <c r="D105" s="881"/>
      <c r="E105" s="875">
        <v>0.21039603960396036</v>
      </c>
      <c r="F105" s="875">
        <v>0.17586912065439675</v>
      </c>
      <c r="G105" s="875">
        <v>0.15826086956521745</v>
      </c>
      <c r="H105" s="875">
        <v>8.7087087087087012E-2</v>
      </c>
      <c r="I105" s="882">
        <v>7.8729281767955905E-2</v>
      </c>
      <c r="L105" s="570" t="s">
        <v>309</v>
      </c>
      <c r="M105" s="881"/>
      <c r="N105" s="875">
        <f>N104/M104-1</f>
        <v>1.4925373134328401E-2</v>
      </c>
      <c r="O105" s="875">
        <f t="shared" ref="O105" si="51">O104/N104-1</f>
        <v>4.4117647058823595E-2</v>
      </c>
      <c r="P105" s="875">
        <f t="shared" ref="P105" si="52">P104/O104-1</f>
        <v>2.8169014084507005E-2</v>
      </c>
      <c r="Q105" s="875">
        <f t="shared" ref="Q105" si="53">Q104/P104-1</f>
        <v>1.3698630136986356E-2</v>
      </c>
      <c r="R105" s="882">
        <f t="shared" ref="R105" si="54">R104/Q104-1</f>
        <v>6.7567567567567988E-3</v>
      </c>
    </row>
    <row r="106" spans="3:18" ht="13.15">
      <c r="C106" s="787" t="s">
        <v>312</v>
      </c>
      <c r="D106" s="883">
        <v>23150.148514851484</v>
      </c>
      <c r="E106" s="884">
        <v>22958.241308793455</v>
      </c>
      <c r="F106" s="884">
        <v>22107.82608695652</v>
      </c>
      <c r="G106" s="884">
        <v>25606.606606606605</v>
      </c>
      <c r="H106" s="884">
        <v>32447.513812154695</v>
      </c>
      <c r="I106" s="885">
        <v>35915.492957746479</v>
      </c>
      <c r="L106" s="787" t="s">
        <v>312</v>
      </c>
      <c r="M106" s="883">
        <f t="shared" ref="M106:O106" si="55">M102/M104</f>
        <v>5630.5970149253735</v>
      </c>
      <c r="N106" s="788">
        <f t="shared" si="55"/>
        <v>5941.911764705882</v>
      </c>
      <c r="O106" s="884">
        <f t="shared" si="55"/>
        <v>5713.8028169014087</v>
      </c>
      <c r="P106" s="884">
        <f>P102/P104</f>
        <v>6317.3972602739723</v>
      </c>
      <c r="Q106" s="884">
        <f t="shared" ref="Q106:R106" si="56">Q102/Q104</f>
        <v>6766.3513513513517</v>
      </c>
      <c r="R106" s="885">
        <f t="shared" si="56"/>
        <v>7084.9664429530203</v>
      </c>
    </row>
    <row r="107" spans="3:18">
      <c r="C107" s="570" t="s">
        <v>309</v>
      </c>
      <c r="D107" s="886"/>
      <c r="E107" s="1165">
        <v>-8.2896749424702376E-3</v>
      </c>
      <c r="F107" s="1166">
        <v>-3.7041827829869867E-2</v>
      </c>
      <c r="G107" s="1166">
        <v>0.15825981740078654</v>
      </c>
      <c r="H107" s="1166">
        <v>0.26715399313328425</v>
      </c>
      <c r="I107" s="1167">
        <v>0.10687965696443258</v>
      </c>
      <c r="L107" s="570" t="s">
        <v>309</v>
      </c>
      <c r="M107" s="886"/>
      <c r="N107" s="875">
        <f>N106/M106-1</f>
        <v>5.5289829649553424E-2</v>
      </c>
      <c r="O107" s="887">
        <f t="shared" ref="O107" si="57">O106/N106-1</f>
        <v>-3.8389824157169072E-2</v>
      </c>
      <c r="P107" s="887">
        <f t="shared" ref="P107" si="58">P106/O106-1</f>
        <v>0.10563795474130355</v>
      </c>
      <c r="Q107" s="887">
        <f t="shared" ref="Q107" si="59">Q106/P106-1</f>
        <v>7.1066306673566615E-2</v>
      </c>
      <c r="R107" s="888">
        <f t="shared" ref="R107" si="60">R106/Q106-1</f>
        <v>4.7088168357978688E-2</v>
      </c>
    </row>
    <row r="108" spans="3:18" ht="13.15">
      <c r="C108" s="787" t="s">
        <v>313</v>
      </c>
      <c r="D108" s="883">
        <v>162051.03960396038</v>
      </c>
      <c r="E108" s="889">
        <v>160707.68916155418</v>
      </c>
      <c r="F108" s="884">
        <v>154754.78260869565</v>
      </c>
      <c r="G108" s="884">
        <v>179246.24624624624</v>
      </c>
      <c r="H108" s="884">
        <v>227132.59668508286</v>
      </c>
      <c r="I108" s="885">
        <v>251408.45070422534</v>
      </c>
      <c r="L108" s="906" t="s">
        <v>313</v>
      </c>
      <c r="M108" s="788">
        <f t="shared" ref="M108:R108" si="61">M106*7</f>
        <v>39414.179104477618</v>
      </c>
      <c r="N108" s="868">
        <f t="shared" si="61"/>
        <v>41593.382352941175</v>
      </c>
      <c r="O108" s="868">
        <f t="shared" si="61"/>
        <v>39996.619718309863</v>
      </c>
      <c r="P108" s="868">
        <f t="shared" si="61"/>
        <v>44221.780821917804</v>
      </c>
      <c r="Q108" s="868">
        <f t="shared" si="61"/>
        <v>47364.45945945946</v>
      </c>
      <c r="R108" s="868">
        <f t="shared" si="61"/>
        <v>49594.765100671138</v>
      </c>
    </row>
    <row r="109" spans="3:18">
      <c r="C109" s="570" t="s">
        <v>314</v>
      </c>
      <c r="D109" s="890">
        <v>112599000</v>
      </c>
      <c r="E109" s="887">
        <v>145134000</v>
      </c>
      <c r="F109" s="887">
        <v>161808000</v>
      </c>
      <c r="G109" s="887">
        <v>214455000</v>
      </c>
      <c r="H109" s="887">
        <v>296716000</v>
      </c>
      <c r="I109" s="888">
        <v>334954000</v>
      </c>
      <c r="L109" s="914" t="s">
        <v>314</v>
      </c>
      <c r="M109" s="915">
        <f>112599*1000</f>
        <v>112599000</v>
      </c>
      <c r="N109" s="916">
        <f>145134*1000</f>
        <v>145134000</v>
      </c>
      <c r="O109" s="916">
        <f>161808*1000</f>
        <v>161808000</v>
      </c>
      <c r="P109" s="916">
        <f>214455*1000</f>
        <v>214455000</v>
      </c>
      <c r="Q109" s="916">
        <f>296716*1000</f>
        <v>296716000</v>
      </c>
      <c r="R109" s="917">
        <f>334954*1000</f>
        <v>334954000</v>
      </c>
    </row>
    <row r="110" spans="3:18" ht="13.15">
      <c r="C110" s="787" t="s">
        <v>315</v>
      </c>
      <c r="D110" s="883"/>
      <c r="E110" s="891">
        <v>34149.176470588238</v>
      </c>
      <c r="F110" s="891">
        <v>37629.767441860466</v>
      </c>
      <c r="G110" s="891">
        <v>47132.967032967033</v>
      </c>
      <c r="H110" s="891">
        <v>102315.86206896552</v>
      </c>
      <c r="I110" s="892">
        <v>117527.71929824562</v>
      </c>
      <c r="L110" s="787" t="s">
        <v>315</v>
      </c>
      <c r="M110" s="883"/>
      <c r="N110" s="891">
        <f>N109/(N104-M104)</f>
        <v>14513400</v>
      </c>
      <c r="O110" s="891">
        <f t="shared" ref="O110" si="62">O109/(O104-N104)</f>
        <v>5393600</v>
      </c>
      <c r="P110" s="891">
        <f t="shared" ref="P110" si="63">P109/(P104-O104)</f>
        <v>10722750</v>
      </c>
      <c r="Q110" s="891">
        <f t="shared" ref="Q110" si="64">Q109/(Q104-P104)</f>
        <v>29671600</v>
      </c>
      <c r="R110" s="892">
        <f t="shared" ref="R110" si="65">R109/(R104-Q104)</f>
        <v>66990800</v>
      </c>
    </row>
    <row r="111" spans="3:18" ht="13.15" thickBot="1">
      <c r="C111" s="570" t="s">
        <v>316</v>
      </c>
      <c r="D111" s="886">
        <v>85686.115398547889</v>
      </c>
      <c r="E111" s="893">
        <v>84975.805354810931</v>
      </c>
      <c r="F111" s="887">
        <v>81828.14620315349</v>
      </c>
      <c r="G111" s="887">
        <v>94778.253679509435</v>
      </c>
      <c r="H111" s="887">
        <v>120098.64261218975</v>
      </c>
      <c r="I111" s="888">
        <v>132934.74433647457</v>
      </c>
      <c r="L111" s="570" t="s">
        <v>316</v>
      </c>
      <c r="M111" s="886">
        <f t="shared" ref="M111:R111" si="66">M106*7/((1+$P$114)^7)</f>
        <v>22266.108370195634</v>
      </c>
      <c r="N111" s="893">
        <f t="shared" si="66"/>
        <v>23497.197708942247</v>
      </c>
      <c r="O111" s="887">
        <f t="shared" si="66"/>
        <v>22595.144420709716</v>
      </c>
      <c r="P111" s="887">
        <f t="shared" si="66"/>
        <v>24982.049264397865</v>
      </c>
      <c r="Q111" s="887">
        <f t="shared" si="66"/>
        <v>26757.431238755711</v>
      </c>
      <c r="R111" s="888">
        <f t="shared" si="66"/>
        <v>28017.389665753275</v>
      </c>
    </row>
    <row r="112" spans="3:18" ht="13.5" thickBot="1">
      <c r="C112" s="894" t="s">
        <v>317</v>
      </c>
      <c r="D112" s="895"/>
      <c r="E112" s="896">
        <v>50826.628884222693</v>
      </c>
      <c r="F112" s="896">
        <v>44198.378761293025</v>
      </c>
      <c r="G112" s="896">
        <v>47645.286646542401</v>
      </c>
      <c r="H112" s="896">
        <v>17782.780543224231</v>
      </c>
      <c r="I112" s="897">
        <v>15407.025038228952</v>
      </c>
      <c r="L112" s="894" t="s">
        <v>317</v>
      </c>
      <c r="M112" s="895"/>
      <c r="N112" s="896">
        <f t="shared" ref="N112:R112" si="67">N111-N110</f>
        <v>-14489902.802291058</v>
      </c>
      <c r="O112" s="896">
        <f t="shared" si="67"/>
        <v>-5371004.8555792905</v>
      </c>
      <c r="P112" s="896">
        <f t="shared" si="67"/>
        <v>-10697767.950735603</v>
      </c>
      <c r="Q112" s="896">
        <f t="shared" si="67"/>
        <v>-29644842.568761244</v>
      </c>
      <c r="R112" s="897">
        <f t="shared" si="67"/>
        <v>-66962782.610334247</v>
      </c>
    </row>
    <row r="113" spans="3:16" ht="13.15" thickBot="1"/>
    <row r="114" spans="3:16" ht="13.5" thickBot="1">
      <c r="C114" s="13" t="s">
        <v>323</v>
      </c>
      <c r="L114" s="899" t="s">
        <v>318</v>
      </c>
      <c r="M114" s="898">
        <v>7</v>
      </c>
      <c r="O114" s="899" t="s">
        <v>319</v>
      </c>
      <c r="P114" s="900">
        <f>C77</f>
        <v>8.5000000000000006E-2</v>
      </c>
    </row>
    <row r="115" spans="3:16" ht="13.15" thickBot="1"/>
    <row r="116" spans="3:16" ht="13.5" thickBot="1">
      <c r="C116" s="574" t="s">
        <v>271</v>
      </c>
      <c r="D116" s="641">
        <v>2019</v>
      </c>
      <c r="E116" s="642">
        <v>2020</v>
      </c>
      <c r="F116" s="642">
        <v>2021</v>
      </c>
      <c r="G116" s="642">
        <v>2022</v>
      </c>
      <c r="H116" s="642">
        <v>2023</v>
      </c>
      <c r="I116" s="643">
        <v>2024</v>
      </c>
    </row>
    <row r="117" spans="3:16" ht="13.15">
      <c r="C117" s="867" t="s">
        <v>308</v>
      </c>
      <c r="D117" s="869">
        <v>737671</v>
      </c>
      <c r="E117" s="870">
        <v>327909</v>
      </c>
      <c r="F117" s="871">
        <f>G54</f>
        <v>352777</v>
      </c>
      <c r="G117" s="871">
        <v>429387</v>
      </c>
      <c r="H117" s="872">
        <f>G55</f>
        <v>552692</v>
      </c>
      <c r="I117" s="873">
        <f>G56</f>
        <v>654948</v>
      </c>
    </row>
    <row r="118" spans="3:16">
      <c r="C118" s="570" t="s">
        <v>309</v>
      </c>
      <c r="D118" s="874"/>
      <c r="E118" s="875">
        <f>E117/D117-1</f>
        <v>-0.55548069532352495</v>
      </c>
      <c r="F118" s="876">
        <f t="shared" ref="F118" si="68">F117/E117-1</f>
        <v>7.5838113622986869E-2</v>
      </c>
      <c r="G118" s="876">
        <f t="shared" ref="G118" si="69">G117/F117-1</f>
        <v>0.2171626835082785</v>
      </c>
      <c r="H118" s="876">
        <f t="shared" ref="H118" si="70">H117/G117-1</f>
        <v>0.28716519130760831</v>
      </c>
      <c r="I118" s="877">
        <f t="shared" ref="I118" si="71">I117/H117-1</f>
        <v>0.1850144384213992</v>
      </c>
    </row>
    <row r="119" spans="3:16" ht="13.15">
      <c r="C119" s="787" t="s">
        <v>322</v>
      </c>
      <c r="D119" s="878">
        <v>26500</v>
      </c>
      <c r="E119" s="879">
        <f>(D119+F119)/2</f>
        <v>35250</v>
      </c>
      <c r="F119" s="879">
        <v>44000</v>
      </c>
      <c r="G119" s="879">
        <v>36600</v>
      </c>
      <c r="H119" s="879">
        <v>48900</v>
      </c>
      <c r="I119" s="880">
        <v>49400</v>
      </c>
    </row>
    <row r="120" spans="3:16">
      <c r="C120" s="570" t="s">
        <v>309</v>
      </c>
      <c r="D120" s="881"/>
      <c r="E120" s="875">
        <f>E119/D119-1</f>
        <v>0.33018867924528306</v>
      </c>
      <c r="F120" s="875">
        <f t="shared" ref="F120" si="72">F119/E119-1</f>
        <v>0.24822695035460995</v>
      </c>
      <c r="G120" s="875">
        <f t="shared" ref="G120" si="73">G119/F119-1</f>
        <v>-0.16818181818181821</v>
      </c>
      <c r="H120" s="875">
        <f t="shared" ref="H120" si="74">H119/G119-1</f>
        <v>0.33606557377049184</v>
      </c>
      <c r="I120" s="882">
        <f t="shared" ref="I120" si="75">I119/H119-1</f>
        <v>1.0224948875255713E-2</v>
      </c>
    </row>
    <row r="121" spans="3:16" ht="13.15">
      <c r="C121" s="787" t="s">
        <v>312</v>
      </c>
      <c r="D121" s="883">
        <f t="shared" ref="D121:F121" si="76">D117/D119</f>
        <v>27.836641509433964</v>
      </c>
      <c r="E121" s="884">
        <f t="shared" si="76"/>
        <v>9.3023829787234042</v>
      </c>
      <c r="F121" s="884">
        <f t="shared" si="76"/>
        <v>8.0176590909090901</v>
      </c>
      <c r="G121" s="884">
        <f>G117/G119</f>
        <v>11.731885245901639</v>
      </c>
      <c r="H121" s="884">
        <f t="shared" ref="H121" si="77">H117/H119</f>
        <v>11.302494887525562</v>
      </c>
      <c r="I121" s="885">
        <f>I117/I119</f>
        <v>13.258056680161943</v>
      </c>
    </row>
    <row r="122" spans="3:16">
      <c r="C122" s="570" t="s">
        <v>309</v>
      </c>
      <c r="D122" s="886"/>
      <c r="E122" s="1169">
        <f>E121/D121-1</f>
        <v>-0.66582236669711814</v>
      </c>
      <c r="F122" s="1170">
        <f t="shared" ref="F122" si="78">F121/E121-1</f>
        <v>-0.13810696579067538</v>
      </c>
      <c r="G122" s="1170">
        <f t="shared" ref="G122" si="79">G121/F121-1</f>
        <v>0.46325568509191961</v>
      </c>
      <c r="H122" s="1170">
        <f t="shared" ref="H122" si="80">H121/G121-1</f>
        <v>-3.6600286260563109E-2</v>
      </c>
      <c r="I122" s="1171">
        <f t="shared" ref="I122" si="81">I121/H121-1</f>
        <v>0.17302036515802488</v>
      </c>
    </row>
    <row r="123" spans="3:16" ht="13.15">
      <c r="C123" s="787" t="s">
        <v>313</v>
      </c>
      <c r="D123" s="1172">
        <f t="shared" ref="D123:I123" si="82">D121*7</f>
        <v>194.85649056603773</v>
      </c>
      <c r="E123" s="925">
        <f t="shared" si="82"/>
        <v>65.116680851063833</v>
      </c>
      <c r="F123" s="1173">
        <f t="shared" si="82"/>
        <v>56.123613636363629</v>
      </c>
      <c r="G123" s="1173">
        <f t="shared" si="82"/>
        <v>82.123196721311473</v>
      </c>
      <c r="H123" s="1173">
        <f t="shared" si="82"/>
        <v>79.117464212678925</v>
      </c>
      <c r="I123" s="1174">
        <f t="shared" si="82"/>
        <v>92.806396761133598</v>
      </c>
    </row>
    <row r="124" spans="3:16">
      <c r="C124" s="570" t="s">
        <v>314</v>
      </c>
      <c r="D124" s="1182"/>
      <c r="E124" s="1183"/>
      <c r="F124" s="887">
        <v>106123</v>
      </c>
      <c r="G124" s="887">
        <v>170629</v>
      </c>
      <c r="H124" s="887">
        <v>223049</v>
      </c>
      <c r="I124" s="888">
        <v>212094</v>
      </c>
    </row>
    <row r="125" spans="3:16" ht="13.15">
      <c r="C125" s="787" t="s">
        <v>315</v>
      </c>
      <c r="D125" s="883"/>
      <c r="E125" s="891">
        <f>E124/(E119-D119)</f>
        <v>0</v>
      </c>
      <c r="F125" s="891">
        <f t="shared" ref="F125" si="83">F124/(F119-E119)</f>
        <v>12.128342857142858</v>
      </c>
      <c r="G125" s="891">
        <f t="shared" ref="G125" si="84">G124/(G119-F119)</f>
        <v>-23.057972972972973</v>
      </c>
      <c r="H125" s="891">
        <f t="shared" ref="H125" si="85">H124/(H119-G119)</f>
        <v>18.134065040650405</v>
      </c>
      <c r="I125" s="892">
        <f t="shared" ref="I125" si="86">I124/(I119-H119)</f>
        <v>424.18799999999999</v>
      </c>
    </row>
    <row r="126" spans="3:16" ht="13.15" thickBot="1">
      <c r="C126" s="570" t="s">
        <v>316</v>
      </c>
      <c r="D126" s="886">
        <f t="shared" ref="D126:I126" si="87">D121*7/((1+$G$129)^7)</f>
        <v>194.85649056603773</v>
      </c>
      <c r="E126" s="1175">
        <f t="shared" si="87"/>
        <v>65.116680851063833</v>
      </c>
      <c r="F126" s="887">
        <f t="shared" si="87"/>
        <v>56.123613636363629</v>
      </c>
      <c r="G126" s="887">
        <f t="shared" si="87"/>
        <v>82.123196721311473</v>
      </c>
      <c r="H126" s="887">
        <f t="shared" si="87"/>
        <v>79.117464212678925</v>
      </c>
      <c r="I126" s="888">
        <f t="shared" si="87"/>
        <v>92.806396761133598</v>
      </c>
    </row>
    <row r="127" spans="3:16" ht="13.5" thickBot="1">
      <c r="C127" s="894" t="s">
        <v>317</v>
      </c>
      <c r="D127" s="895"/>
      <c r="E127" s="896">
        <f t="shared" ref="E127:I127" si="88">E126-E125</f>
        <v>65.116680851063833</v>
      </c>
      <c r="F127" s="896">
        <f t="shared" si="88"/>
        <v>43.995270779220775</v>
      </c>
      <c r="G127" s="896">
        <f t="shared" si="88"/>
        <v>105.18116969428445</v>
      </c>
      <c r="H127" s="896">
        <f t="shared" si="88"/>
        <v>60.98339917202852</v>
      </c>
      <c r="I127" s="897">
        <f t="shared" si="88"/>
        <v>-331.38160323886638</v>
      </c>
    </row>
    <row r="128" spans="3:16" ht="13.15" thickBot="1"/>
    <row r="129" spans="3:7" ht="13.5" thickBot="1">
      <c r="C129" s="899" t="s">
        <v>318</v>
      </c>
      <c r="D129" s="898"/>
      <c r="F129" s="899" t="s">
        <v>319</v>
      </c>
      <c r="G129" s="900">
        <f>K97</f>
        <v>0</v>
      </c>
    </row>
    <row r="131" spans="3:7" s="1153" customFormat="1"/>
  </sheetData>
  <mergeCells count="14">
    <mergeCell ref="D6:G6"/>
    <mergeCell ref="D4:G4"/>
    <mergeCell ref="D1:G1"/>
    <mergeCell ref="D2:G2"/>
    <mergeCell ref="D3:G3"/>
    <mergeCell ref="D5:G5"/>
    <mergeCell ref="B76:C76"/>
    <mergeCell ref="K12:K13"/>
    <mergeCell ref="L12:M13"/>
    <mergeCell ref="K9:M9"/>
    <mergeCell ref="K10:K11"/>
    <mergeCell ref="K14:K15"/>
    <mergeCell ref="L14:M15"/>
    <mergeCell ref="L10:M11"/>
  </mergeCells>
  <pageMargins left="0.7" right="0.7" top="0.75" bottom="0.75" header="0.3" footer="0.3"/>
  <pageSetup orientation="portrait" r:id="rId1"/>
  <ignoredErrors>
    <ignoredError sqref="I46" evalError="1"/>
  </ignoredError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17-F694-4651-AA31-A6C25803BA0F}">
  <dimension ref="A1:U176"/>
  <sheetViews>
    <sheetView topLeftCell="A160" zoomScale="81" workbookViewId="0">
      <selection activeCell="C177" sqref="C177"/>
    </sheetView>
  </sheetViews>
  <sheetFormatPr defaultRowHeight="12.75"/>
  <cols>
    <col min="3" max="3" width="31" customWidth="1"/>
    <col min="4" max="4" width="11.265625" bestFit="1" customWidth="1"/>
    <col min="5" max="5" width="10" bestFit="1" customWidth="1"/>
    <col min="7" max="7" width="9.86328125" bestFit="1" customWidth="1"/>
    <col min="17" max="17" width="37" customWidth="1"/>
    <col min="18" max="18" width="9.59765625" bestFit="1" customWidth="1"/>
    <col min="19" max="19" width="9.73046875" bestFit="1" customWidth="1"/>
    <col min="20" max="20" width="9.59765625" bestFit="1" customWidth="1"/>
  </cols>
  <sheetData>
    <row r="1" spans="2:21" ht="13.15">
      <c r="C1" s="594" t="s">
        <v>303</v>
      </c>
    </row>
    <row r="3" spans="2:21" ht="13.15">
      <c r="B3" s="595" t="s">
        <v>324</v>
      </c>
    </row>
    <row r="5" spans="2:21" ht="13.15">
      <c r="B5" s="580"/>
      <c r="C5" s="580"/>
      <c r="D5" s="601">
        <v>2024</v>
      </c>
      <c r="E5" s="601">
        <v>2023</v>
      </c>
      <c r="F5" s="601">
        <v>2022</v>
      </c>
      <c r="G5" s="600">
        <v>2021</v>
      </c>
      <c r="H5" s="600">
        <v>2020</v>
      </c>
      <c r="I5" s="600">
        <v>2019</v>
      </c>
      <c r="J5" s="579" t="s">
        <v>325</v>
      </c>
      <c r="Q5" t="s">
        <v>324</v>
      </c>
      <c r="R5" t="s">
        <v>326</v>
      </c>
    </row>
    <row r="6" spans="2:21" ht="13.15">
      <c r="B6" s="13" t="s">
        <v>327</v>
      </c>
      <c r="D6" s="602">
        <v>19202.599999999999</v>
      </c>
      <c r="E6" s="602">
        <v>18012.2</v>
      </c>
      <c r="F6" s="602">
        <v>16498.3</v>
      </c>
      <c r="G6" s="274">
        <v>15005.4</v>
      </c>
      <c r="H6" s="274">
        <v>14589.8</v>
      </c>
      <c r="I6" s="274">
        <v>14110.2</v>
      </c>
      <c r="R6" t="s">
        <v>328</v>
      </c>
      <c r="S6" t="s">
        <v>329</v>
      </c>
      <c r="T6" t="s">
        <v>330</v>
      </c>
      <c r="U6" t="s">
        <v>194</v>
      </c>
    </row>
    <row r="7" spans="2:21">
      <c r="B7" t="s">
        <v>331</v>
      </c>
      <c r="D7" s="602">
        <v>9050.1</v>
      </c>
      <c r="E7" s="602">
        <v>8657.4</v>
      </c>
      <c r="F7" s="602">
        <v>8252.6</v>
      </c>
      <c r="G7" s="274">
        <v>7520.7</v>
      </c>
      <c r="H7" s="274">
        <v>7404.1</v>
      </c>
      <c r="I7" s="274">
        <v>7080.9</v>
      </c>
      <c r="Q7" t="s">
        <v>332</v>
      </c>
    </row>
    <row r="8" spans="2:21">
      <c r="B8" s="10" t="s">
        <v>333</v>
      </c>
      <c r="D8" s="602">
        <v>955.7</v>
      </c>
      <c r="E8" s="602">
        <v>844.8</v>
      </c>
      <c r="F8" s="602">
        <v>798.6</v>
      </c>
      <c r="G8" s="274">
        <v>716.6</v>
      </c>
      <c r="H8" s="274">
        <v>674.1</v>
      </c>
      <c r="I8" s="274">
        <v>636.29999999999995</v>
      </c>
      <c r="Q8" t="s">
        <v>334</v>
      </c>
      <c r="R8" t="s">
        <v>335</v>
      </c>
      <c r="S8" t="s">
        <v>336</v>
      </c>
      <c r="T8" t="s">
        <v>337</v>
      </c>
    </row>
    <row r="9" spans="2:21">
      <c r="B9" s="10" t="s">
        <v>338</v>
      </c>
      <c r="D9" s="602">
        <v>470.9</v>
      </c>
      <c r="E9" s="602">
        <v>451.2</v>
      </c>
      <c r="F9" s="602">
        <v>410.7</v>
      </c>
      <c r="G9" s="274">
        <v>403</v>
      </c>
      <c r="H9" s="274">
        <v>366.9</v>
      </c>
      <c r="I9" s="274">
        <v>304.39999999999998</v>
      </c>
      <c r="Q9" t="s">
        <v>339</v>
      </c>
      <c r="R9">
        <v>146.30000000000001</v>
      </c>
      <c r="S9">
        <v>99.8</v>
      </c>
      <c r="T9">
        <v>57.7</v>
      </c>
    </row>
    <row r="10" spans="2:21" ht="13.5" thickBot="1">
      <c r="B10" s="597" t="s">
        <v>340</v>
      </c>
      <c r="C10" s="598"/>
      <c r="D10" s="603">
        <v>10476.700000000001</v>
      </c>
      <c r="E10" s="603">
        <v>9953.4</v>
      </c>
      <c r="F10" s="603">
        <v>9461.9</v>
      </c>
      <c r="G10" s="599">
        <v>8640.2999999999993</v>
      </c>
      <c r="H10" s="599">
        <v>8445.1</v>
      </c>
      <c r="I10" s="599">
        <v>8021.6</v>
      </c>
      <c r="Q10" s="13" t="s">
        <v>341</v>
      </c>
      <c r="R10" s="578">
        <v>5278.3</v>
      </c>
      <c r="S10" s="578">
        <v>5007.1000000000004</v>
      </c>
      <c r="T10" s="578">
        <v>4611.7</v>
      </c>
    </row>
    <row r="11" spans="2:21" ht="13.15">
      <c r="B11" s="13" t="s">
        <v>342</v>
      </c>
      <c r="D11" s="602">
        <f>D6-D10</f>
        <v>8725.8999999999978</v>
      </c>
      <c r="E11" s="602">
        <f t="shared" ref="E11:I11" si="0">E6-E10</f>
        <v>8058.8000000000011</v>
      </c>
      <c r="F11" s="602">
        <f t="shared" si="0"/>
        <v>7036.4</v>
      </c>
      <c r="G11" s="274">
        <f t="shared" si="0"/>
        <v>6365.1</v>
      </c>
      <c r="H11" s="274">
        <f t="shared" si="0"/>
        <v>6144.6999999999989</v>
      </c>
      <c r="I11" s="274">
        <f t="shared" si="0"/>
        <v>6088.6</v>
      </c>
      <c r="Q11" t="s">
        <v>168</v>
      </c>
      <c r="R11" s="495">
        <f>R10/S10-1</f>
        <v>5.4163088414451499E-2</v>
      </c>
      <c r="S11" s="495">
        <f>S10/T10-1</f>
        <v>8.573844786087581E-2</v>
      </c>
    </row>
    <row r="12" spans="2:21" ht="13.15">
      <c r="B12" s="13" t="s">
        <v>343</v>
      </c>
      <c r="D12" s="616">
        <f t="shared" ref="D12:I12" si="1">D11/D6</f>
        <v>0.45441242331767567</v>
      </c>
      <c r="E12" s="616">
        <f t="shared" si="1"/>
        <v>0.44740786800057741</v>
      </c>
      <c r="F12" s="616">
        <f t="shared" si="1"/>
        <v>0.42649242649242647</v>
      </c>
      <c r="G12" s="616">
        <f t="shared" si="1"/>
        <v>0.42418729257467314</v>
      </c>
      <c r="H12" s="616">
        <f t="shared" si="1"/>
        <v>0.42116410094723705</v>
      </c>
      <c r="I12" s="616">
        <f t="shared" si="1"/>
        <v>0.43150345140394891</v>
      </c>
      <c r="Q12" t="s">
        <v>344</v>
      </c>
      <c r="R12" s="578">
        <v>1479.3</v>
      </c>
      <c r="S12" s="274">
        <v>1453</v>
      </c>
      <c r="T12" s="578">
        <v>1356.3</v>
      </c>
    </row>
    <row r="13" spans="2:21" ht="13.15">
      <c r="B13" s="13"/>
      <c r="D13" s="616"/>
      <c r="E13" s="616"/>
      <c r="F13" s="616"/>
      <c r="G13" s="616"/>
      <c r="H13" s="616"/>
      <c r="I13" s="616"/>
      <c r="Q13" t="s">
        <v>342</v>
      </c>
      <c r="R13" s="578">
        <f>R10-R12</f>
        <v>3799</v>
      </c>
      <c r="S13" s="578">
        <f>S10-S12</f>
        <v>3554.1000000000004</v>
      </c>
      <c r="T13" s="578">
        <f>T10-T12</f>
        <v>3255.3999999999996</v>
      </c>
    </row>
    <row r="14" spans="2:21" ht="13.15">
      <c r="B14" s="13"/>
      <c r="D14" s="616"/>
      <c r="E14" s="616"/>
      <c r="F14" s="616"/>
      <c r="G14" s="616"/>
      <c r="H14" s="616"/>
      <c r="I14" s="616"/>
      <c r="Q14" s="13" t="s">
        <v>343</v>
      </c>
      <c r="R14" s="495">
        <f>R13/R10</f>
        <v>0.71973931000511526</v>
      </c>
      <c r="S14" s="495">
        <f>S13/S10</f>
        <v>0.70981206686505161</v>
      </c>
      <c r="T14" s="495">
        <f>T13/T10</f>
        <v>0.70590021033458372</v>
      </c>
    </row>
    <row r="15" spans="2:21">
      <c r="B15" s="10" t="s">
        <v>345</v>
      </c>
      <c r="D15" s="602">
        <v>3778.9</v>
      </c>
      <c r="E15" s="602">
        <v>3551.4</v>
      </c>
      <c r="F15" s="602">
        <v>3233.2</v>
      </c>
      <c r="G15" s="274">
        <v>3040.5</v>
      </c>
      <c r="H15" s="274">
        <v>3003</v>
      </c>
      <c r="I15" s="274">
        <v>3064.2</v>
      </c>
      <c r="Q15" t="s">
        <v>346</v>
      </c>
      <c r="R15" s="578">
        <v>1624.9</v>
      </c>
      <c r="S15" s="274">
        <v>1521</v>
      </c>
      <c r="T15" s="578">
        <v>1415.4</v>
      </c>
    </row>
    <row r="16" spans="2:21">
      <c r="B16" t="s">
        <v>347</v>
      </c>
      <c r="D16" s="602">
        <v>14617</v>
      </c>
      <c r="E16" s="602">
        <v>13758.1</v>
      </c>
      <c r="F16" s="602">
        <v>12777</v>
      </c>
      <c r="G16" s="274">
        <v>11740.5</v>
      </c>
      <c r="H16" s="274">
        <v>11555.2</v>
      </c>
      <c r="I16" s="274">
        <v>11215.7</v>
      </c>
      <c r="Q16" t="s">
        <v>348</v>
      </c>
      <c r="R16" s="578">
        <v>3104.2</v>
      </c>
      <c r="S16" s="274">
        <v>2974</v>
      </c>
      <c r="T16" s="578">
        <v>2771.7</v>
      </c>
    </row>
    <row r="17" spans="1:20" ht="13.5" thickBot="1">
      <c r="B17" s="598" t="s">
        <v>349</v>
      </c>
      <c r="C17" s="598"/>
      <c r="D17" s="603">
        <v>-286.7</v>
      </c>
      <c r="E17" s="603">
        <v>-183.5</v>
      </c>
      <c r="F17" s="603">
        <v>-82.8</v>
      </c>
      <c r="G17" s="599">
        <v>-96.3</v>
      </c>
      <c r="H17" s="599">
        <v>-148</v>
      </c>
      <c r="I17" s="599">
        <v>-111.1</v>
      </c>
      <c r="Q17" s="13" t="s">
        <v>350</v>
      </c>
      <c r="R17" s="578">
        <v>2174.1</v>
      </c>
      <c r="S17" s="578">
        <v>2033.1</v>
      </c>
      <c r="T17" s="274">
        <v>1840</v>
      </c>
    </row>
    <row r="18" spans="1:20" ht="13.15">
      <c r="A18" s="13"/>
      <c r="B18" s="13" t="s">
        <v>61</v>
      </c>
      <c r="D18" s="602">
        <f t="shared" ref="D18:I18" si="2">D21+D20</f>
        <v>5233.7</v>
      </c>
      <c r="E18" s="602">
        <f t="shared" si="2"/>
        <v>4690.9000000000005</v>
      </c>
      <c r="F18" s="602">
        <f t="shared" si="2"/>
        <v>3886</v>
      </c>
      <c r="G18" s="274">
        <f t="shared" si="2"/>
        <v>3420.8999999999996</v>
      </c>
      <c r="H18" s="274">
        <f t="shared" si="2"/>
        <v>3289.7</v>
      </c>
      <c r="I18" s="274">
        <f t="shared" si="2"/>
        <v>3135.5</v>
      </c>
      <c r="Q18" s="13" t="s">
        <v>343</v>
      </c>
      <c r="R18" s="621">
        <f>R17/R10</f>
        <v>0.41189398101661517</v>
      </c>
      <c r="S18" s="621">
        <f>S17/S10</f>
        <v>0.4060434183459487</v>
      </c>
      <c r="T18" s="621">
        <f>T17/T10</f>
        <v>0.39898518984322484</v>
      </c>
    </row>
    <row r="19" spans="1:20" ht="13.15">
      <c r="A19" s="13"/>
      <c r="B19" s="13" t="s">
        <v>343</v>
      </c>
      <c r="D19" s="622">
        <f t="shared" ref="D19:I19" si="3">D18/D6</f>
        <v>0.27255163363294554</v>
      </c>
      <c r="E19" s="622">
        <f t="shared" si="3"/>
        <v>0.2604290425378355</v>
      </c>
      <c r="F19" s="622">
        <f t="shared" si="3"/>
        <v>0.23553941921288862</v>
      </c>
      <c r="G19" s="621">
        <f t="shared" si="3"/>
        <v>0.22797792794593943</v>
      </c>
      <c r="H19" s="621">
        <f t="shared" si="3"/>
        <v>0.22547944454344815</v>
      </c>
      <c r="I19" s="621">
        <f t="shared" si="3"/>
        <v>0.22221513515045851</v>
      </c>
      <c r="Q19" t="s">
        <v>351</v>
      </c>
      <c r="R19">
        <v>43.9</v>
      </c>
      <c r="S19">
        <v>15.1</v>
      </c>
      <c r="T19">
        <v>-15.4</v>
      </c>
    </row>
    <row r="20" spans="1:20" ht="13.5" thickBot="1">
      <c r="A20" s="13"/>
      <c r="B20" s="598" t="s">
        <v>352</v>
      </c>
      <c r="C20" s="598"/>
      <c r="D20" s="603">
        <v>361.4</v>
      </c>
      <c r="E20" s="603">
        <v>253.3</v>
      </c>
      <c r="F20" s="603">
        <v>81.900000000000006</v>
      </c>
      <c r="G20" s="599">
        <v>59.7</v>
      </c>
      <c r="H20" s="599">
        <v>107.1</v>
      </c>
      <c r="I20" s="599">
        <v>129.9</v>
      </c>
      <c r="Q20" t="s">
        <v>353</v>
      </c>
      <c r="R20" s="274">
        <v>2218</v>
      </c>
      <c r="S20" s="578">
        <v>2048.1999999999998</v>
      </c>
      <c r="T20" s="578">
        <v>1824.6</v>
      </c>
    </row>
    <row r="21" spans="1:20" ht="13.15">
      <c r="B21" s="13" t="s">
        <v>354</v>
      </c>
      <c r="D21" s="602">
        <v>4872.3</v>
      </c>
      <c r="E21" s="602">
        <v>4437.6000000000004</v>
      </c>
      <c r="F21" s="602">
        <v>3804.1</v>
      </c>
      <c r="G21" s="596">
        <v>3361.2</v>
      </c>
      <c r="H21" s="596">
        <v>3182.6</v>
      </c>
      <c r="I21" s="596">
        <v>3005.6</v>
      </c>
      <c r="Q21" t="s">
        <v>355</v>
      </c>
      <c r="R21">
        <v>527.6</v>
      </c>
      <c r="S21">
        <v>490.9</v>
      </c>
      <c r="T21">
        <v>431.8</v>
      </c>
    </row>
    <row r="22" spans="1:20" ht="13.5" thickBot="1">
      <c r="B22" s="598" t="s">
        <v>356</v>
      </c>
      <c r="C22" s="598"/>
      <c r="D22" s="603">
        <v>1120.3</v>
      </c>
      <c r="E22" s="603">
        <v>1025.5999999999999</v>
      </c>
      <c r="F22" s="603">
        <v>855.2</v>
      </c>
      <c r="G22" s="599">
        <v>762.7</v>
      </c>
      <c r="H22" s="599">
        <v>716.1</v>
      </c>
      <c r="I22" s="599">
        <v>712.8</v>
      </c>
      <c r="Q22" s="13" t="s">
        <v>357</v>
      </c>
      <c r="R22" s="578">
        <v>1690.4</v>
      </c>
      <c r="S22" s="578">
        <v>1557.3</v>
      </c>
      <c r="T22" s="578">
        <v>1392.8</v>
      </c>
    </row>
    <row r="23" spans="1:20" ht="13.15">
      <c r="B23" s="13" t="s">
        <v>358</v>
      </c>
      <c r="D23" s="602">
        <v>3752</v>
      </c>
      <c r="E23" s="602">
        <v>3412</v>
      </c>
      <c r="F23" s="602">
        <v>2948.9</v>
      </c>
      <c r="G23" s="274">
        <v>2598.5</v>
      </c>
      <c r="H23" s="274">
        <v>2466.5</v>
      </c>
      <c r="I23" s="274">
        <v>2292.8000000000002</v>
      </c>
      <c r="Q23" s="13" t="s">
        <v>343</v>
      </c>
      <c r="R23" s="621">
        <f>R22/R10</f>
        <v>0.32025462743686417</v>
      </c>
      <c r="S23" s="621">
        <f>S22/S10</f>
        <v>0.31101835393740884</v>
      </c>
      <c r="T23" s="621">
        <f>T22/T10</f>
        <v>0.30201444152915413</v>
      </c>
    </row>
    <row r="24" spans="1:20" ht="13.15">
      <c r="B24" s="13" t="s">
        <v>359</v>
      </c>
      <c r="D24" s="604"/>
      <c r="E24" s="604"/>
      <c r="F24" s="604"/>
    </row>
    <row r="25" spans="1:20" ht="13.15">
      <c r="B25" s="13" t="s">
        <v>360</v>
      </c>
      <c r="D25" s="605">
        <f t="shared" ref="D25:I25" si="4">D11/D6</f>
        <v>0.45441242331767567</v>
      </c>
      <c r="E25" s="605">
        <f t="shared" si="4"/>
        <v>0.44740786800057741</v>
      </c>
      <c r="F25" s="605">
        <f t="shared" si="4"/>
        <v>0.42649242649242647</v>
      </c>
      <c r="G25" s="263">
        <f t="shared" si="4"/>
        <v>0.42418729257467314</v>
      </c>
      <c r="H25" s="263">
        <f t="shared" si="4"/>
        <v>0.42116410094723705</v>
      </c>
      <c r="I25" s="263">
        <f t="shared" si="4"/>
        <v>0.43150345140394891</v>
      </c>
      <c r="J25" s="275">
        <f>AVERAGE(D25:F25)</f>
        <v>0.44277090593689322</v>
      </c>
      <c r="Q25" t="s">
        <v>361</v>
      </c>
      <c r="R25">
        <v>14.8</v>
      </c>
      <c r="S25">
        <v>-26</v>
      </c>
      <c r="T25">
        <v>-185.7</v>
      </c>
    </row>
    <row r="26" spans="1:20">
      <c r="Q26" t="s">
        <v>362</v>
      </c>
      <c r="R26" t="s">
        <v>363</v>
      </c>
      <c r="S26" t="s">
        <v>364</v>
      </c>
      <c r="T26" t="s">
        <v>365</v>
      </c>
    </row>
    <row r="27" spans="1:20">
      <c r="Q27" t="s">
        <v>366</v>
      </c>
      <c r="R27" t="s">
        <v>367</v>
      </c>
      <c r="S27" t="s">
        <v>368</v>
      </c>
      <c r="T27" t="s">
        <v>369</v>
      </c>
    </row>
    <row r="28" spans="1:20">
      <c r="B28" s="10" t="s">
        <v>370</v>
      </c>
      <c r="D28">
        <v>9.14</v>
      </c>
      <c r="E28">
        <v>8.25</v>
      </c>
      <c r="F28">
        <v>7.04</v>
      </c>
      <c r="H28" t="s">
        <v>370</v>
      </c>
      <c r="J28" t="s">
        <v>371</v>
      </c>
      <c r="K28" t="s">
        <v>372</v>
      </c>
      <c r="L28" t="s">
        <v>373</v>
      </c>
      <c r="Q28" t="s">
        <v>374</v>
      </c>
      <c r="R28" t="s">
        <v>375</v>
      </c>
      <c r="S28" t="s">
        <v>376</v>
      </c>
      <c r="T28" t="s">
        <v>377</v>
      </c>
    </row>
    <row r="29" spans="1:20">
      <c r="B29" t="s">
        <v>378</v>
      </c>
      <c r="D29">
        <v>9.1</v>
      </c>
      <c r="E29">
        <v>8.2100000000000009</v>
      </c>
      <c r="F29">
        <v>7</v>
      </c>
      <c r="H29" t="s">
        <v>378</v>
      </c>
      <c r="J29" t="s">
        <v>379</v>
      </c>
      <c r="K29" t="s">
        <v>380</v>
      </c>
      <c r="L29" t="s">
        <v>381</v>
      </c>
      <c r="Q29" t="s">
        <v>382</v>
      </c>
      <c r="R29">
        <v>360.3</v>
      </c>
      <c r="S29">
        <v>360.4</v>
      </c>
      <c r="T29">
        <v>360.6</v>
      </c>
    </row>
    <row r="30" spans="1:20">
      <c r="B30" t="s">
        <v>383</v>
      </c>
      <c r="D30">
        <v>410.6</v>
      </c>
      <c r="E30">
        <v>413.7</v>
      </c>
      <c r="F30">
        <v>418.8</v>
      </c>
      <c r="H30" t="s">
        <v>383</v>
      </c>
      <c r="J30">
        <v>426.3</v>
      </c>
      <c r="K30">
        <v>430.8</v>
      </c>
      <c r="L30">
        <v>435</v>
      </c>
      <c r="Q30" t="s">
        <v>384</v>
      </c>
      <c r="R30">
        <v>362.1</v>
      </c>
      <c r="S30">
        <v>362.3</v>
      </c>
      <c r="T30">
        <v>363.1</v>
      </c>
    </row>
    <row r="31" spans="1:20">
      <c r="B31" t="s">
        <v>385</v>
      </c>
      <c r="D31">
        <v>412.2</v>
      </c>
      <c r="E31">
        <v>415.7</v>
      </c>
      <c r="F31">
        <v>421.1</v>
      </c>
      <c r="H31" t="s">
        <v>385</v>
      </c>
      <c r="J31">
        <v>428.1</v>
      </c>
      <c r="K31">
        <v>432.7</v>
      </c>
      <c r="L31">
        <v>437.6</v>
      </c>
      <c r="Q31" t="s">
        <v>386</v>
      </c>
    </row>
    <row r="32" spans="1:20">
      <c r="H32" t="s">
        <v>387</v>
      </c>
      <c r="Q32" t="s">
        <v>332</v>
      </c>
    </row>
    <row r="33" spans="2:20">
      <c r="B33" s="10" t="s">
        <v>388</v>
      </c>
      <c r="H33" t="s">
        <v>389</v>
      </c>
      <c r="Q33" t="s">
        <v>334</v>
      </c>
      <c r="R33" t="s">
        <v>390</v>
      </c>
      <c r="S33" t="s">
        <v>391</v>
      </c>
      <c r="T33" t="s">
        <v>392</v>
      </c>
    </row>
    <row r="34" spans="2:20">
      <c r="B34" t="s">
        <v>389</v>
      </c>
      <c r="Q34" t="s">
        <v>393</v>
      </c>
    </row>
    <row r="35" spans="2:20">
      <c r="B35" t="s">
        <v>327</v>
      </c>
      <c r="D35" s="578">
        <v>11953.6</v>
      </c>
      <c r="E35" s="274">
        <v>11222</v>
      </c>
      <c r="F35" s="274">
        <v>10505</v>
      </c>
      <c r="H35" t="s">
        <v>327</v>
      </c>
      <c r="J35" t="s">
        <v>394</v>
      </c>
      <c r="K35" t="s">
        <v>395</v>
      </c>
      <c r="L35" t="s">
        <v>396</v>
      </c>
      <c r="Q35" t="s">
        <v>332</v>
      </c>
    </row>
    <row r="36" spans="2:20">
      <c r="B36" t="s">
        <v>339</v>
      </c>
      <c r="H36" t="s">
        <v>397</v>
      </c>
      <c r="Q36" t="s">
        <v>334</v>
      </c>
      <c r="R36" t="s">
        <v>398</v>
      </c>
      <c r="S36" t="s">
        <v>399</v>
      </c>
      <c r="T36" t="s">
        <v>400</v>
      </c>
    </row>
    <row r="37" spans="2:20">
      <c r="B37" t="s">
        <v>389</v>
      </c>
      <c r="H37" t="s">
        <v>389</v>
      </c>
    </row>
    <row r="38" spans="2:20">
      <c r="B38" t="s">
        <v>327</v>
      </c>
      <c r="D38" s="578">
        <v>1024.7</v>
      </c>
      <c r="E38">
        <v>813.4</v>
      </c>
      <c r="F38">
        <v>451.8</v>
      </c>
      <c r="H38" t="s">
        <v>327</v>
      </c>
      <c r="J38">
        <v>422.4</v>
      </c>
      <c r="K38">
        <v>545.20000000000005</v>
      </c>
      <c r="L38">
        <v>561.9</v>
      </c>
    </row>
    <row r="39" spans="2:20">
      <c r="B39" t="s">
        <v>401</v>
      </c>
      <c r="H39" t="s">
        <v>401</v>
      </c>
    </row>
    <row r="40" spans="2:20">
      <c r="B40" t="s">
        <v>389</v>
      </c>
      <c r="H40" t="s">
        <v>389</v>
      </c>
    </row>
    <row r="41" spans="2:20">
      <c r="B41" t="s">
        <v>327</v>
      </c>
      <c r="C41" t="s">
        <v>402</v>
      </c>
      <c r="D41" s="578">
        <v>6224.3</v>
      </c>
      <c r="E41" s="578">
        <v>5976.8</v>
      </c>
      <c r="F41" s="578">
        <v>5541.5</v>
      </c>
      <c r="H41" t="s">
        <v>327</v>
      </c>
      <c r="I41" t="s">
        <v>402</v>
      </c>
      <c r="J41" t="s">
        <v>403</v>
      </c>
      <c r="K41" t="s">
        <v>404</v>
      </c>
      <c r="L41" t="s">
        <v>405</v>
      </c>
    </row>
    <row r="50" spans="2:16" ht="13.15">
      <c r="B50" s="579" t="s">
        <v>406</v>
      </c>
      <c r="C50" s="580"/>
      <c r="D50" s="579">
        <v>2024</v>
      </c>
      <c r="E50" s="579">
        <v>2023</v>
      </c>
      <c r="F50" s="579">
        <v>2022</v>
      </c>
      <c r="G50" s="579">
        <v>2021</v>
      </c>
      <c r="H50" s="579">
        <v>2020</v>
      </c>
      <c r="I50" s="13" t="s">
        <v>407</v>
      </c>
      <c r="P50" t="s">
        <v>408</v>
      </c>
    </row>
    <row r="51" spans="2:16">
      <c r="B51" t="s">
        <v>409</v>
      </c>
      <c r="P51" t="s">
        <v>409</v>
      </c>
    </row>
    <row r="52" spans="2:16">
      <c r="B52" t="s">
        <v>410</v>
      </c>
      <c r="D52" s="578">
        <v>2913.4</v>
      </c>
      <c r="E52" s="578">
        <v>2083.5</v>
      </c>
      <c r="F52" s="578">
        <v>1436.3</v>
      </c>
      <c r="G52" s="578">
        <v>2575.1999999999998</v>
      </c>
      <c r="H52" s="578">
        <v>1908.5</v>
      </c>
      <c r="P52" t="s">
        <v>410</v>
      </c>
    </row>
    <row r="53" spans="2:16">
      <c r="B53" t="s">
        <v>411</v>
      </c>
      <c r="D53" s="578">
        <v>3428.2</v>
      </c>
      <c r="E53" s="578">
        <v>3009.6</v>
      </c>
      <c r="F53" s="578">
        <v>3170.6</v>
      </c>
      <c r="G53" s="578">
        <v>2727.4</v>
      </c>
      <c r="H53" s="578">
        <v>2441.3000000000002</v>
      </c>
      <c r="P53" t="s">
        <v>412</v>
      </c>
    </row>
    <row r="54" spans="2:16">
      <c r="B54" t="s">
        <v>413</v>
      </c>
      <c r="D54" s="578">
        <v>1204.8</v>
      </c>
      <c r="E54">
        <v>743.9</v>
      </c>
      <c r="F54">
        <v>628.79999999999995</v>
      </c>
      <c r="G54">
        <v>533.4</v>
      </c>
      <c r="H54">
        <v>506.2</v>
      </c>
      <c r="P54" t="s">
        <v>413</v>
      </c>
    </row>
    <row r="55" spans="2:16">
      <c r="B55" t="s">
        <v>414</v>
      </c>
      <c r="D55" s="578">
        <v>7546.4</v>
      </c>
      <c r="E55" s="274">
        <v>5837</v>
      </c>
      <c r="F55" s="578">
        <v>5235.7</v>
      </c>
      <c r="G55" s="274">
        <v>5836</v>
      </c>
      <c r="H55" s="274">
        <v>4856</v>
      </c>
      <c r="P55" t="s">
        <v>414</v>
      </c>
    </row>
    <row r="56" spans="2:16">
      <c r="B56" t="s">
        <v>415</v>
      </c>
      <c r="D56" s="578">
        <v>37996.1</v>
      </c>
      <c r="E56" s="578">
        <v>36333.599999999999</v>
      </c>
      <c r="F56" s="578">
        <v>49569.2</v>
      </c>
      <c r="G56" s="578">
        <v>34905.800000000003</v>
      </c>
      <c r="H56" s="578">
        <v>26708.1</v>
      </c>
      <c r="P56" t="s">
        <v>415</v>
      </c>
    </row>
    <row r="57" spans="2:16">
      <c r="B57" t="s">
        <v>416</v>
      </c>
      <c r="D57" s="578">
        <v>45542.5</v>
      </c>
      <c r="E57" s="578">
        <v>42170.6</v>
      </c>
      <c r="F57" s="578">
        <v>54804.9</v>
      </c>
      <c r="G57" s="578">
        <v>40741.800000000003</v>
      </c>
      <c r="H57" s="578">
        <v>31564.1</v>
      </c>
      <c r="P57" t="s">
        <v>416</v>
      </c>
    </row>
    <row r="58" spans="2:16">
      <c r="B58" t="s">
        <v>417</v>
      </c>
      <c r="D58">
        <v>7.3</v>
      </c>
      <c r="E58">
        <v>8.5</v>
      </c>
      <c r="F58">
        <v>9.1</v>
      </c>
      <c r="G58">
        <v>11.5</v>
      </c>
      <c r="H58">
        <v>18.600000000000001</v>
      </c>
      <c r="P58" t="s">
        <v>417</v>
      </c>
    </row>
    <row r="59" spans="2:16">
      <c r="B59" t="s">
        <v>418</v>
      </c>
      <c r="D59">
        <v>685.6</v>
      </c>
      <c r="E59">
        <v>681.4</v>
      </c>
      <c r="F59">
        <v>652.6</v>
      </c>
      <c r="G59">
        <v>684.5</v>
      </c>
      <c r="H59">
        <v>703.9</v>
      </c>
      <c r="P59" t="s">
        <v>418</v>
      </c>
    </row>
    <row r="60" spans="2:16">
      <c r="B60" t="s">
        <v>419</v>
      </c>
      <c r="D60">
        <v>370.6</v>
      </c>
      <c r="E60">
        <v>402.4</v>
      </c>
      <c r="F60">
        <v>450.9</v>
      </c>
      <c r="G60">
        <v>462.2</v>
      </c>
      <c r="H60">
        <v>493.7</v>
      </c>
      <c r="P60" t="s">
        <v>419</v>
      </c>
    </row>
    <row r="61" spans="2:16">
      <c r="B61" t="s">
        <v>420</v>
      </c>
      <c r="D61" s="274">
        <v>2965</v>
      </c>
      <c r="E61" s="578">
        <v>2769.7</v>
      </c>
      <c r="F61" s="578">
        <v>2579.6999999999998</v>
      </c>
      <c r="G61" s="578">
        <v>2498.1999999999998</v>
      </c>
      <c r="H61" s="578">
        <v>2401.6</v>
      </c>
      <c r="P61" t="s">
        <v>420</v>
      </c>
    </row>
    <row r="62" spans="2:16">
      <c r="B62" t="s">
        <v>421</v>
      </c>
      <c r="D62" s="578">
        <v>1102.0999999999999</v>
      </c>
      <c r="E62" s="578">
        <v>1255.4000000000001</v>
      </c>
      <c r="F62">
        <v>937.4</v>
      </c>
      <c r="G62">
        <v>825.8</v>
      </c>
      <c r="H62">
        <v>458.4</v>
      </c>
      <c r="P62" t="s">
        <v>421</v>
      </c>
    </row>
    <row r="63" spans="2:16">
      <c r="B63" t="s">
        <v>422</v>
      </c>
      <c r="D63" s="578">
        <v>2353.6</v>
      </c>
      <c r="E63" s="578">
        <v>2339.4</v>
      </c>
      <c r="F63" s="578">
        <v>2300.5</v>
      </c>
      <c r="G63" s="578">
        <v>2338.4</v>
      </c>
      <c r="H63" s="578">
        <v>2309.4</v>
      </c>
      <c r="P63" t="s">
        <v>422</v>
      </c>
    </row>
    <row r="64" spans="2:16">
      <c r="B64" t="s">
        <v>423</v>
      </c>
      <c r="D64" s="274">
        <v>1336</v>
      </c>
      <c r="E64" s="578">
        <v>1343.6</v>
      </c>
      <c r="F64" s="578">
        <v>1333.1</v>
      </c>
      <c r="G64" s="578">
        <v>1210.0999999999999</v>
      </c>
      <c r="H64" s="578">
        <v>1215.8</v>
      </c>
      <c r="P64" t="s">
        <v>423</v>
      </c>
    </row>
    <row r="65" spans="2:17" ht="13.15">
      <c r="B65" s="13" t="s">
        <v>424</v>
      </c>
      <c r="D65" s="578">
        <v>54362.7</v>
      </c>
      <c r="E65" s="274">
        <v>50971</v>
      </c>
      <c r="F65" s="578">
        <v>63068.2</v>
      </c>
      <c r="G65" s="578">
        <v>48772.5</v>
      </c>
      <c r="H65" s="578">
        <v>39165.5</v>
      </c>
      <c r="P65" t="s">
        <v>424</v>
      </c>
    </row>
    <row r="66" spans="2:17">
      <c r="B66" t="s">
        <v>425</v>
      </c>
      <c r="P66" t="s">
        <v>425</v>
      </c>
    </row>
    <row r="67" spans="2:17">
      <c r="B67" t="s">
        <v>426</v>
      </c>
      <c r="D67">
        <v>100.6</v>
      </c>
      <c r="E67">
        <v>96.8</v>
      </c>
      <c r="F67">
        <v>110.2</v>
      </c>
      <c r="G67">
        <v>141.1</v>
      </c>
      <c r="H67">
        <v>102</v>
      </c>
      <c r="P67" t="s">
        <v>426</v>
      </c>
    </row>
    <row r="68" spans="2:17">
      <c r="B68" t="s">
        <v>427</v>
      </c>
      <c r="D68" s="578">
        <v>3350.1</v>
      </c>
      <c r="E68" s="578">
        <v>2342.6</v>
      </c>
      <c r="F68" s="578">
        <v>2107.8000000000002</v>
      </c>
      <c r="G68" s="578">
        <v>1963.3</v>
      </c>
      <c r="H68" s="578">
        <v>1980.7</v>
      </c>
      <c r="P68" t="s">
        <v>427</v>
      </c>
    </row>
    <row r="69" spans="2:17">
      <c r="B69" t="s">
        <v>428</v>
      </c>
      <c r="D69">
        <v>958.7</v>
      </c>
      <c r="E69">
        <v>941.4</v>
      </c>
      <c r="F69">
        <v>862.6</v>
      </c>
      <c r="G69">
        <v>910.2</v>
      </c>
      <c r="H69">
        <v>557</v>
      </c>
      <c r="P69" t="s">
        <v>428</v>
      </c>
    </row>
    <row r="70" spans="2:17">
      <c r="B70" t="s">
        <v>429</v>
      </c>
      <c r="D70">
        <v>566.4</v>
      </c>
      <c r="E70">
        <v>510</v>
      </c>
      <c r="F70">
        <v>429.6</v>
      </c>
      <c r="G70">
        <v>390.8</v>
      </c>
      <c r="H70">
        <v>387.3</v>
      </c>
      <c r="P70" t="s">
        <v>429</v>
      </c>
    </row>
    <row r="71" spans="2:17">
      <c r="B71" t="s">
        <v>430</v>
      </c>
      <c r="D71">
        <v>199.8</v>
      </c>
      <c r="E71">
        <v>188.6</v>
      </c>
      <c r="F71">
        <v>188.2</v>
      </c>
      <c r="G71">
        <v>203.9</v>
      </c>
      <c r="H71">
        <v>212.5</v>
      </c>
      <c r="P71" t="s">
        <v>430</v>
      </c>
    </row>
    <row r="72" spans="2:17">
      <c r="B72" t="s">
        <v>431</v>
      </c>
      <c r="C72" t="s">
        <v>402</v>
      </c>
      <c r="D72">
        <v>385.4</v>
      </c>
      <c r="E72">
        <v>105.4</v>
      </c>
      <c r="F72">
        <v>136.4</v>
      </c>
      <c r="G72">
        <v>23.5</v>
      </c>
      <c r="H72">
        <v>13.6</v>
      </c>
      <c r="P72" t="s">
        <v>431</v>
      </c>
      <c r="Q72" t="s">
        <v>402</v>
      </c>
    </row>
    <row r="73" spans="2:17" ht="12.75" hidden="1" customHeight="1">
      <c r="F73">
        <v>38.4</v>
      </c>
      <c r="G73">
        <v>0</v>
      </c>
      <c r="H73">
        <v>0</v>
      </c>
      <c r="P73" t="s">
        <v>432</v>
      </c>
    </row>
    <row r="74" spans="2:17">
      <c r="B74" t="s">
        <v>433</v>
      </c>
      <c r="D74">
        <v>0</v>
      </c>
      <c r="E74" s="578">
        <v>0</v>
      </c>
      <c r="F74" s="578">
        <v>3873.2</v>
      </c>
      <c r="G74">
        <v>0</v>
      </c>
      <c r="H74" s="578">
        <v>1001.8</v>
      </c>
      <c r="P74">
        <v>0</v>
      </c>
    </row>
    <row r="75" spans="2:17">
      <c r="B75" t="s">
        <v>432</v>
      </c>
      <c r="D75">
        <v>15.1</v>
      </c>
      <c r="E75">
        <v>44.2</v>
      </c>
      <c r="G75">
        <v>58.2</v>
      </c>
      <c r="H75">
        <v>40.1</v>
      </c>
      <c r="P75">
        <v>0</v>
      </c>
    </row>
    <row r="76" spans="2:17">
      <c r="B76" t="s">
        <v>434</v>
      </c>
      <c r="D76" s="578">
        <v>5576.1</v>
      </c>
      <c r="E76" s="274">
        <v>4229</v>
      </c>
      <c r="G76" s="274">
        <v>3691</v>
      </c>
      <c r="H76" s="274">
        <v>4295</v>
      </c>
      <c r="P76" t="s">
        <v>434</v>
      </c>
    </row>
    <row r="77" spans="2:17">
      <c r="B77" t="s">
        <v>435</v>
      </c>
      <c r="D77" s="578">
        <v>39503.9</v>
      </c>
      <c r="E77" s="578">
        <v>38538.6</v>
      </c>
      <c r="F77" s="578">
        <v>51285.5</v>
      </c>
      <c r="G77" s="578">
        <v>34403.800000000003</v>
      </c>
      <c r="H77" s="578">
        <v>25831.599999999999</v>
      </c>
      <c r="P77" t="s">
        <v>435</v>
      </c>
    </row>
    <row r="78" spans="2:17" ht="13.15">
      <c r="B78" s="13" t="s">
        <v>436</v>
      </c>
      <c r="D78" s="274">
        <v>45080</v>
      </c>
      <c r="E78" s="578">
        <v>42767.6</v>
      </c>
      <c r="F78" s="578">
        <v>55158.7</v>
      </c>
      <c r="G78" s="578">
        <v>38094.800000000003</v>
      </c>
      <c r="H78" s="578">
        <v>30126.6</v>
      </c>
      <c r="P78" s="13" t="s">
        <v>436</v>
      </c>
    </row>
    <row r="79" spans="2:17">
      <c r="B79" t="s">
        <v>437</v>
      </c>
      <c r="D79" s="578">
        <v>2991.3</v>
      </c>
      <c r="E79" s="274">
        <v>2989</v>
      </c>
      <c r="F79" s="578">
        <v>2987.1</v>
      </c>
      <c r="G79" s="274">
        <v>2985</v>
      </c>
      <c r="H79" s="578">
        <v>1002.8</v>
      </c>
      <c r="P79" t="s">
        <v>437</v>
      </c>
    </row>
    <row r="80" spans="2:17">
      <c r="B80" t="s">
        <v>438</v>
      </c>
      <c r="D80">
        <v>328.6</v>
      </c>
      <c r="E80">
        <v>349.9</v>
      </c>
      <c r="F80">
        <v>370.9</v>
      </c>
      <c r="G80">
        <v>343.2</v>
      </c>
      <c r="H80">
        <v>344.4</v>
      </c>
      <c r="P80" t="s">
        <v>438</v>
      </c>
    </row>
    <row r="81" spans="2:16">
      <c r="B81" t="s">
        <v>439</v>
      </c>
      <c r="D81">
        <v>990.8</v>
      </c>
      <c r="E81">
        <v>933.7</v>
      </c>
      <c r="F81">
        <v>924.2</v>
      </c>
      <c r="G81">
        <v>834.1</v>
      </c>
      <c r="H81">
        <v>837</v>
      </c>
      <c r="P81" t="s">
        <v>439</v>
      </c>
    </row>
    <row r="82" spans="2:16">
      <c r="B82" t="s">
        <v>440</v>
      </c>
      <c r="D82">
        <v>64.3</v>
      </c>
      <c r="E82">
        <v>73.599999999999994</v>
      </c>
      <c r="F82">
        <v>67</v>
      </c>
      <c r="G82">
        <v>482.9</v>
      </c>
      <c r="H82">
        <v>731.9</v>
      </c>
      <c r="P82" t="s">
        <v>440</v>
      </c>
    </row>
    <row r="83" spans="2:16">
      <c r="B83" t="s">
        <v>441</v>
      </c>
      <c r="D83">
        <v>360.1</v>
      </c>
      <c r="E83">
        <v>348.1</v>
      </c>
      <c r="F83">
        <v>335</v>
      </c>
      <c r="G83">
        <v>362.4</v>
      </c>
      <c r="H83">
        <v>370.6</v>
      </c>
      <c r="P83" t="s">
        <v>441</v>
      </c>
    </row>
    <row r="84" spans="2:16" ht="13.15">
      <c r="B84" s="13" t="s">
        <v>442</v>
      </c>
      <c r="D84" s="578">
        <v>49815.1</v>
      </c>
      <c r="E84" s="578">
        <v>47461.9</v>
      </c>
      <c r="F84" s="578">
        <v>59842.9</v>
      </c>
      <c r="G84" s="578">
        <v>43102.400000000001</v>
      </c>
      <c r="H84" s="578">
        <v>33413.300000000003</v>
      </c>
      <c r="P84" t="s">
        <v>442</v>
      </c>
    </row>
    <row r="85" spans="2:16">
      <c r="B85" t="s">
        <v>443</v>
      </c>
      <c r="D85" t="s">
        <v>444</v>
      </c>
      <c r="E85" t="s">
        <v>444</v>
      </c>
      <c r="F85" t="s">
        <v>444</v>
      </c>
      <c r="P85" t="s">
        <v>443</v>
      </c>
    </row>
    <row r="86" spans="2:16">
      <c r="B86" t="s">
        <v>445</v>
      </c>
      <c r="G86">
        <v>0</v>
      </c>
      <c r="H86">
        <v>0</v>
      </c>
      <c r="P86" t="s">
        <v>445</v>
      </c>
    </row>
    <row r="87" spans="2:16">
      <c r="B87" t="s">
        <v>446</v>
      </c>
      <c r="D87">
        <v>0</v>
      </c>
      <c r="E87">
        <v>0</v>
      </c>
      <c r="F87">
        <v>0</v>
      </c>
      <c r="P87" t="s">
        <v>446</v>
      </c>
    </row>
    <row r="88" spans="2:16">
      <c r="B88" t="s">
        <v>447</v>
      </c>
      <c r="D88">
        <v>63.9</v>
      </c>
      <c r="E88">
        <v>63.9</v>
      </c>
      <c r="F88">
        <v>63.9</v>
      </c>
      <c r="G88">
        <v>63.9</v>
      </c>
      <c r="H88">
        <v>63.9</v>
      </c>
      <c r="P88" t="s">
        <v>448</v>
      </c>
    </row>
    <row r="89" spans="2:16">
      <c r="B89" t="s">
        <v>449</v>
      </c>
      <c r="D89" s="578">
        <v>2406.9</v>
      </c>
      <c r="E89" s="578">
        <v>2102.3000000000002</v>
      </c>
      <c r="F89" s="578">
        <v>1794.2</v>
      </c>
      <c r="G89" s="578">
        <v>1531.3</v>
      </c>
      <c r="H89" s="578">
        <v>1333.8</v>
      </c>
      <c r="P89" t="s">
        <v>449</v>
      </c>
    </row>
    <row r="90" spans="2:16" ht="13.15">
      <c r="B90" s="13" t="s">
        <v>450</v>
      </c>
      <c r="D90" s="578">
        <v>23622.2</v>
      </c>
      <c r="E90" s="274">
        <v>22118</v>
      </c>
      <c r="F90" s="578">
        <v>20696.3</v>
      </c>
      <c r="G90" s="578">
        <v>19451.099999999999</v>
      </c>
      <c r="H90" s="578">
        <v>18436.3</v>
      </c>
      <c r="P90" t="s">
        <v>450</v>
      </c>
    </row>
    <row r="91" spans="2:16">
      <c r="B91" t="s">
        <v>451</v>
      </c>
      <c r="D91" s="578">
        <v>-19737.099999999999</v>
      </c>
      <c r="E91" s="578">
        <v>-18469.3</v>
      </c>
      <c r="F91" s="578">
        <v>-17335.400000000001</v>
      </c>
      <c r="G91" s="578">
        <v>-15386.8</v>
      </c>
      <c r="H91" s="274">
        <v>-14067</v>
      </c>
      <c r="P91" t="s">
        <v>452</v>
      </c>
    </row>
    <row r="92" spans="2:16">
      <c r="B92" t="s">
        <v>453</v>
      </c>
      <c r="D92" s="578">
        <v>-1808.3</v>
      </c>
      <c r="E92" s="578">
        <v>-2305.8000000000002</v>
      </c>
      <c r="F92" s="578">
        <v>-1993.7</v>
      </c>
      <c r="G92">
        <v>10.6</v>
      </c>
      <c r="H92">
        <v>-14.8</v>
      </c>
      <c r="P92" t="s">
        <v>453</v>
      </c>
    </row>
    <row r="93" spans="2:16">
      <c r="B93" t="s">
        <v>454</v>
      </c>
      <c r="D93" s="578">
        <v>4547.6000000000004</v>
      </c>
      <c r="E93" s="578">
        <v>3509.1</v>
      </c>
      <c r="F93" s="578">
        <v>3225.3</v>
      </c>
      <c r="G93" s="578">
        <v>5670.1</v>
      </c>
      <c r="H93" s="578">
        <v>5752.2</v>
      </c>
      <c r="P93" t="s">
        <v>454</v>
      </c>
    </row>
    <row r="94" spans="2:16">
      <c r="B94" t="s">
        <v>455</v>
      </c>
      <c r="D94" s="578">
        <v>54362.7</v>
      </c>
      <c r="E94" s="274">
        <v>50971</v>
      </c>
      <c r="F94" s="578">
        <v>63068.2</v>
      </c>
      <c r="G94" s="578">
        <v>48772.5</v>
      </c>
      <c r="H94" s="578">
        <v>39165.5</v>
      </c>
      <c r="L94">
        <v>0</v>
      </c>
      <c r="P94" t="s">
        <v>455</v>
      </c>
    </row>
    <row r="95" spans="2:16" ht="13.15">
      <c r="B95" s="13" t="s">
        <v>456</v>
      </c>
      <c r="D95" s="263">
        <f>(D90-E90)/D23</f>
        <v>0.40090618336887013</v>
      </c>
      <c r="E95" s="263">
        <f t="shared" ref="E95:G95" si="5">(E90-F90)/E23</f>
        <v>0.41667643610785482</v>
      </c>
      <c r="F95" s="263">
        <f t="shared" si="5"/>
        <v>0.42225914747872112</v>
      </c>
      <c r="G95" s="263">
        <f t="shared" si="5"/>
        <v>0.39053299980758099</v>
      </c>
      <c r="H95" s="263"/>
      <c r="I95" s="275">
        <f>AVERAGE(D95:F95)</f>
        <v>0.41328058898514869</v>
      </c>
    </row>
    <row r="99" spans="2:6" ht="13.15">
      <c r="B99" s="13" t="s">
        <v>457</v>
      </c>
    </row>
    <row r="100" spans="2:6">
      <c r="D100">
        <v>2024</v>
      </c>
      <c r="E100">
        <v>2023</v>
      </c>
      <c r="F100" t="s">
        <v>458</v>
      </c>
    </row>
    <row r="101" spans="2:6">
      <c r="B101" t="s">
        <v>459</v>
      </c>
    </row>
    <row r="102" spans="2:6">
      <c r="B102" t="s">
        <v>460</v>
      </c>
      <c r="D102" t="s">
        <v>461</v>
      </c>
      <c r="E102" t="s">
        <v>462</v>
      </c>
      <c r="F102">
        <v>515.1</v>
      </c>
    </row>
    <row r="103" spans="2:6" ht="13.15">
      <c r="B103" s="13" t="s">
        <v>463</v>
      </c>
      <c r="F103">
        <v>955.2</v>
      </c>
    </row>
    <row r="104" spans="2:6">
      <c r="B104" t="s">
        <v>464</v>
      </c>
      <c r="D104">
        <v>561.9</v>
      </c>
      <c r="E104">
        <v>549.29999999999995</v>
      </c>
      <c r="F104">
        <v>36.6</v>
      </c>
    </row>
    <row r="105" spans="2:6">
      <c r="B105" t="s">
        <v>465</v>
      </c>
      <c r="D105" s="578">
        <v>1067.5999999999999</v>
      </c>
      <c r="E105">
        <v>992.9</v>
      </c>
      <c r="F105">
        <v>201.7</v>
      </c>
    </row>
    <row r="106" spans="2:6">
      <c r="B106" t="s">
        <v>440</v>
      </c>
      <c r="D106">
        <v>-37.4</v>
      </c>
      <c r="E106">
        <v>-80.099999999999994</v>
      </c>
      <c r="F106">
        <v>2.8</v>
      </c>
    </row>
    <row r="107" spans="2:6">
      <c r="B107" t="s">
        <v>466</v>
      </c>
      <c r="D107">
        <v>243.5</v>
      </c>
      <c r="E107">
        <v>220.4</v>
      </c>
      <c r="F107">
        <v>-53.4</v>
      </c>
    </row>
    <row r="108" spans="2:6">
      <c r="B108" t="s">
        <v>467</v>
      </c>
      <c r="D108">
        <v>54.6</v>
      </c>
      <c r="E108">
        <v>44</v>
      </c>
      <c r="F108">
        <v>101</v>
      </c>
    </row>
    <row r="109" spans="2:6">
      <c r="B109" t="s">
        <v>468</v>
      </c>
      <c r="D109">
        <v>-22.9</v>
      </c>
      <c r="E109">
        <v>-42.6</v>
      </c>
      <c r="F109">
        <v>29.9</v>
      </c>
    </row>
    <row r="110" spans="2:6">
      <c r="B110" t="s">
        <v>469</v>
      </c>
      <c r="D110">
        <v>-42.6</v>
      </c>
      <c r="E110">
        <v>23</v>
      </c>
    </row>
    <row r="111" spans="2:6">
      <c r="B111" t="s">
        <v>470</v>
      </c>
      <c r="D111">
        <v>-1.7</v>
      </c>
      <c r="E111">
        <v>27.4</v>
      </c>
      <c r="F111">
        <v>-486.5</v>
      </c>
    </row>
    <row r="112" spans="2:6">
      <c r="B112" t="s">
        <v>471</v>
      </c>
      <c r="F112" s="578">
        <v>-1101.0999999999999</v>
      </c>
    </row>
    <row r="113" spans="2:6">
      <c r="B113" t="s">
        <v>472</v>
      </c>
      <c r="D113">
        <v>-483.7</v>
      </c>
      <c r="E113">
        <v>129.19999999999999</v>
      </c>
      <c r="F113">
        <v>-157.30000000000001</v>
      </c>
    </row>
    <row r="114" spans="2:6">
      <c r="B114" t="s">
        <v>473</v>
      </c>
      <c r="D114" s="578">
        <v>-1271.2</v>
      </c>
      <c r="E114" s="578">
        <v>-1189.2</v>
      </c>
      <c r="F114">
        <v>-16.399999999999999</v>
      </c>
    </row>
    <row r="115" spans="2:6">
      <c r="B115" t="s">
        <v>474</v>
      </c>
      <c r="D115">
        <v>-157.19999999999999</v>
      </c>
      <c r="E115">
        <v>-168.2</v>
      </c>
      <c r="F115">
        <v>123</v>
      </c>
    </row>
    <row r="116" spans="2:6">
      <c r="B116" t="s">
        <v>475</v>
      </c>
      <c r="D116">
        <v>1.8</v>
      </c>
      <c r="E116">
        <v>-11.8</v>
      </c>
      <c r="F116" s="578">
        <v>3099.5</v>
      </c>
    </row>
    <row r="117" spans="2:6">
      <c r="B117" t="s">
        <v>476</v>
      </c>
      <c r="D117">
        <v>492.9</v>
      </c>
      <c r="E117">
        <v>301.3</v>
      </c>
    </row>
    <row r="118" spans="2:6" ht="13.15">
      <c r="B118" s="13" t="s">
        <v>477</v>
      </c>
      <c r="D118" s="578">
        <v>4157.6000000000004</v>
      </c>
      <c r="E118" s="578">
        <v>4207.6000000000004</v>
      </c>
      <c r="F118" s="578">
        <v>-10733.2</v>
      </c>
    </row>
    <row r="119" spans="2:6">
      <c r="B119" t="s">
        <v>478</v>
      </c>
      <c r="F119" s="578">
        <v>4249.7</v>
      </c>
    </row>
    <row r="120" spans="2:6">
      <c r="B120" t="s">
        <v>479</v>
      </c>
      <c r="D120" s="578">
        <v>-6835.3</v>
      </c>
      <c r="E120" s="578">
        <v>-6618.8</v>
      </c>
      <c r="F120">
        <v>-174.4</v>
      </c>
    </row>
    <row r="121" spans="2:6">
      <c r="B121" t="s">
        <v>480</v>
      </c>
      <c r="D121" s="578">
        <v>6039.5</v>
      </c>
      <c r="E121" s="578">
        <v>4705.5</v>
      </c>
      <c r="F121">
        <v>-379</v>
      </c>
    </row>
    <row r="122" spans="2:6">
      <c r="B122" t="s">
        <v>481</v>
      </c>
      <c r="D122">
        <v>-208.4</v>
      </c>
      <c r="E122">
        <v>-206.3</v>
      </c>
      <c r="F122">
        <v>-11.7</v>
      </c>
    </row>
    <row r="123" spans="2:6">
      <c r="B123" t="s">
        <v>482</v>
      </c>
      <c r="D123">
        <v>-355</v>
      </c>
      <c r="E123">
        <v>-365.3</v>
      </c>
      <c r="F123">
        <v>34.200000000000003</v>
      </c>
    </row>
    <row r="124" spans="2:6">
      <c r="B124" t="s">
        <v>483</v>
      </c>
      <c r="D124">
        <v>-33.6</v>
      </c>
      <c r="E124">
        <v>-32.4</v>
      </c>
      <c r="F124">
        <v>0</v>
      </c>
    </row>
    <row r="125" spans="2:6">
      <c r="B125" t="s">
        <v>484</v>
      </c>
      <c r="D125">
        <v>28.3</v>
      </c>
      <c r="E125">
        <v>0</v>
      </c>
      <c r="F125" s="578">
        <v>-7014.4</v>
      </c>
    </row>
    <row r="126" spans="2:6">
      <c r="B126" t="s">
        <v>470</v>
      </c>
      <c r="D126">
        <v>-24.5</v>
      </c>
      <c r="E126">
        <v>0</v>
      </c>
    </row>
    <row r="127" spans="2:6" ht="13.15">
      <c r="B127" s="13" t="s">
        <v>485</v>
      </c>
      <c r="D127" s="274">
        <v>-1389</v>
      </c>
      <c r="E127" s="578">
        <v>-2517.3000000000002</v>
      </c>
      <c r="F127" s="578">
        <v>17057.900000000001</v>
      </c>
    </row>
    <row r="128" spans="2:6">
      <c r="B128" t="s">
        <v>486</v>
      </c>
      <c r="F128">
        <v>0</v>
      </c>
    </row>
    <row r="129" spans="2:6">
      <c r="B129" t="s">
        <v>487</v>
      </c>
      <c r="D129" s="578">
        <v>1014.1</v>
      </c>
      <c r="E129" s="578">
        <v>-12701.6</v>
      </c>
      <c r="F129">
        <v>-0.9</v>
      </c>
    </row>
    <row r="130" spans="2:6">
      <c r="B130" t="s">
        <v>488</v>
      </c>
      <c r="D130">
        <v>602.70000000000005</v>
      </c>
      <c r="E130">
        <v>0</v>
      </c>
      <c r="F130" s="578">
        <v>-1969.4</v>
      </c>
    </row>
    <row r="131" spans="2:6">
      <c r="B131" t="s">
        <v>489</v>
      </c>
      <c r="D131">
        <v>-0.9</v>
      </c>
      <c r="E131">
        <v>-1</v>
      </c>
      <c r="F131">
        <v>96.5</v>
      </c>
    </row>
    <row r="132" spans="2:6">
      <c r="B132" t="s">
        <v>490</v>
      </c>
      <c r="D132" s="578">
        <v>-1231.7</v>
      </c>
      <c r="E132" s="578">
        <v>-1121.4000000000001</v>
      </c>
      <c r="F132" s="274">
        <v>-1659</v>
      </c>
    </row>
    <row r="133" spans="2:6">
      <c r="B133" t="s">
        <v>491</v>
      </c>
      <c r="D133">
        <v>47.2</v>
      </c>
      <c r="E133">
        <v>91.6</v>
      </c>
      <c r="F133">
        <v>128.30000000000001</v>
      </c>
    </row>
    <row r="134" spans="2:6">
      <c r="B134" t="s">
        <v>492</v>
      </c>
      <c r="D134" s="578">
        <v>-2183.1</v>
      </c>
      <c r="E134" s="578">
        <v>-1903.6</v>
      </c>
      <c r="F134" s="578">
        <v>13653.4</v>
      </c>
    </row>
    <row r="135" spans="2:6">
      <c r="B135" t="s">
        <v>493</v>
      </c>
      <c r="D135">
        <v>320</v>
      </c>
      <c r="E135">
        <v>-44.7</v>
      </c>
      <c r="F135">
        <v>-98.7</v>
      </c>
    </row>
    <row r="136" spans="2:6" ht="13.15">
      <c r="B136" s="13" t="s">
        <v>494</v>
      </c>
      <c r="D136" s="578">
        <v>-1431.7</v>
      </c>
      <c r="E136" s="578">
        <v>-15680.7</v>
      </c>
      <c r="F136" s="578">
        <v>9639.7999999999993</v>
      </c>
    </row>
    <row r="137" spans="2:6">
      <c r="B137" t="s">
        <v>495</v>
      </c>
      <c r="D137">
        <v>-22.4</v>
      </c>
      <c r="E137">
        <v>-21.1</v>
      </c>
      <c r="F137" s="578">
        <v>13143.2</v>
      </c>
    </row>
    <row r="138" spans="2:6" ht="13.15">
      <c r="B138" s="13" t="s">
        <v>496</v>
      </c>
      <c r="D138" s="578">
        <v>1314.5</v>
      </c>
      <c r="E138" s="578">
        <v>-14011.5</v>
      </c>
      <c r="F138" s="274">
        <v>22783</v>
      </c>
    </row>
    <row r="139" spans="2:6">
      <c r="B139" t="s">
        <v>497</v>
      </c>
      <c r="D139" s="578">
        <v>8771.5</v>
      </c>
      <c r="E139" s="274">
        <v>22783</v>
      </c>
    </row>
    <row r="140" spans="2:6">
      <c r="B140" t="s">
        <v>498</v>
      </c>
      <c r="D140" s="274">
        <v>10086</v>
      </c>
      <c r="E140" s="578">
        <v>8771.5</v>
      </c>
      <c r="F140" s="578">
        <v>1436.3</v>
      </c>
    </row>
    <row r="141" spans="2:6">
      <c r="B141" t="s">
        <v>499</v>
      </c>
      <c r="F141" s="578">
        <v>21346.7</v>
      </c>
    </row>
    <row r="142" spans="2:6">
      <c r="B142" t="s">
        <v>410</v>
      </c>
      <c r="D142" s="578">
        <v>2913.4</v>
      </c>
      <c r="E142" s="578">
        <v>2083.5</v>
      </c>
      <c r="F142" s="274">
        <v>22783</v>
      </c>
    </row>
    <row r="143" spans="2:6">
      <c r="B143" t="s">
        <v>500</v>
      </c>
      <c r="C143" t="s">
        <v>402</v>
      </c>
      <c r="D143" s="578">
        <v>7172.6</v>
      </c>
      <c r="E143" s="274">
        <v>6688</v>
      </c>
    </row>
    <row r="144" spans="2:6">
      <c r="B144" t="s">
        <v>501</v>
      </c>
      <c r="D144" s="274">
        <v>10086</v>
      </c>
      <c r="E144" s="578">
        <v>8771.5</v>
      </c>
      <c r="F144">
        <v>74.8</v>
      </c>
    </row>
    <row r="145" spans="2:6">
      <c r="B145" t="s">
        <v>502</v>
      </c>
      <c r="F145" t="s">
        <v>503</v>
      </c>
    </row>
    <row r="146" spans="2:6">
      <c r="B146" t="s">
        <v>504</v>
      </c>
      <c r="D146">
        <v>353.9</v>
      </c>
      <c r="E146">
        <v>246.5</v>
      </c>
    </row>
    <row r="147" spans="2:6">
      <c r="B147" t="s">
        <v>505</v>
      </c>
      <c r="D147" t="s">
        <v>506</v>
      </c>
      <c r="E147" t="s">
        <v>507</v>
      </c>
    </row>
    <row r="174" spans="3:3">
      <c r="C174" t="s">
        <v>508</v>
      </c>
    </row>
    <row r="175" spans="3:3">
      <c r="C175" t="s">
        <v>509</v>
      </c>
    </row>
    <row r="176" spans="3:3">
      <c r="C176" t="s">
        <v>510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zoomScale="80" zoomScaleNormal="80" workbookViewId="0">
      <selection activeCell="J10" sqref="J10"/>
    </sheetView>
  </sheetViews>
  <sheetFormatPr defaultColWidth="11.265625" defaultRowHeight="12.75"/>
  <cols>
    <col min="1" max="1" width="1" style="74" customWidth="1"/>
    <col min="2" max="2" width="59.265625" style="74" customWidth="1"/>
    <col min="3" max="4" width="12.86328125" style="74" customWidth="1"/>
    <col min="5" max="5" width="11.265625" style="74" bestFit="1" customWidth="1"/>
    <col min="6" max="6" width="11" style="74" customWidth="1"/>
    <col min="7" max="7" width="10.265625" style="74" customWidth="1"/>
    <col min="8" max="8" width="20.265625" style="368" customWidth="1"/>
    <col min="9" max="9" width="22.265625" style="368" customWidth="1"/>
    <col min="10" max="10" width="64" style="74" customWidth="1"/>
    <col min="11" max="11" width="34.73046875" style="74" bestFit="1" customWidth="1"/>
    <col min="12" max="12" width="21.265625" style="74" customWidth="1"/>
    <col min="13" max="13" width="19.86328125" style="74" customWidth="1"/>
    <col min="14" max="14" width="20.86328125" style="74" bestFit="1" customWidth="1"/>
    <col min="15" max="15" width="19.86328125" style="74" bestFit="1" customWidth="1"/>
    <col min="16" max="16" width="19.86328125" style="74" customWidth="1"/>
    <col min="17" max="17" width="22.265625" style="74" bestFit="1" customWidth="1"/>
    <col min="18" max="18" width="11.265625" style="74" customWidth="1"/>
    <col min="19" max="19" width="10.265625" style="74" customWidth="1"/>
    <col min="20" max="20" width="12.265625" style="74" bestFit="1" customWidth="1"/>
    <col min="21" max="21" width="15.265625" style="74" customWidth="1"/>
    <col min="22" max="22" width="18" style="74" bestFit="1" customWidth="1"/>
    <col min="23" max="23" width="18.265625" style="74" bestFit="1" customWidth="1"/>
    <col min="24" max="24" width="17.265625" style="74" bestFit="1" customWidth="1"/>
    <col min="25" max="30" width="11.265625" style="74"/>
    <col min="31" max="31" width="13" style="74" bestFit="1" customWidth="1"/>
    <col min="32" max="16384" width="11.265625" style="74"/>
  </cols>
  <sheetData>
    <row r="1" spans="1:24" ht="13.15">
      <c r="B1" s="204" t="s">
        <v>511</v>
      </c>
      <c r="C1" s="78"/>
      <c r="D1" s="78"/>
      <c r="E1" s="78"/>
      <c r="F1" s="78"/>
      <c r="G1" s="78"/>
      <c r="H1" s="362"/>
      <c r="I1" s="362"/>
      <c r="J1" s="78"/>
      <c r="T1" s="88" t="s">
        <v>512</v>
      </c>
    </row>
    <row r="2" spans="1:24" ht="13.5" thickBot="1">
      <c r="B2" s="84" t="s">
        <v>513</v>
      </c>
      <c r="C2" s="205" t="s">
        <v>514</v>
      </c>
      <c r="D2" s="78"/>
      <c r="E2" s="78"/>
      <c r="F2" s="78"/>
      <c r="G2" s="78"/>
      <c r="H2" s="362"/>
      <c r="I2" s="362"/>
      <c r="J2" s="78"/>
      <c r="T2" s="88" t="s">
        <v>515</v>
      </c>
    </row>
    <row r="3" spans="1:24" ht="21" thickBot="1">
      <c r="B3" s="1504" t="s">
        <v>516</v>
      </c>
      <c r="C3" s="1504"/>
      <c r="D3" s="1504"/>
      <c r="E3" s="1504"/>
      <c r="F3" s="1504"/>
      <c r="G3" s="1504"/>
      <c r="H3" s="1504"/>
      <c r="I3" s="1504"/>
      <c r="J3" s="1504"/>
      <c r="K3" s="1505" t="s">
        <v>517</v>
      </c>
      <c r="L3" s="1505"/>
      <c r="M3" s="1505"/>
      <c r="N3" s="1505"/>
      <c r="O3" s="1505"/>
      <c r="P3" s="1505"/>
      <c r="Q3" s="1505"/>
    </row>
    <row r="4" spans="1:24" ht="30.4" thickBot="1">
      <c r="B4" s="195" t="s">
        <v>518</v>
      </c>
      <c r="C4" s="227" t="s">
        <v>519</v>
      </c>
      <c r="D4" s="227" t="s">
        <v>520</v>
      </c>
      <c r="E4" s="227" t="s">
        <v>521</v>
      </c>
      <c r="F4" s="227" t="s">
        <v>522</v>
      </c>
      <c r="G4" s="227" t="s">
        <v>523</v>
      </c>
      <c r="H4" s="196" t="s">
        <v>524</v>
      </c>
      <c r="I4" s="196" t="s">
        <v>525</v>
      </c>
      <c r="J4" s="197" t="s">
        <v>526</v>
      </c>
      <c r="K4" s="195" t="s">
        <v>518</v>
      </c>
      <c r="L4" s="230" t="e" vm="1">
        <f>Peers!C8</f>
        <v>#VALUE!</v>
      </c>
      <c r="M4" s="230" t="str">
        <f>Peers!D8</f>
        <v>Paycom Software Inc</v>
      </c>
      <c r="N4" s="230" t="str">
        <f>Peers!E8</f>
        <v>Paychex Inc</v>
      </c>
      <c r="O4" s="230" t="str">
        <f>Peers!F8</f>
        <v>Automatic Data Processing Inc</v>
      </c>
      <c r="P4" s="230" t="str">
        <f>Peers!G8</f>
        <v>Paycor HCM Inc</v>
      </c>
      <c r="Q4" s="230" t="e">
        <f>Peers!#REF!</f>
        <v>#REF!</v>
      </c>
      <c r="R4" s="514" t="s">
        <v>230</v>
      </c>
    </row>
    <row r="5" spans="1:24" ht="14.25" thickBot="1">
      <c r="B5" s="206" t="s">
        <v>527</v>
      </c>
      <c r="C5" s="207"/>
      <c r="D5" s="208"/>
      <c r="E5" s="208"/>
      <c r="F5" s="208"/>
      <c r="G5" s="208"/>
      <c r="H5" s="363"/>
      <c r="I5" s="363"/>
      <c r="J5" s="209"/>
      <c r="K5" s="206" t="s">
        <v>528</v>
      </c>
      <c r="L5" s="208"/>
      <c r="M5" s="208"/>
      <c r="N5" s="208"/>
      <c r="O5" s="208"/>
      <c r="P5" s="209"/>
      <c r="Q5" s="209"/>
      <c r="R5" s="209"/>
    </row>
    <row r="6" spans="1:24" ht="25.9" thickBot="1">
      <c r="A6" s="74">
        <v>1</v>
      </c>
      <c r="B6" s="200" t="s">
        <v>529</v>
      </c>
      <c r="C6" s="198" t="str">
        <f>VLOOKUP($B$2,'Sector Impact'!$K$4:$AA$16,A6+1,FALSE)</f>
        <v>Medium</v>
      </c>
      <c r="D6" s="198" t="s">
        <v>512</v>
      </c>
      <c r="E6" s="198" t="s">
        <v>200</v>
      </c>
      <c r="F6" s="210" t="s">
        <v>515</v>
      </c>
      <c r="G6" s="279"/>
      <c r="H6" s="199" t="s">
        <v>530</v>
      </c>
      <c r="I6" s="199" t="s">
        <v>51</v>
      </c>
      <c r="J6" s="199" t="s">
        <v>51</v>
      </c>
      <c r="K6" s="200" t="s">
        <v>531</v>
      </c>
      <c r="L6" s="357">
        <f>L12/L$11</f>
        <v>3.2962214307868365E-3</v>
      </c>
      <c r="M6" s="357">
        <f t="shared" ref="M6:O6" si="0">M12/M$11</f>
        <v>8.5317869797462838E-5</v>
      </c>
      <c r="N6" s="357">
        <f t="shared" si="0"/>
        <v>1.1436409450012314E-3</v>
      </c>
      <c r="O6" s="357">
        <f t="shared" si="0"/>
        <v>5.9126395904721234E-2</v>
      </c>
      <c r="P6" s="357">
        <f t="shared" ref="P6:Q9" si="1">P12/P$11</f>
        <v>0</v>
      </c>
      <c r="Q6" s="357" t="e">
        <f t="shared" si="1"/>
        <v>#DIV/0!</v>
      </c>
      <c r="R6" s="421" t="str">
        <f t="shared" ref="R6:R9" si="2">IFERROR(AVERAGE(L6:Q6),"")</f>
        <v/>
      </c>
    </row>
    <row r="7" spans="1:24" s="78" customFormat="1" ht="17.649999999999999" thickBot="1">
      <c r="A7" s="78">
        <v>2</v>
      </c>
      <c r="B7" s="200" t="s">
        <v>532</v>
      </c>
      <c r="C7" s="198" t="str">
        <f>VLOOKUP($B$2,'Sector Impact'!$K$4:$AA$16,A7+1,FALSE)</f>
        <v>Low</v>
      </c>
      <c r="D7" s="198"/>
      <c r="E7" s="198"/>
      <c r="F7" s="210"/>
      <c r="G7" s="279"/>
      <c r="H7" s="199" t="s">
        <v>51</v>
      </c>
      <c r="I7" s="199" t="s">
        <v>51</v>
      </c>
      <c r="J7" s="199"/>
      <c r="K7" s="200" t="s">
        <v>533</v>
      </c>
      <c r="L7" s="357" t="e">
        <f t="shared" ref="L7:O9" si="3">L13/L$11</f>
        <v>#VALUE!</v>
      </c>
      <c r="M7" s="357" t="e">
        <f t="shared" si="3"/>
        <v>#VALUE!</v>
      </c>
      <c r="N7" s="357" t="e">
        <f t="shared" si="3"/>
        <v>#VALUE!</v>
      </c>
      <c r="O7" s="357" t="e">
        <f t="shared" si="3"/>
        <v>#VALUE!</v>
      </c>
      <c r="P7" s="357">
        <f t="shared" si="1"/>
        <v>0</v>
      </c>
      <c r="Q7" s="357" t="e">
        <f t="shared" si="1"/>
        <v>#DIV/0!</v>
      </c>
      <c r="R7" s="422" t="str">
        <f t="shared" si="2"/>
        <v/>
      </c>
    </row>
    <row r="8" spans="1:24" ht="25.9" thickBot="1">
      <c r="A8" s="74">
        <v>3</v>
      </c>
      <c r="B8" s="200" t="s">
        <v>534</v>
      </c>
      <c r="C8" s="198" t="str">
        <f>VLOOKUP($B$2,'Sector Impact'!$K$4:$AA$16,A8+1,FALSE)</f>
        <v>High</v>
      </c>
      <c r="D8" s="198" t="s">
        <v>512</v>
      </c>
      <c r="E8" s="198" t="s">
        <v>535</v>
      </c>
      <c r="F8" s="210" t="s">
        <v>515</v>
      </c>
      <c r="G8" s="276"/>
      <c r="H8" s="199" t="s">
        <v>530</v>
      </c>
      <c r="I8" s="199" t="s">
        <v>51</v>
      </c>
      <c r="J8" s="199" t="s">
        <v>51</v>
      </c>
      <c r="K8" s="200" t="s">
        <v>536</v>
      </c>
      <c r="L8" s="357">
        <f t="shared" si="3"/>
        <v>2.8458305258767285E-2</v>
      </c>
      <c r="M8" s="357">
        <f t="shared" si="3"/>
        <v>5.9552233014731559E-2</v>
      </c>
      <c r="N8" s="357">
        <f t="shared" si="3"/>
        <v>2.6159528636113899E-2</v>
      </c>
      <c r="O8" s="357">
        <f t="shared" si="3"/>
        <v>5.0957682813785633E-3</v>
      </c>
      <c r="P8" s="357">
        <f t="shared" si="1"/>
        <v>0</v>
      </c>
      <c r="Q8" s="357" t="e">
        <f t="shared" si="1"/>
        <v>#DIV/0!</v>
      </c>
      <c r="R8" s="422" t="str">
        <f>IFERROR(AVERAGE(L8:Q8),"")</f>
        <v/>
      </c>
    </row>
    <row r="9" spans="1:24" ht="17.649999999999999" thickBot="1">
      <c r="A9" s="74">
        <v>4</v>
      </c>
      <c r="B9" s="200" t="s">
        <v>537</v>
      </c>
      <c r="C9" s="198" t="str">
        <f>VLOOKUP($B$2,'Sector Impact'!$K$4:$AA$16,A9+1,FALSE)</f>
        <v>Low</v>
      </c>
      <c r="D9" s="198"/>
      <c r="E9" s="198"/>
      <c r="F9" s="210"/>
      <c r="G9" s="276"/>
      <c r="H9" s="199" t="s">
        <v>51</v>
      </c>
      <c r="I9" s="199" t="s">
        <v>51</v>
      </c>
      <c r="J9" s="201"/>
      <c r="K9" s="200" t="s">
        <v>538</v>
      </c>
      <c r="L9" s="357" t="e">
        <f t="shared" si="3"/>
        <v>#VALUE!</v>
      </c>
      <c r="M9" s="357" t="e">
        <f t="shared" si="3"/>
        <v>#VALUE!</v>
      </c>
      <c r="N9" s="357" t="e">
        <f t="shared" si="3"/>
        <v>#VALUE!</v>
      </c>
      <c r="O9" s="357" t="e">
        <f t="shared" si="3"/>
        <v>#VALUE!</v>
      </c>
      <c r="P9" s="357">
        <f t="shared" si="1"/>
        <v>0</v>
      </c>
      <c r="Q9" s="357" t="e">
        <f t="shared" si="1"/>
        <v>#DIV/0!</v>
      </c>
      <c r="R9" s="422" t="str">
        <f t="shared" si="2"/>
        <v/>
      </c>
    </row>
    <row r="10" spans="1:24" ht="14.25" thickBot="1">
      <c r="A10" s="74">
        <v>5</v>
      </c>
      <c r="B10" s="200" t="s">
        <v>539</v>
      </c>
      <c r="C10" s="198" t="str">
        <f>VLOOKUP($B$2,'Sector Impact'!$K$4:$AA$16,A10+1,FALSE)</f>
        <v>Low</v>
      </c>
      <c r="D10" s="198"/>
      <c r="E10" s="198"/>
      <c r="F10" s="210"/>
      <c r="G10" s="276"/>
      <c r="H10" s="199" t="s">
        <v>51</v>
      </c>
      <c r="I10" s="199" t="s">
        <v>51</v>
      </c>
      <c r="J10" s="201"/>
      <c r="K10" s="206" t="s">
        <v>540</v>
      </c>
      <c r="L10" s="208"/>
      <c r="M10" s="208"/>
      <c r="N10" s="208"/>
      <c r="O10" s="208"/>
      <c r="P10" s="208"/>
      <c r="Q10" s="209"/>
      <c r="S10"/>
      <c r="V10" s="78"/>
      <c r="W10" s="78"/>
      <c r="X10" s="78"/>
    </row>
    <row r="11" spans="1:24" ht="14.25" thickBot="1">
      <c r="B11" s="206" t="s">
        <v>541</v>
      </c>
      <c r="C11" s="203"/>
      <c r="D11" s="203"/>
      <c r="E11" s="212"/>
      <c r="F11" s="212"/>
      <c r="G11" s="213"/>
      <c r="H11" s="364"/>
      <c r="I11" s="364"/>
      <c r="J11" s="214"/>
      <c r="K11" s="200" t="s">
        <v>542</v>
      </c>
      <c r="L11" s="805">
        <v>1402515</v>
      </c>
      <c r="M11" s="805">
        <v>1778291</v>
      </c>
      <c r="N11" s="805">
        <v>5278300</v>
      </c>
      <c r="O11" s="805">
        <v>19202600</v>
      </c>
      <c r="P11" s="805">
        <v>654948</v>
      </c>
      <c r="Q11" s="358"/>
      <c r="S11"/>
    </row>
    <row r="12" spans="1:24" ht="13.15" thickBot="1">
      <c r="A12" s="74">
        <v>6</v>
      </c>
      <c r="B12" s="200" t="s">
        <v>543</v>
      </c>
      <c r="C12" s="198" t="str">
        <f>VLOOKUP($B$2,'Sector Impact'!$K$4:$AA$16,A12+1,FALSE)</f>
        <v>Low</v>
      </c>
      <c r="D12" s="198"/>
      <c r="E12" s="198"/>
      <c r="F12" s="210"/>
      <c r="G12" s="281"/>
      <c r="H12" s="199" t="s">
        <v>51</v>
      </c>
      <c r="I12" s="199" t="s">
        <v>51</v>
      </c>
      <c r="J12" s="215"/>
      <c r="K12" s="200" t="s">
        <v>544</v>
      </c>
      <c r="L12" s="806">
        <v>4623</v>
      </c>
      <c r="M12" s="806">
        <v>151.72</v>
      </c>
      <c r="N12" s="806">
        <v>6036.48</v>
      </c>
      <c r="O12" s="806">
        <v>1135380.53</v>
      </c>
      <c r="P12" s="229"/>
      <c r="Q12" s="229"/>
      <c r="S12"/>
    </row>
    <row r="13" spans="1:24" ht="13.15" thickBot="1">
      <c r="A13" s="74">
        <v>7</v>
      </c>
      <c r="B13" s="200" t="s">
        <v>545</v>
      </c>
      <c r="C13" s="198" t="str">
        <f>VLOOKUP($B$2,'Sector Impact'!$K$4:$AA$16,A13+1,FALSE)</f>
        <v>Low</v>
      </c>
      <c r="D13" s="198"/>
      <c r="E13" s="198"/>
      <c r="F13" s="216"/>
      <c r="G13" s="282"/>
      <c r="H13" s="199" t="s">
        <v>51</v>
      </c>
      <c r="I13" s="199" t="s">
        <v>546</v>
      </c>
      <c r="J13" s="217"/>
      <c r="K13" s="200" t="s">
        <v>547</v>
      </c>
      <c r="L13" s="229" t="s">
        <v>51</v>
      </c>
      <c r="M13" s="229" t="s">
        <v>51</v>
      </c>
      <c r="N13" s="229" t="s">
        <v>51</v>
      </c>
      <c r="O13" s="229" t="s">
        <v>51</v>
      </c>
      <c r="P13" s="229"/>
      <c r="Q13" s="229"/>
      <c r="S13"/>
    </row>
    <row r="14" spans="1:24" ht="13.15" thickBot="1">
      <c r="A14" s="74">
        <v>8</v>
      </c>
      <c r="B14" s="218" t="s">
        <v>548</v>
      </c>
      <c r="C14" s="198" t="str">
        <f>VLOOKUP($B$2,'Sector Impact'!$K$4:$AA$16,A14+1,FALSE)</f>
        <v>Low</v>
      </c>
      <c r="D14" s="198"/>
      <c r="E14" s="198"/>
      <c r="F14" s="210"/>
      <c r="G14" s="380"/>
      <c r="H14" s="199"/>
      <c r="I14" s="199"/>
      <c r="J14" s="217"/>
      <c r="K14" s="200" t="s">
        <v>549</v>
      </c>
      <c r="L14" s="806">
        <v>39913.199999999997</v>
      </c>
      <c r="M14" s="806">
        <v>105901.2</v>
      </c>
      <c r="N14" s="806">
        <v>138077.84</v>
      </c>
      <c r="O14" s="806">
        <v>97852</v>
      </c>
      <c r="P14" s="229"/>
      <c r="Q14" s="229"/>
      <c r="S14"/>
    </row>
    <row r="15" spans="1:24" ht="13.15" thickBot="1">
      <c r="A15" s="74">
        <v>9</v>
      </c>
      <c r="B15" s="218" t="s">
        <v>550</v>
      </c>
      <c r="C15" s="198" t="str">
        <f>VLOOKUP($B$2,'Sector Impact'!$K$4:$AA$16,A15+1,FALSE)</f>
        <v>Low</v>
      </c>
      <c r="D15" s="198"/>
      <c r="E15" s="198"/>
      <c r="F15" s="210" t="s">
        <v>512</v>
      </c>
      <c r="G15" s="211"/>
      <c r="H15" s="365"/>
      <c r="I15" s="365"/>
      <c r="J15" s="217"/>
      <c r="K15" s="200" t="s">
        <v>551</v>
      </c>
      <c r="L15" s="229" t="s">
        <v>51</v>
      </c>
      <c r="M15" s="229" t="s">
        <v>51</v>
      </c>
      <c r="N15" s="229" t="s">
        <v>51</v>
      </c>
      <c r="O15" s="229" t="s">
        <v>51</v>
      </c>
      <c r="P15" s="229"/>
      <c r="Q15" s="229"/>
      <c r="S15"/>
    </row>
    <row r="16" spans="1:24" ht="42" customHeight="1" thickBot="1">
      <c r="A16" s="74">
        <v>10</v>
      </c>
      <c r="B16" s="200" t="s">
        <v>552</v>
      </c>
      <c r="C16" s="198" t="str">
        <f>VLOOKUP($B$2,'Sector Impact'!$K$4:$AA$16,A16+1,FALSE)</f>
        <v>High</v>
      </c>
      <c r="D16" s="198" t="s">
        <v>515</v>
      </c>
      <c r="E16" s="198" t="s">
        <v>553</v>
      </c>
      <c r="F16" s="210" t="s">
        <v>515</v>
      </c>
      <c r="G16" s="804"/>
      <c r="H16" s="199" t="s">
        <v>51</v>
      </c>
      <c r="I16" s="366" t="s">
        <v>51</v>
      </c>
      <c r="J16" s="217" t="s">
        <v>554</v>
      </c>
      <c r="K16" s="206" t="s">
        <v>555</v>
      </c>
      <c r="L16" s="208"/>
      <c r="M16" s="208"/>
      <c r="N16" s="208"/>
      <c r="O16" s="208"/>
      <c r="P16" s="209"/>
      <c r="Q16" s="209"/>
      <c r="S16"/>
    </row>
    <row r="17" spans="1:19" ht="13.15" thickBot="1">
      <c r="A17" s="74">
        <v>11</v>
      </c>
      <c r="B17" s="200" t="s">
        <v>556</v>
      </c>
      <c r="C17" s="198" t="str">
        <f>VLOOKUP($B$2,'Sector Impact'!$K$4:$AA$16,A17+1,FALSE)</f>
        <v>Low</v>
      </c>
      <c r="D17" s="219"/>
      <c r="E17" s="219"/>
      <c r="F17" s="219"/>
      <c r="G17" s="276"/>
      <c r="H17" s="199" t="s">
        <v>51</v>
      </c>
      <c r="I17" s="366" t="s">
        <v>51</v>
      </c>
      <c r="J17" s="217"/>
      <c r="K17" s="200" t="s">
        <v>557</v>
      </c>
      <c r="L17" s="228">
        <v>27</v>
      </c>
      <c r="M17" s="228">
        <v>64</v>
      </c>
      <c r="N17" s="228">
        <v>58</v>
      </c>
      <c r="O17" s="228"/>
      <c r="P17" s="228">
        <v>34</v>
      </c>
      <c r="Q17" s="228"/>
      <c r="S17"/>
    </row>
    <row r="18" spans="1:19" ht="13.15" thickBot="1">
      <c r="A18" s="74">
        <v>12</v>
      </c>
      <c r="B18" s="200" t="s">
        <v>558</v>
      </c>
      <c r="C18" s="198" t="str">
        <f>VLOOKUP($B$2,'Sector Impact'!$K$4:$AA$16,A18+1,FALSE)</f>
        <v>Low</v>
      </c>
      <c r="D18" s="198"/>
      <c r="E18" s="198"/>
      <c r="F18" s="210"/>
      <c r="G18" s="211"/>
      <c r="H18" s="365"/>
      <c r="I18" s="365"/>
      <c r="J18" s="220"/>
      <c r="K18" s="200" t="s">
        <v>559</v>
      </c>
      <c r="L18" s="228">
        <v>22.5</v>
      </c>
      <c r="M18" s="228">
        <v>18.5</v>
      </c>
      <c r="N18" s="228" t="s">
        <v>560</v>
      </c>
      <c r="O18" s="74" t="s">
        <v>561</v>
      </c>
      <c r="P18" s="228" t="s">
        <v>562</v>
      </c>
      <c r="Q18" s="228"/>
    </row>
    <row r="19" spans="1:19" ht="13.15" thickBot="1">
      <c r="A19" s="74">
        <v>13</v>
      </c>
      <c r="B19" s="200" t="s">
        <v>563</v>
      </c>
      <c r="C19" s="198" t="str">
        <f>VLOOKUP($B$2,'Sector Impact'!$K$4:$AA$16,A19+1,FALSE)</f>
        <v>Low</v>
      </c>
      <c r="D19" s="198"/>
      <c r="E19" s="198"/>
      <c r="F19" s="210"/>
      <c r="G19" s="280"/>
      <c r="H19" s="199" t="s">
        <v>51</v>
      </c>
      <c r="I19" s="366" t="s">
        <v>51</v>
      </c>
      <c r="J19" s="217"/>
      <c r="K19" s="200" t="s">
        <v>564</v>
      </c>
      <c r="L19" s="229" t="s">
        <v>565</v>
      </c>
      <c r="M19" s="229" t="s">
        <v>566</v>
      </c>
      <c r="N19" s="229" t="s">
        <v>565</v>
      </c>
      <c r="O19" s="229" t="s">
        <v>567</v>
      </c>
      <c r="P19" s="229" t="s">
        <v>566</v>
      </c>
      <c r="Q19" s="229"/>
    </row>
    <row r="20" spans="1:19" ht="13.15" thickBot="1">
      <c r="A20" s="74">
        <v>14</v>
      </c>
      <c r="B20" s="200" t="s">
        <v>568</v>
      </c>
      <c r="C20" s="198" t="str">
        <f>VLOOKUP($B$2,'Sector Impact'!$K$4:$AA$16,A20+1,FALSE)</f>
        <v>Low</v>
      </c>
      <c r="D20" s="198"/>
      <c r="E20" s="198"/>
      <c r="F20" s="210"/>
      <c r="G20" s="211"/>
      <c r="H20" s="365"/>
      <c r="I20" s="365"/>
      <c r="J20" s="217"/>
      <c r="K20" s="200" t="s">
        <v>569</v>
      </c>
      <c r="L20" s="228" t="s">
        <v>18</v>
      </c>
      <c r="M20" s="228" t="s">
        <v>18</v>
      </c>
      <c r="N20" s="228" t="s">
        <v>570</v>
      </c>
      <c r="O20" s="228" t="s">
        <v>571</v>
      </c>
      <c r="P20" s="228" t="s">
        <v>18</v>
      </c>
      <c r="Q20" s="228"/>
    </row>
    <row r="21" spans="1:19" ht="13.15" thickBot="1">
      <c r="A21" s="74">
        <v>15</v>
      </c>
      <c r="B21" s="200" t="s">
        <v>572</v>
      </c>
      <c r="C21" s="198" t="str">
        <f>VLOOKUP($B$2,'Sector Impact'!$K$4:$AA$16,A21+1,FALSE)</f>
        <v>Medium</v>
      </c>
      <c r="D21" s="803" t="s">
        <v>512</v>
      </c>
      <c r="E21" s="198" t="s">
        <v>553</v>
      </c>
      <c r="F21" s="210" t="s">
        <v>515</v>
      </c>
      <c r="G21" s="280"/>
      <c r="H21" s="199" t="s">
        <v>51</v>
      </c>
      <c r="I21" s="366" t="s">
        <v>51</v>
      </c>
      <c r="J21" s="217" t="s">
        <v>573</v>
      </c>
    </row>
    <row r="22" spans="1:19" ht="13.15" thickBot="1">
      <c r="A22" s="74">
        <v>16</v>
      </c>
      <c r="B22" s="200" t="s">
        <v>574</v>
      </c>
      <c r="C22" s="202" t="str">
        <f>VLOOKUP($B$2,'Sector Impact'!$K$4:$AA$16,A22+1,FALSE)</f>
        <v>Very High</v>
      </c>
      <c r="D22" s="198" t="s">
        <v>512</v>
      </c>
      <c r="E22" s="198" t="s">
        <v>200</v>
      </c>
      <c r="F22" s="210" t="s">
        <v>515</v>
      </c>
      <c r="G22" s="276"/>
      <c r="H22" s="365"/>
      <c r="I22" s="365"/>
      <c r="J22" s="201" t="s">
        <v>575</v>
      </c>
    </row>
    <row r="23" spans="1:19" ht="14.25" thickBot="1">
      <c r="B23" s="206" t="s">
        <v>576</v>
      </c>
      <c r="C23" s="221"/>
      <c r="D23" s="203"/>
      <c r="E23" s="212"/>
      <c r="F23" s="212"/>
      <c r="G23" s="213"/>
      <c r="H23" s="364"/>
      <c r="I23" s="364"/>
      <c r="J23" s="214"/>
      <c r="K23" s="1507" t="s">
        <v>577</v>
      </c>
      <c r="L23" s="1508"/>
      <c r="M23" s="1509"/>
    </row>
    <row r="24" spans="1:19" ht="25.9" thickBot="1">
      <c r="A24" s="74">
        <v>17</v>
      </c>
      <c r="B24" s="200" t="s">
        <v>578</v>
      </c>
      <c r="C24" s="222"/>
      <c r="D24" s="223"/>
      <c r="E24" s="216" t="s">
        <v>200</v>
      </c>
      <c r="F24" s="216" t="s">
        <v>515</v>
      </c>
      <c r="G24" s="280"/>
      <c r="H24" s="199" t="s">
        <v>51</v>
      </c>
      <c r="I24" s="366" t="s">
        <v>51</v>
      </c>
      <c r="J24" s="224" t="s">
        <v>579</v>
      </c>
      <c r="K24" s="249" t="s">
        <v>580</v>
      </c>
      <c r="L24" s="75" t="s">
        <v>581</v>
      </c>
      <c r="M24" s="76" t="s">
        <v>582</v>
      </c>
      <c r="O24" s="479" t="s">
        <v>233</v>
      </c>
    </row>
    <row r="25" spans="1:19" ht="15.75" customHeight="1" thickBot="1">
      <c r="A25" s="74">
        <v>18</v>
      </c>
      <c r="B25" s="200" t="s">
        <v>583</v>
      </c>
      <c r="C25" s="222"/>
      <c r="D25" s="223"/>
      <c r="E25" s="216" t="s">
        <v>553</v>
      </c>
      <c r="F25" s="216" t="s">
        <v>515</v>
      </c>
      <c r="G25" s="280"/>
      <c r="H25" s="199" t="s">
        <v>51</v>
      </c>
      <c r="I25" s="366" t="s">
        <v>51</v>
      </c>
      <c r="J25" s="217" t="s">
        <v>584</v>
      </c>
      <c r="K25" s="189" t="s">
        <v>199</v>
      </c>
      <c r="L25" s="190" t="s">
        <v>553</v>
      </c>
      <c r="M25" s="1510" t="s">
        <v>585</v>
      </c>
      <c r="O25" s="480"/>
    </row>
    <row r="26" spans="1:19" ht="15.75" customHeight="1" thickBot="1">
      <c r="A26" s="74">
        <v>19</v>
      </c>
      <c r="B26" s="200" t="s">
        <v>586</v>
      </c>
      <c r="C26" s="222"/>
      <c r="D26" s="223"/>
      <c r="E26" s="216" t="s">
        <v>200</v>
      </c>
      <c r="F26" s="216"/>
      <c r="G26" s="280"/>
      <c r="H26" s="199" t="s">
        <v>51</v>
      </c>
      <c r="I26" s="366" t="s">
        <v>51</v>
      </c>
      <c r="J26" s="224" t="s">
        <v>587</v>
      </c>
      <c r="K26" s="189" t="s">
        <v>200</v>
      </c>
      <c r="L26" s="190" t="s">
        <v>535</v>
      </c>
      <c r="M26" s="1511"/>
      <c r="O26" s="481"/>
    </row>
    <row r="27" spans="1:19" ht="25.9" thickBot="1">
      <c r="A27" s="74">
        <v>20</v>
      </c>
      <c r="B27" s="200" t="s">
        <v>588</v>
      </c>
      <c r="C27" s="222"/>
      <c r="D27" s="223"/>
      <c r="E27" s="216" t="s">
        <v>535</v>
      </c>
      <c r="F27" s="216" t="s">
        <v>515</v>
      </c>
      <c r="G27" s="276"/>
      <c r="H27" s="368" t="s">
        <v>51</v>
      </c>
      <c r="I27" s="366" t="s">
        <v>51</v>
      </c>
      <c r="J27" s="224" t="s">
        <v>589</v>
      </c>
      <c r="K27" s="191" t="s">
        <v>590</v>
      </c>
      <c r="L27" s="192" t="s">
        <v>200</v>
      </c>
      <c r="M27" s="1511"/>
      <c r="O27" s="482"/>
    </row>
    <row r="28" spans="1:19" ht="13.15" thickBot="1">
      <c r="A28" s="74">
        <v>21</v>
      </c>
      <c r="B28" s="200" t="s">
        <v>591</v>
      </c>
      <c r="C28" s="222"/>
      <c r="D28" s="223"/>
      <c r="E28" s="216" t="s">
        <v>553</v>
      </c>
      <c r="F28" s="216" t="s">
        <v>515</v>
      </c>
      <c r="G28" s="280"/>
      <c r="H28" s="199" t="s">
        <v>51</v>
      </c>
      <c r="I28" s="366" t="s">
        <v>51</v>
      </c>
      <c r="J28" s="217" t="s">
        <v>51</v>
      </c>
      <c r="K28" s="193" t="s">
        <v>592</v>
      </c>
      <c r="L28" s="194" t="s">
        <v>593</v>
      </c>
      <c r="M28" s="1512"/>
    </row>
    <row r="29" spans="1:19" ht="25.9" thickBot="1">
      <c r="A29" s="74">
        <v>22</v>
      </c>
      <c r="B29" s="200" t="s">
        <v>594</v>
      </c>
      <c r="C29" s="222"/>
      <c r="D29" s="223"/>
      <c r="E29" s="216" t="s">
        <v>535</v>
      </c>
      <c r="F29" s="216" t="s">
        <v>515</v>
      </c>
      <c r="G29" s="276"/>
      <c r="H29" s="199" t="s">
        <v>51</v>
      </c>
      <c r="I29" s="366" t="s">
        <v>51</v>
      </c>
      <c r="J29" s="217" t="s">
        <v>595</v>
      </c>
    </row>
    <row r="30" spans="1:19" ht="26.25" customHeight="1" thickBot="1">
      <c r="A30" s="74">
        <v>23</v>
      </c>
      <c r="B30" s="200" t="s">
        <v>596</v>
      </c>
      <c r="C30" s="222"/>
      <c r="D30" s="223"/>
      <c r="E30" s="216" t="s">
        <v>535</v>
      </c>
      <c r="F30" s="216"/>
      <c r="G30" s="280"/>
      <c r="H30" s="199" t="s">
        <v>51</v>
      </c>
      <c r="I30" s="366" t="s">
        <v>51</v>
      </c>
      <c r="J30" s="224" t="s">
        <v>597</v>
      </c>
    </row>
    <row r="31" spans="1:19" ht="20.25" customHeight="1" thickBot="1">
      <c r="A31" s="74">
        <v>24</v>
      </c>
      <c r="B31" s="225" t="s">
        <v>598</v>
      </c>
      <c r="C31" s="222"/>
      <c r="D31" s="223"/>
      <c r="E31" s="216" t="s">
        <v>553</v>
      </c>
      <c r="F31" s="216" t="s">
        <v>515</v>
      </c>
      <c r="G31" s="280"/>
      <c r="H31" s="199" t="s">
        <v>51</v>
      </c>
      <c r="I31" s="366" t="s">
        <v>51</v>
      </c>
      <c r="J31" s="215" t="s">
        <v>51</v>
      </c>
      <c r="L31" s="443"/>
    </row>
    <row r="32" spans="1:19" ht="13.5" customHeight="1" thickBot="1">
      <c r="A32" s="74">
        <v>25</v>
      </c>
      <c r="B32" s="200" t="s">
        <v>599</v>
      </c>
      <c r="C32" s="222"/>
      <c r="D32" s="216" t="s">
        <v>515</v>
      </c>
      <c r="E32" s="216" t="s">
        <v>200</v>
      </c>
      <c r="F32" s="216" t="s">
        <v>515</v>
      </c>
      <c r="G32" s="280"/>
      <c r="H32" s="199" t="s">
        <v>51</v>
      </c>
      <c r="I32" s="366" t="s">
        <v>51</v>
      </c>
      <c r="J32" s="217" t="s">
        <v>600</v>
      </c>
      <c r="L32" s="444"/>
    </row>
    <row r="33" spans="1:27" ht="13.5" customHeight="1" thickBot="1">
      <c r="A33" s="74">
        <v>26</v>
      </c>
      <c r="B33" s="200" t="s">
        <v>601</v>
      </c>
      <c r="C33" s="222"/>
      <c r="D33" s="216" t="s">
        <v>515</v>
      </c>
      <c r="E33" s="216" t="s">
        <v>200</v>
      </c>
      <c r="F33" s="216" t="s">
        <v>515</v>
      </c>
      <c r="G33" s="280"/>
      <c r="H33" s="199" t="s">
        <v>51</v>
      </c>
      <c r="I33" s="366" t="s">
        <v>51</v>
      </c>
      <c r="J33" s="217" t="s">
        <v>51</v>
      </c>
      <c r="L33" s="277"/>
      <c r="N33" s="277"/>
    </row>
    <row r="34" spans="1:27" ht="13.5" customHeight="1" thickBot="1">
      <c r="A34" s="74">
        <v>27</v>
      </c>
      <c r="B34" s="200" t="s">
        <v>602</v>
      </c>
      <c r="C34" s="222"/>
      <c r="D34" s="226" t="s">
        <v>512</v>
      </c>
      <c r="E34" s="216" t="s">
        <v>535</v>
      </c>
      <c r="F34" s="216" t="s">
        <v>515</v>
      </c>
      <c r="G34" s="280"/>
      <c r="H34" s="199" t="s">
        <v>51</v>
      </c>
      <c r="I34" s="366" t="s">
        <v>51</v>
      </c>
      <c r="J34" s="1208" t="s">
        <v>51</v>
      </c>
      <c r="K34" s="1207"/>
      <c r="L34" s="278"/>
      <c r="N34" s="278"/>
    </row>
    <row r="35" spans="1:27">
      <c r="B35" s="81"/>
      <c r="C35" s="81"/>
      <c r="D35" s="81"/>
      <c r="E35" s="81"/>
      <c r="F35" s="81"/>
      <c r="G35" s="81"/>
      <c r="H35" s="367"/>
      <c r="I35" s="367"/>
      <c r="J35" s="81"/>
      <c r="T35" s="82"/>
    </row>
    <row r="36" spans="1:27" ht="17.649999999999999">
      <c r="B36" s="83"/>
      <c r="T36" s="82"/>
    </row>
    <row r="37" spans="1:27">
      <c r="K37"/>
      <c r="T37" s="82"/>
    </row>
    <row r="38" spans="1:27">
      <c r="C38"/>
      <c r="D38"/>
      <c r="E38"/>
      <c r="F38"/>
      <c r="G38"/>
      <c r="H38" s="369"/>
      <c r="I38" s="369"/>
      <c r="J38"/>
      <c r="K38"/>
      <c r="L38"/>
      <c r="M38"/>
      <c r="N38"/>
      <c r="O38"/>
      <c r="P38"/>
      <c r="Q38"/>
      <c r="R38"/>
      <c r="S38"/>
      <c r="T38"/>
      <c r="U38"/>
      <c r="V38"/>
      <c r="W38"/>
      <c r="X38"/>
      <c r="Y38"/>
      <c r="Z38"/>
      <c r="AA38"/>
    </row>
    <row r="39" spans="1:27">
      <c r="C39"/>
      <c r="D39"/>
      <c r="E39"/>
      <c r="F39"/>
      <c r="G39"/>
      <c r="H39" s="369"/>
      <c r="I39" s="369"/>
      <c r="J39"/>
      <c r="M39"/>
      <c r="N39"/>
      <c r="O39"/>
      <c r="P39"/>
      <c r="Q39"/>
      <c r="R39"/>
      <c r="S39"/>
      <c r="T39"/>
      <c r="U39"/>
      <c r="V39"/>
      <c r="W39"/>
      <c r="X39"/>
      <c r="Y39"/>
      <c r="Z39"/>
      <c r="AA39"/>
    </row>
    <row r="54" spans="14:19">
      <c r="N54" s="1506"/>
      <c r="O54" s="1506"/>
      <c r="P54" s="1506"/>
      <c r="Q54" s="1506"/>
      <c r="R54" s="1506"/>
      <c r="S54" s="1506"/>
    </row>
    <row r="55" spans="14:19">
      <c r="O55" s="370"/>
      <c r="P55" s="370"/>
      <c r="Q55" s="370"/>
      <c r="R55" s="370"/>
      <c r="S55" s="370"/>
    </row>
    <row r="56" spans="14:19">
      <c r="N56" s="371"/>
      <c r="O56" s="371"/>
      <c r="P56" s="371"/>
      <c r="Q56" s="371"/>
      <c r="R56" s="371"/>
      <c r="S56" s="371"/>
    </row>
    <row r="57" spans="14:19">
      <c r="N57" s="371"/>
      <c r="O57" s="371"/>
      <c r="P57" s="371"/>
      <c r="Q57" s="371"/>
      <c r="R57" s="371"/>
      <c r="S57" s="371"/>
    </row>
    <row r="58" spans="14:19">
      <c r="N58" s="371"/>
      <c r="O58" s="371"/>
      <c r="P58" s="371"/>
      <c r="Q58" s="371"/>
      <c r="R58" s="371"/>
      <c r="S58" s="371"/>
    </row>
    <row r="59" spans="14:19">
      <c r="N59" s="371"/>
      <c r="O59" s="371"/>
      <c r="P59" s="371"/>
      <c r="Q59" s="371"/>
      <c r="R59" s="371"/>
      <c r="S59" s="371"/>
    </row>
    <row r="60" spans="14:19">
      <c r="N60" s="371"/>
      <c r="O60" s="371"/>
      <c r="P60" s="371"/>
      <c r="Q60" s="371"/>
      <c r="R60" s="371"/>
      <c r="S60" s="371"/>
    </row>
    <row r="61" spans="14:19">
      <c r="N61" s="371"/>
      <c r="O61" s="371"/>
      <c r="P61" s="371"/>
      <c r="Q61" s="371"/>
      <c r="R61" s="371"/>
      <c r="S61" s="371"/>
    </row>
    <row r="62" spans="14:19">
      <c r="N62" s="371"/>
      <c r="O62" s="371"/>
      <c r="P62" s="371"/>
      <c r="Q62" s="371"/>
      <c r="R62" s="371"/>
      <c r="S62" s="371"/>
    </row>
    <row r="63" spans="14:19">
      <c r="N63" s="371"/>
      <c r="O63" s="371"/>
      <c r="P63" s="371"/>
      <c r="Q63" s="371"/>
      <c r="R63" s="371"/>
      <c r="S63" s="371"/>
    </row>
    <row r="64" spans="14:19">
      <c r="N64" s="371"/>
      <c r="O64" s="371"/>
      <c r="P64" s="371"/>
      <c r="Q64" s="371"/>
      <c r="R64" s="371"/>
      <c r="S64" s="371"/>
    </row>
    <row r="65" spans="14:19">
      <c r="N65" s="371"/>
      <c r="O65" s="371"/>
      <c r="P65" s="371"/>
      <c r="Q65" s="371"/>
      <c r="R65" s="371"/>
      <c r="S65" s="371"/>
    </row>
    <row r="66" spans="14:19">
      <c r="N66" s="1503"/>
      <c r="O66" s="1503"/>
      <c r="P66" s="1503"/>
      <c r="Q66" s="1503"/>
      <c r="R66" s="1503"/>
      <c r="S66" s="1503"/>
    </row>
    <row r="67" spans="14:19">
      <c r="N67" s="371"/>
      <c r="O67" s="371"/>
      <c r="P67" s="371"/>
      <c r="Q67" s="371"/>
      <c r="R67" s="371"/>
      <c r="S67" s="371"/>
    </row>
    <row r="68" spans="14:19">
      <c r="N68" s="371"/>
      <c r="O68" s="371"/>
      <c r="P68" s="371"/>
      <c r="Q68" s="371"/>
      <c r="R68" s="371"/>
      <c r="S68" s="371"/>
    </row>
    <row r="69" spans="14:19">
      <c r="N69" s="371"/>
      <c r="O69" s="371"/>
      <c r="P69" s="371"/>
      <c r="Q69" s="371"/>
      <c r="R69" s="371"/>
      <c r="S69" s="371"/>
    </row>
    <row r="70" spans="14:19">
      <c r="N70" s="371"/>
      <c r="O70" s="371"/>
      <c r="P70" s="371"/>
      <c r="Q70" s="371"/>
      <c r="R70" s="371"/>
      <c r="S70" s="371"/>
    </row>
    <row r="71" spans="14:19">
      <c r="N71" s="371"/>
      <c r="O71" s="371"/>
      <c r="P71" s="371"/>
      <c r="Q71" s="371"/>
      <c r="R71" s="371"/>
      <c r="S71" s="371"/>
    </row>
    <row r="72" spans="14:19">
      <c r="N72" s="371"/>
      <c r="O72" s="371"/>
      <c r="P72" s="371"/>
      <c r="Q72" s="371"/>
      <c r="R72" s="371"/>
      <c r="S72" s="371"/>
    </row>
    <row r="73" spans="14:19">
      <c r="N73" s="371"/>
      <c r="O73" s="371"/>
      <c r="P73" s="371"/>
      <c r="Q73" s="371"/>
      <c r="R73" s="371"/>
      <c r="S73" s="371"/>
    </row>
    <row r="74" spans="14:19">
      <c r="N74" s="372"/>
      <c r="O74" s="371"/>
      <c r="P74" s="371"/>
      <c r="Q74" s="371"/>
      <c r="R74" s="371"/>
      <c r="S74" s="371"/>
    </row>
    <row r="75" spans="14:19">
      <c r="N75" s="372"/>
      <c r="O75" s="371"/>
      <c r="P75" s="371"/>
      <c r="Q75" s="371"/>
      <c r="R75" s="371"/>
      <c r="S75" s="371"/>
    </row>
    <row r="76" spans="14:19">
      <c r="N76" s="372"/>
      <c r="O76" s="371"/>
      <c r="P76" s="371"/>
      <c r="Q76" s="371"/>
      <c r="R76" s="371"/>
      <c r="S76" s="371"/>
    </row>
    <row r="77" spans="14:19">
      <c r="N77" s="371"/>
      <c r="O77" s="371"/>
      <c r="P77" s="371"/>
      <c r="Q77" s="371"/>
      <c r="R77" s="371"/>
      <c r="S77" s="371"/>
    </row>
    <row r="78" spans="14:19">
      <c r="N78" s="1503"/>
      <c r="O78" s="1503"/>
      <c r="P78" s="1503"/>
      <c r="Q78" s="1503"/>
      <c r="R78" s="1503"/>
      <c r="S78" s="1503"/>
    </row>
    <row r="79" spans="14:19">
      <c r="N79" s="371"/>
      <c r="O79" s="371"/>
      <c r="P79" s="371"/>
      <c r="Q79" s="371"/>
      <c r="R79" s="371"/>
      <c r="S79" s="371"/>
    </row>
    <row r="80" spans="14:19">
      <c r="N80" s="371"/>
      <c r="O80" s="371"/>
      <c r="P80" s="371"/>
      <c r="Q80" s="371"/>
      <c r="R80" s="371"/>
      <c r="S80" s="371"/>
    </row>
    <row r="81" spans="14:19">
      <c r="N81" s="371"/>
      <c r="O81" s="371"/>
      <c r="P81" s="371"/>
      <c r="Q81" s="371"/>
      <c r="R81" s="371"/>
      <c r="S81" s="371"/>
    </row>
    <row r="82" spans="14:19">
      <c r="N82" s="371"/>
      <c r="O82" s="371"/>
      <c r="P82" s="371"/>
      <c r="Q82" s="371"/>
      <c r="R82" s="371"/>
      <c r="S82" s="371"/>
    </row>
    <row r="83" spans="14:19">
      <c r="N83" s="371"/>
      <c r="O83" s="371"/>
      <c r="P83" s="371"/>
      <c r="Q83" s="371"/>
      <c r="R83" s="371"/>
      <c r="S83" s="371"/>
    </row>
    <row r="84" spans="14:19">
      <c r="N84" s="371"/>
      <c r="O84" s="371"/>
      <c r="P84" s="371"/>
      <c r="Q84" s="371"/>
      <c r="R84" s="371"/>
      <c r="S84" s="371"/>
    </row>
    <row r="85" spans="14:19">
      <c r="N85" s="371"/>
      <c r="O85" s="371"/>
      <c r="P85" s="371"/>
      <c r="Q85" s="371"/>
      <c r="R85" s="371"/>
      <c r="S85" s="371"/>
    </row>
    <row r="86" spans="14:19">
      <c r="N86" s="372"/>
      <c r="O86" s="371"/>
      <c r="P86" s="371"/>
      <c r="Q86" s="371"/>
      <c r="R86" s="371"/>
      <c r="S86" s="371"/>
    </row>
    <row r="87" spans="14:19">
      <c r="N87" s="372"/>
      <c r="O87" s="371"/>
      <c r="P87" s="371"/>
      <c r="Q87" s="371"/>
      <c r="R87" s="371"/>
      <c r="S87" s="371"/>
    </row>
    <row r="88" spans="14:19">
      <c r="N88" s="372"/>
      <c r="O88" s="371"/>
      <c r="P88" s="371"/>
      <c r="Q88" s="371"/>
      <c r="R88" s="371"/>
      <c r="S88" s="371"/>
    </row>
    <row r="89" spans="14:19">
      <c r="N89" s="371"/>
      <c r="O89" s="371"/>
      <c r="P89" s="371"/>
      <c r="Q89" s="371"/>
      <c r="R89" s="371"/>
      <c r="S89" s="371"/>
    </row>
    <row r="90" spans="14:19">
      <c r="N90" s="1503"/>
      <c r="O90" s="1503"/>
      <c r="P90" s="1503"/>
      <c r="Q90" s="1503"/>
      <c r="R90" s="1503"/>
      <c r="S90" s="1503"/>
    </row>
    <row r="91" spans="14:19">
      <c r="N91" s="371"/>
      <c r="O91" s="371"/>
      <c r="P91" s="371"/>
      <c r="Q91" s="371"/>
      <c r="R91" s="371"/>
      <c r="S91" s="371"/>
    </row>
    <row r="92" spans="14:19">
      <c r="N92" s="372"/>
      <c r="O92" s="371"/>
      <c r="P92" s="371"/>
      <c r="Q92" s="371"/>
      <c r="R92" s="371"/>
      <c r="S92" s="371"/>
    </row>
    <row r="93" spans="14:19">
      <c r="N93" s="372"/>
      <c r="O93" s="371"/>
      <c r="P93" s="371"/>
      <c r="Q93" s="371"/>
      <c r="R93" s="371"/>
      <c r="S93" s="371"/>
    </row>
    <row r="94" spans="14:19">
      <c r="N94" s="372"/>
      <c r="O94" s="371"/>
      <c r="P94" s="371"/>
      <c r="Q94" s="371"/>
      <c r="R94" s="371"/>
      <c r="S94" s="371"/>
    </row>
    <row r="95" spans="14:19">
      <c r="N95" s="372"/>
      <c r="O95" s="371"/>
      <c r="P95" s="371"/>
      <c r="Q95" s="371"/>
      <c r="R95" s="371"/>
      <c r="S95" s="371"/>
    </row>
    <row r="96" spans="14:19">
      <c r="N96" s="372"/>
      <c r="O96" s="371"/>
      <c r="P96" s="371"/>
      <c r="Q96" s="371"/>
      <c r="R96" s="371"/>
      <c r="S96" s="371"/>
    </row>
    <row r="97" spans="14:19">
      <c r="N97" s="372"/>
      <c r="O97" s="371"/>
      <c r="P97" s="371"/>
      <c r="Q97" s="371"/>
      <c r="R97" s="371"/>
      <c r="S97" s="371"/>
    </row>
    <row r="98" spans="14:19">
      <c r="N98" s="372"/>
      <c r="O98" s="371"/>
      <c r="P98" s="371"/>
      <c r="Q98" s="371"/>
      <c r="R98" s="371"/>
      <c r="S98" s="371"/>
    </row>
    <row r="99" spans="14:19">
      <c r="N99" s="372"/>
      <c r="O99" s="371"/>
      <c r="P99" s="371"/>
      <c r="Q99" s="371"/>
      <c r="R99" s="371"/>
      <c r="S99" s="371"/>
    </row>
    <row r="100" spans="14:19">
      <c r="N100" s="372"/>
      <c r="O100" s="371"/>
      <c r="P100" s="371"/>
      <c r="Q100" s="371"/>
      <c r="R100" s="371"/>
      <c r="S100" s="371"/>
    </row>
  </sheetData>
  <mergeCells count="8">
    <mergeCell ref="N90:S90"/>
    <mergeCell ref="B3:J3"/>
    <mergeCell ref="K3:Q3"/>
    <mergeCell ref="N54:S54"/>
    <mergeCell ref="N66:S66"/>
    <mergeCell ref="N78:S78"/>
    <mergeCell ref="K23:M23"/>
    <mergeCell ref="M25:M28"/>
  </mergeCells>
  <conditionalFormatting sqref="C10:G10">
    <cfRule type="expression" dxfId="30" priority="20">
      <formula>$C$10="Low"</formula>
    </cfRule>
  </conditionalFormatting>
  <conditionalFormatting sqref="D6:F6 H6:J6 H24:H26 H28:H34">
    <cfRule type="expression" dxfId="29" priority="37">
      <formula>$C$6="Low"</formula>
    </cfRule>
  </conditionalFormatting>
  <conditionalFormatting sqref="D7:G7 J7">
    <cfRule type="expression" dxfId="28" priority="36">
      <formula>$C$7="Low"</formula>
    </cfRule>
  </conditionalFormatting>
  <conditionalFormatting sqref="D8:G8 J8">
    <cfRule type="expression" dxfId="27" priority="35">
      <formula>$C$8="Low"</formula>
    </cfRule>
  </conditionalFormatting>
  <conditionalFormatting sqref="D9:G9 J9:J10">
    <cfRule type="expression" dxfId="26" priority="34">
      <formula>$C$9="Low"</formula>
    </cfRule>
  </conditionalFormatting>
  <conditionalFormatting sqref="D12:G12 J12">
    <cfRule type="expression" dxfId="25" priority="32">
      <formula>$C$12="Low"</formula>
    </cfRule>
  </conditionalFormatting>
  <conditionalFormatting sqref="D13:G13 J13">
    <cfRule type="expression" dxfId="24" priority="31">
      <formula>$C$13="Low"</formula>
    </cfRule>
  </conditionalFormatting>
  <conditionalFormatting sqref="D14:G14 J14">
    <cfRule type="expression" dxfId="23" priority="30">
      <formula>$C$14="Low"</formula>
    </cfRule>
  </conditionalFormatting>
  <conditionalFormatting sqref="D16:G16 I16:J16">
    <cfRule type="expression" dxfId="22" priority="28">
      <formula>$C$16="Low"</formula>
    </cfRule>
  </conditionalFormatting>
  <conditionalFormatting sqref="D17:G17 J17">
    <cfRule type="expression" dxfId="21" priority="27">
      <formula>$C$17="Low"</formula>
    </cfRule>
  </conditionalFormatting>
  <conditionalFormatting sqref="D19:G19 J20">
    <cfRule type="expression" dxfId="20" priority="25">
      <formula>$C$19="Low"</formula>
    </cfRule>
  </conditionalFormatting>
  <conditionalFormatting sqref="D21:G21 J21">
    <cfRule type="expression" dxfId="19" priority="23">
      <formula>$C$21="Low"</formula>
    </cfRule>
  </conditionalFormatting>
  <conditionalFormatting sqref="D15:J15">
    <cfRule type="expression" dxfId="18" priority="29">
      <formula>$C$15="Low"</formula>
    </cfRule>
  </conditionalFormatting>
  <conditionalFormatting sqref="D18:J18">
    <cfRule type="expression" dxfId="17" priority="26">
      <formula>$C$18="Low"</formula>
    </cfRule>
  </conditionalFormatting>
  <conditionalFormatting sqref="D20:J20">
    <cfRule type="expression" dxfId="16" priority="24">
      <formula>$C$20="Low"</formula>
    </cfRule>
  </conditionalFormatting>
  <conditionalFormatting sqref="D22:J22">
    <cfRule type="expression" dxfId="15" priority="22">
      <formula>$C$22="Low"</formula>
    </cfRule>
  </conditionalFormatting>
  <conditionalFormatting sqref="G6">
    <cfRule type="expression" dxfId="14" priority="18">
      <formula>$C$7="Low"</formula>
    </cfRule>
  </conditionalFormatting>
  <conditionalFormatting sqref="H16:H17">
    <cfRule type="expression" dxfId="13" priority="7">
      <formula>$C$6="Low"</formula>
    </cfRule>
  </conditionalFormatting>
  <conditionalFormatting sqref="H19">
    <cfRule type="expression" dxfId="12" priority="6">
      <formula>$C$6="Low"</formula>
    </cfRule>
  </conditionalFormatting>
  <conditionalFormatting sqref="H21">
    <cfRule type="expression" dxfId="11" priority="5">
      <formula>$C$6="Low"</formula>
    </cfRule>
  </conditionalFormatting>
  <conditionalFormatting sqref="H7:I10">
    <cfRule type="expression" dxfId="10" priority="1">
      <formula>$C$6="Low"</formula>
    </cfRule>
  </conditionalFormatting>
  <conditionalFormatting sqref="H12:I14">
    <cfRule type="expression" dxfId="9" priority="8">
      <formula>$C$6="Low"</formula>
    </cfRule>
  </conditionalFormatting>
  <conditionalFormatting sqref="I17">
    <cfRule type="expression" dxfId="8" priority="12">
      <formula>$C$16="Low"</formula>
    </cfRule>
  </conditionalFormatting>
  <conditionalFormatting sqref="I19">
    <cfRule type="expression" dxfId="7" priority="11">
      <formula>$C$16="Low"</formula>
    </cfRule>
  </conditionalFormatting>
  <conditionalFormatting sqref="I21">
    <cfRule type="expression" dxfId="6" priority="10">
      <formula>$C$16="Low"</formula>
    </cfRule>
  </conditionalFormatting>
  <conditionalFormatting sqref="I24:I34">
    <cfRule type="expression" dxfId="5" priority="9">
      <formula>$C$16="Low"</formula>
    </cfRule>
  </conditionalFormatting>
  <conditionalFormatting sqref="J19">
    <cfRule type="expression" dxfId="4" priority="3">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100"/>
  <sheetViews>
    <sheetView zoomScale="82" zoomScaleNormal="78" workbookViewId="0">
      <selection activeCell="B20" sqref="B20"/>
    </sheetView>
  </sheetViews>
  <sheetFormatPr defaultColWidth="11.265625" defaultRowHeight="12.75"/>
  <cols>
    <col min="1" max="1" width="36" style="10" customWidth="1"/>
    <col min="2" max="10" width="12.265625" style="44" customWidth="1"/>
    <col min="11" max="12" width="12.265625" style="51" customWidth="1"/>
    <col min="13" max="13" width="12" style="51" bestFit="1" customWidth="1"/>
    <col min="14" max="16384" width="11.265625" style="43"/>
  </cols>
  <sheetData>
    <row r="1" spans="1:25" ht="15">
      <c r="A1" s="1514" t="str">
        <f>Inputs!H3</f>
        <v>Paylocity Holding Corp (NASDAQ: PCTY)</v>
      </c>
      <c r="B1" s="1514"/>
      <c r="C1" s="1514"/>
      <c r="D1" s="1514"/>
      <c r="E1" s="1514"/>
      <c r="F1" s="1514"/>
      <c r="G1" s="1514"/>
      <c r="H1" s="1514"/>
      <c r="I1" s="1514"/>
      <c r="J1" s="1514"/>
      <c r="K1" s="1514"/>
      <c r="L1" s="1514"/>
      <c r="M1" s="1514"/>
    </row>
    <row r="2" spans="1:25" ht="11.65">
      <c r="A2" s="1515" t="str">
        <f>Inputs!G2</f>
        <v>Figures in Thousands of USD</v>
      </c>
      <c r="B2" s="1515"/>
      <c r="C2" s="1515"/>
      <c r="D2" s="1515"/>
      <c r="E2" s="1515"/>
      <c r="F2" s="1515"/>
      <c r="G2" s="1515"/>
      <c r="H2" s="1515"/>
      <c r="I2" s="1515"/>
      <c r="J2" s="1515"/>
      <c r="K2" s="1515"/>
      <c r="L2" s="1515"/>
      <c r="M2" s="1515"/>
    </row>
    <row r="3" spans="1:25" ht="20.65">
      <c r="A3" s="1513" t="s">
        <v>603</v>
      </c>
      <c r="B3" s="1513"/>
      <c r="C3" s="1513"/>
      <c r="D3" s="1513"/>
      <c r="E3" s="1513"/>
      <c r="F3" s="1513"/>
      <c r="G3" s="1513"/>
      <c r="H3" s="1513"/>
      <c r="I3" s="1513"/>
      <c r="J3" s="1513"/>
      <c r="K3" s="1513"/>
      <c r="L3" s="1513"/>
      <c r="M3" s="1513"/>
    </row>
    <row r="4" spans="1:25">
      <c r="A4" s="115"/>
      <c r="B4" s="54">
        <v>2024</v>
      </c>
      <c r="C4" s="45">
        <f>B4-1</f>
        <v>2023</v>
      </c>
      <c r="D4" s="45">
        <f t="shared" ref="D4:M4" si="0">C4-1</f>
        <v>2022</v>
      </c>
      <c r="E4" s="45">
        <f t="shared" si="0"/>
        <v>2021</v>
      </c>
      <c r="F4" s="45">
        <f t="shared" si="0"/>
        <v>2020</v>
      </c>
      <c r="G4" s="45">
        <f t="shared" si="0"/>
        <v>2019</v>
      </c>
      <c r="H4" s="45">
        <f t="shared" si="0"/>
        <v>2018</v>
      </c>
      <c r="I4" s="45">
        <f t="shared" si="0"/>
        <v>2017</v>
      </c>
      <c r="J4" s="45">
        <f>I4-1</f>
        <v>2016</v>
      </c>
      <c r="K4" s="45">
        <f t="shared" si="0"/>
        <v>2015</v>
      </c>
      <c r="L4" s="45">
        <f t="shared" si="0"/>
        <v>2014</v>
      </c>
      <c r="M4" s="45">
        <f t="shared" si="0"/>
        <v>2013</v>
      </c>
    </row>
    <row r="5" spans="1:25">
      <c r="A5" s="116" t="s">
        <v>123</v>
      </c>
      <c r="B5" s="55">
        <f>_xlfn.XLOOKUP($A5,Inputs!$A:$A,Inputs!B:B,,0)</f>
        <v>1402515</v>
      </c>
      <c r="C5" s="55">
        <f>_xlfn.XLOOKUP($A5,Inputs!$A:$A,Inputs!C:C,,0)</f>
        <v>1174598</v>
      </c>
      <c r="D5" s="55">
        <f>_xlfn.XLOOKUP($A5,Inputs!$A:$A,Inputs!D:D,,0)</f>
        <v>852651</v>
      </c>
      <c r="E5" s="55">
        <f>_xlfn.XLOOKUP($A5,Inputs!$A:$A,Inputs!E:E,,0)</f>
        <v>635627</v>
      </c>
      <c r="F5" s="55">
        <f>_xlfn.XLOOKUP($A5,Inputs!$A:$A,Inputs!F:F,,0)</f>
        <v>561329</v>
      </c>
      <c r="G5" s="55">
        <f>_xlfn.XLOOKUP($A5,Inputs!$A:$A,Inputs!G:G,,0)</f>
        <v>467633</v>
      </c>
      <c r="H5" s="55">
        <f>_xlfn.XLOOKUP($A5,Inputs!$A:$A,Inputs!H:H,,0)</f>
        <v>377527</v>
      </c>
      <c r="I5" s="55">
        <f>_xlfn.XLOOKUP($A5,Inputs!$A:$A,Inputs!I:I,,0)</f>
        <v>300010</v>
      </c>
      <c r="J5" s="55">
        <f>_xlfn.XLOOKUP($A5,Inputs!$A:$A,Inputs!J:J,,0)</f>
        <v>230701</v>
      </c>
      <c r="K5" s="55">
        <f>_xlfn.XLOOKUP($A5,Inputs!$A:$A,Inputs!K:K,,0)</f>
        <v>152698</v>
      </c>
      <c r="L5" s="55">
        <f>_xlfn.XLOOKUP($A5,Inputs!$A:$A,Inputs!L:L,,0)</f>
        <v>108687</v>
      </c>
      <c r="M5" s="56">
        <f>_xlfn.XLOOKUP($A5,Inputs!$A:$A,Inputs!M:M,,0)</f>
        <v>77294</v>
      </c>
    </row>
    <row r="6" spans="1:25" ht="13.15">
      <c r="A6" s="117" t="s">
        <v>604</v>
      </c>
      <c r="B6" s="57">
        <f t="shared" ref="B6:L6" si="1">IFERROR(B5/C5-1,"-")</f>
        <v>0.19403830076332507</v>
      </c>
      <c r="C6" s="57">
        <f t="shared" si="1"/>
        <v>0.37758355997940551</v>
      </c>
      <c r="D6" s="57">
        <f t="shared" si="1"/>
        <v>0.34143294731029372</v>
      </c>
      <c r="E6" s="57">
        <f t="shared" si="1"/>
        <v>0.1323608792704456</v>
      </c>
      <c r="F6" s="57">
        <f t="shared" si="1"/>
        <v>0.20036224988399032</v>
      </c>
      <c r="G6" s="57">
        <f t="shared" si="1"/>
        <v>0.23867431998241195</v>
      </c>
      <c r="H6" s="57">
        <f t="shared" si="1"/>
        <v>0.25838138728709037</v>
      </c>
      <c r="I6" s="57">
        <f t="shared" si="1"/>
        <v>0.30042782649403343</v>
      </c>
      <c r="J6" s="57">
        <f t="shared" si="1"/>
        <v>0.51083183800704668</v>
      </c>
      <c r="K6" s="57">
        <f t="shared" si="1"/>
        <v>0.40493343270124305</v>
      </c>
      <c r="L6" s="57">
        <f t="shared" si="1"/>
        <v>0.40615054208606094</v>
      </c>
      <c r="M6" s="58" t="str">
        <f>IFERROR(M5/#REF!-1,"-")</f>
        <v>-</v>
      </c>
      <c r="N6" s="354"/>
    </row>
    <row r="7" spans="1:25">
      <c r="A7" s="116" t="s">
        <v>605</v>
      </c>
      <c r="B7" s="55">
        <f>_xlfn.XLOOKUP($A7,Inputs!$A:$A,Inputs!B:B,,0)</f>
        <v>960786</v>
      </c>
      <c r="C7" s="55">
        <f>_xlfn.XLOOKUP($A7,Inputs!$A:$A,Inputs!C:C,,0)</f>
        <v>807559</v>
      </c>
      <c r="D7" s="55">
        <f>_xlfn.XLOOKUP($A7,Inputs!$A:$A,Inputs!D:D,,0)</f>
        <v>565649</v>
      </c>
      <c r="E7" s="55">
        <f>_xlfn.XLOOKUP($A7,Inputs!$A:$A,Inputs!E:E,,0)</f>
        <v>416329</v>
      </c>
      <c r="F7" s="55">
        <f>_xlfn.XLOOKUP($A7,Inputs!$A:$A,Inputs!F:F,,0)</f>
        <v>379319</v>
      </c>
      <c r="G7" s="55">
        <f>_xlfn.XLOOKUP($A7,Inputs!$A:$A,Inputs!G:G,,0)</f>
        <v>313782</v>
      </c>
      <c r="H7" s="55">
        <f>_xlfn.XLOOKUP($A7,Inputs!$A:$A,Inputs!H:H,,0)</f>
        <v>228330</v>
      </c>
      <c r="I7" s="55">
        <f>_xlfn.XLOOKUP($A7,Inputs!$A:$A,Inputs!I:I,,0)</f>
        <v>176023</v>
      </c>
      <c r="J7" s="55">
        <f>_xlfn.XLOOKUP($A7,Inputs!$A:$A,Inputs!J:J,,0)</f>
        <v>132616</v>
      </c>
      <c r="K7" s="55">
        <f>_xlfn.XLOOKUP($A7,Inputs!$A:$A,Inputs!K:K,,0)</f>
        <v>81802</v>
      </c>
      <c r="L7" s="55">
        <f>_xlfn.XLOOKUP($A7,Inputs!$A:$A,Inputs!L:L,,0)</f>
        <v>53593</v>
      </c>
      <c r="M7" s="56">
        <f>_xlfn.XLOOKUP($A7,Inputs!$A:$A,Inputs!M:M,,0)</f>
        <v>37628</v>
      </c>
    </row>
    <row r="8" spans="1:25" ht="13.15">
      <c r="A8" s="117" t="s">
        <v>606</v>
      </c>
      <c r="B8" s="57">
        <f>IFERROR(B7/B$5,"-")</f>
        <v>0.68504507973176754</v>
      </c>
      <c r="C8" s="57">
        <f t="shared" ref="C8:M8" si="2">IFERROR(C7/C$5,"-")</f>
        <v>0.68751947474795627</v>
      </c>
      <c r="D8" s="57">
        <f t="shared" si="2"/>
        <v>0.66340038304065785</v>
      </c>
      <c r="E8" s="57">
        <f t="shared" si="2"/>
        <v>0.65498948282561942</v>
      </c>
      <c r="F8" s="57">
        <f t="shared" si="2"/>
        <v>0.67575165366478485</v>
      </c>
      <c r="G8" s="57">
        <f t="shared" si="2"/>
        <v>0.67100054957627031</v>
      </c>
      <c r="H8" s="57">
        <f t="shared" si="2"/>
        <v>0.60480442458420192</v>
      </c>
      <c r="I8" s="57">
        <f t="shared" si="2"/>
        <v>0.58672377587413749</v>
      </c>
      <c r="J8" s="57">
        <f t="shared" si="2"/>
        <v>0.57483929415130408</v>
      </c>
      <c r="K8" s="57">
        <f t="shared" si="2"/>
        <v>0.53571101127716148</v>
      </c>
      <c r="L8" s="57">
        <f t="shared" si="2"/>
        <v>0.49309485035008788</v>
      </c>
      <c r="M8" s="58">
        <f t="shared" si="2"/>
        <v>0.48681657049706317</v>
      </c>
    </row>
    <row r="9" spans="1:25">
      <c r="A9" s="116" t="s">
        <v>331</v>
      </c>
      <c r="B9" s="55">
        <f t="shared" ref="B9:M9" si="3">B5-B11</f>
        <v>1142422</v>
      </c>
      <c r="C9" s="55">
        <f t="shared" si="3"/>
        <v>1019572</v>
      </c>
      <c r="D9" s="55">
        <f t="shared" si="3"/>
        <v>768057</v>
      </c>
      <c r="E9" s="55">
        <f t="shared" si="3"/>
        <v>577584</v>
      </c>
      <c r="F9" s="55">
        <f t="shared" si="3"/>
        <v>495158</v>
      </c>
      <c r="G9" s="55">
        <f t="shared" si="3"/>
        <v>411409</v>
      </c>
      <c r="H9" s="55">
        <f t="shared" si="3"/>
        <v>361578</v>
      </c>
      <c r="I9" s="55">
        <f t="shared" si="3"/>
        <v>292714</v>
      </c>
      <c r="J9" s="55">
        <f t="shared" si="3"/>
        <v>234251</v>
      </c>
      <c r="K9" s="55">
        <f t="shared" si="3"/>
        <v>166619</v>
      </c>
      <c r="L9" s="55">
        <f t="shared" si="3"/>
        <v>115705</v>
      </c>
      <c r="M9" s="56">
        <f t="shared" si="3"/>
        <v>77263</v>
      </c>
    </row>
    <row r="10" spans="1:25" ht="13.15">
      <c r="A10" s="117" t="s">
        <v>606</v>
      </c>
      <c r="B10" s="57">
        <f>IFERROR(B9/B$5,"-")</f>
        <v>0.81455242902927949</v>
      </c>
      <c r="C10" s="57">
        <f t="shared" ref="C10:M10" si="4">IFERROR(C9/C$5,"-")</f>
        <v>0.86801782397041372</v>
      </c>
      <c r="D10" s="57">
        <f t="shared" si="4"/>
        <v>0.90078707466478081</v>
      </c>
      <c r="E10" s="57">
        <f t="shared" si="4"/>
        <v>0.90868386648144273</v>
      </c>
      <c r="F10" s="57">
        <f t="shared" si="4"/>
        <v>0.88211726100023335</v>
      </c>
      <c r="G10" s="57">
        <f t="shared" si="4"/>
        <v>0.87976896412357553</v>
      </c>
      <c r="H10" s="57">
        <f t="shared" si="4"/>
        <v>0.95775401494462653</v>
      </c>
      <c r="I10" s="57">
        <f t="shared" si="4"/>
        <v>0.97568081063964529</v>
      </c>
      <c r="J10" s="57">
        <f t="shared" si="4"/>
        <v>1.0153878830174121</v>
      </c>
      <c r="K10" s="57">
        <f t="shared" si="4"/>
        <v>1.0911668784136006</v>
      </c>
      <c r="L10" s="57">
        <f t="shared" si="4"/>
        <v>1.0645707398308906</v>
      </c>
      <c r="M10" s="58">
        <f t="shared" si="4"/>
        <v>0.99959893394053867</v>
      </c>
    </row>
    <row r="11" spans="1:25">
      <c r="A11" s="116" t="s">
        <v>287</v>
      </c>
      <c r="B11" s="55">
        <f>_xlfn.XLOOKUP($A11,Inputs!$A:$A,Inputs!B:B,,0)</f>
        <v>260093</v>
      </c>
      <c r="C11" s="55">
        <f>_xlfn.XLOOKUP($A11,Inputs!$A:$A,Inputs!C:C,,0)</f>
        <v>155026</v>
      </c>
      <c r="D11" s="55">
        <f>_xlfn.XLOOKUP($A11,Inputs!$A:$A,Inputs!D:D,,0)</f>
        <v>84594</v>
      </c>
      <c r="E11" s="55">
        <f>_xlfn.XLOOKUP($A11,Inputs!$A:$A,Inputs!E:E,,0)</f>
        <v>58043</v>
      </c>
      <c r="F11" s="55">
        <f>_xlfn.XLOOKUP($A11,Inputs!$A:$A,Inputs!F:F,,0)</f>
        <v>66171</v>
      </c>
      <c r="G11" s="55">
        <f>_xlfn.XLOOKUP($A11,Inputs!$A:$A,Inputs!G:G,,0)</f>
        <v>56224</v>
      </c>
      <c r="H11" s="55">
        <f>_xlfn.XLOOKUP($A11,Inputs!$A:$A,Inputs!H:H,,0)</f>
        <v>15949</v>
      </c>
      <c r="I11" s="55">
        <f>_xlfn.XLOOKUP($A11,Inputs!$A:$A,Inputs!I:I,,0)</f>
        <v>7296</v>
      </c>
      <c r="J11" s="55">
        <f>_xlfn.XLOOKUP($A11,Inputs!$A:$A,Inputs!J:J,,0)</f>
        <v>-3550</v>
      </c>
      <c r="K11" s="55">
        <f>_xlfn.XLOOKUP($A11,Inputs!$A:$A,Inputs!K:K,,0)</f>
        <v>-13921</v>
      </c>
      <c r="L11" s="55">
        <f>_xlfn.XLOOKUP($A11,Inputs!$A:$A,Inputs!L:L,,0)</f>
        <v>-7018</v>
      </c>
      <c r="M11" s="56">
        <f>_xlfn.XLOOKUP($A11,Inputs!$A:$A,Inputs!M:M,,0)</f>
        <v>31</v>
      </c>
    </row>
    <row r="12" spans="1:25" ht="13.15">
      <c r="A12" s="117" t="s">
        <v>124</v>
      </c>
      <c r="B12" s="57">
        <f>IFERROR(B11/B$5,"-")</f>
        <v>0.18544757097072045</v>
      </c>
      <c r="C12" s="57">
        <f t="shared" ref="C12:M12" si="5">IFERROR(C11/C$5,"-")</f>
        <v>0.13198217602958628</v>
      </c>
      <c r="D12" s="57">
        <f t="shared" si="5"/>
        <v>9.9212925335219221E-2</v>
      </c>
      <c r="E12" s="57">
        <f t="shared" si="5"/>
        <v>9.131613351855726E-2</v>
      </c>
      <c r="F12" s="57">
        <f t="shared" si="5"/>
        <v>0.11788273899976663</v>
      </c>
      <c r="G12" s="57">
        <f t="shared" si="5"/>
        <v>0.12023103587642446</v>
      </c>
      <c r="H12" s="57">
        <f t="shared" si="5"/>
        <v>4.2245985055373525E-2</v>
      </c>
      <c r="I12" s="57">
        <f t="shared" si="5"/>
        <v>2.4319189360354654E-2</v>
      </c>
      <c r="J12" s="57">
        <f t="shared" si="5"/>
        <v>-1.5387883017412148E-2</v>
      </c>
      <c r="K12" s="57">
        <f t="shared" si="5"/>
        <v>-9.1166878413600702E-2</v>
      </c>
      <c r="L12" s="57">
        <f t="shared" si="5"/>
        <v>-6.4570739830890539E-2</v>
      </c>
      <c r="M12" s="58">
        <f t="shared" si="5"/>
        <v>4.010660594612777E-4</v>
      </c>
    </row>
    <row r="13" spans="1:25" ht="13.15">
      <c r="A13" s="116" t="s">
        <v>607</v>
      </c>
      <c r="B13" s="57">
        <f t="shared" ref="B13" si="6">IFERROR(B12/C12-1,"-")</f>
        <v>0.40509557085305903</v>
      </c>
      <c r="C13" s="57">
        <f t="shared" ref="C13" si="7">IFERROR(C12/D12-1,"-")</f>
        <v>0.33029215279810353</v>
      </c>
      <c r="D13" s="57">
        <f t="shared" ref="D13" si="8">IFERROR(D12/E12-1,"-")</f>
        <v>8.6477509640256134E-2</v>
      </c>
      <c r="E13" s="57">
        <f t="shared" ref="E13" si="9">IFERROR(E12/F12-1,"-")</f>
        <v>-0.22536467770113455</v>
      </c>
      <c r="F13" s="57">
        <f t="shared" ref="F13" si="10">IFERROR(F12/G12-1,"-")</f>
        <v>-1.9531536591529064E-2</v>
      </c>
      <c r="G13" s="57">
        <f t="shared" ref="G13" si="11">IFERROR(G12/H12-1,"-")</f>
        <v>1.8459754392951844</v>
      </c>
      <c r="H13" s="57">
        <f t="shared" ref="H13" si="12">IFERROR(H12/I12-1,"-")</f>
        <v>0.73714610423007287</v>
      </c>
      <c r="I13" s="57">
        <f t="shared" ref="I13" si="13">IFERROR(I12/J12-1,"-")</f>
        <v>-2.5804116351051212</v>
      </c>
      <c r="J13" s="57">
        <f t="shared" ref="J13" si="14">IFERROR(J12/K12-1,"-")</f>
        <v>-0.83121191286597229</v>
      </c>
      <c r="K13" s="57">
        <f t="shared" ref="K13" si="15">IFERROR(K12/L12-1,"-")</f>
        <v>0.41189149531761471</v>
      </c>
      <c r="L13" s="57">
        <f t="shared" ref="L13" si="16">IFERROR(L12/M12-1,"-")</f>
        <v>-161.99776659641464</v>
      </c>
      <c r="M13" s="58" t="str">
        <f>IFERROR(M12/#REF!-1,"-")</f>
        <v>-</v>
      </c>
    </row>
    <row r="14" spans="1:25">
      <c r="A14" s="118" t="s">
        <v>288</v>
      </c>
      <c r="B14" s="55">
        <f>_xlfn.XLOOKUP($A14,Inputs!$A:$A,Inputs!B:B,,0)</f>
        <v>0</v>
      </c>
      <c r="C14" s="55">
        <f>_xlfn.XLOOKUP($A14,Inputs!$A:$A,Inputs!C:C,,0)</f>
        <v>0</v>
      </c>
      <c r="D14" s="55">
        <f>_xlfn.XLOOKUP($A14,Inputs!$A:$A,Inputs!D:D,,0)</f>
        <v>0</v>
      </c>
      <c r="E14" s="55">
        <f>_xlfn.XLOOKUP($A14,Inputs!$A:$A,Inputs!E:E,,0)</f>
        <v>0</v>
      </c>
      <c r="F14" s="55">
        <f>_xlfn.XLOOKUP($A14,Inputs!$A:$A,Inputs!F:F,,0)</f>
        <v>0</v>
      </c>
      <c r="G14" s="55">
        <f>_xlfn.XLOOKUP($A14,Inputs!$A:$A,Inputs!G:G,,0)</f>
        <v>0</v>
      </c>
      <c r="H14" s="55">
        <f>_xlfn.XLOOKUP($A14,Inputs!$A:$A,Inputs!H:H,,0)</f>
        <v>0</v>
      </c>
      <c r="I14" s="55">
        <f>_xlfn.XLOOKUP($A14,Inputs!$A:$A,Inputs!I:I,,0)</f>
        <v>0</v>
      </c>
      <c r="J14" s="55">
        <f>_xlfn.XLOOKUP($A14,Inputs!$A:$A,Inputs!J:J,,0)</f>
        <v>0</v>
      </c>
      <c r="K14" s="55">
        <f>_xlfn.XLOOKUP($A14,Inputs!$A:$A,Inputs!K:K,,0)</f>
        <v>0</v>
      </c>
      <c r="L14" s="55">
        <f>_xlfn.XLOOKUP($A14,Inputs!$A:$A,Inputs!L:L,,0)</f>
        <v>0</v>
      </c>
      <c r="M14" s="56">
        <f>_xlfn.XLOOKUP($A14,Inputs!$A:$A,Inputs!M:M,,0)</f>
        <v>0</v>
      </c>
    </row>
    <row r="15" spans="1:25">
      <c r="A15" s="116" t="s">
        <v>608</v>
      </c>
      <c r="B15" s="55">
        <f>_xlfn.XLOOKUP($A15,Inputs!$A:$A,Inputs!B:B,,0)</f>
        <v>16922</v>
      </c>
      <c r="C15" s="55">
        <f>_xlfn.XLOOKUP($A15,Inputs!$A:$A,Inputs!C:C,,0)</f>
        <v>3588</v>
      </c>
      <c r="D15" s="55">
        <f>_xlfn.XLOOKUP($A15,Inputs!$A:$A,Inputs!D:D,,0)</f>
        <v>-997</v>
      </c>
      <c r="E15" s="55">
        <f>_xlfn.XLOOKUP($A15,Inputs!$A:$A,Inputs!E:E,,0)</f>
        <v>-939</v>
      </c>
      <c r="F15" s="55">
        <f>_xlfn.XLOOKUP($A15,Inputs!$A:$A,Inputs!F:F,,0)</f>
        <v>947</v>
      </c>
      <c r="G15" s="55">
        <f>_xlfn.XLOOKUP($A15,Inputs!$A:$A,Inputs!G:G,,0)</f>
        <v>1822</v>
      </c>
      <c r="H15" s="55">
        <f>_xlfn.XLOOKUP($A15,Inputs!$A:$A,Inputs!H:H,,0)</f>
        <v>802</v>
      </c>
      <c r="I15" s="55">
        <f>_xlfn.XLOOKUP($A15,Inputs!$A:$A,Inputs!I:I,,0)</f>
        <v>73</v>
      </c>
      <c r="J15" s="55">
        <f>_xlfn.XLOOKUP($A15,Inputs!$A:$A,Inputs!J:J,,0)</f>
        <v>-124</v>
      </c>
      <c r="K15" s="55">
        <f>_xlfn.XLOOKUP($A15,Inputs!$A:$A,Inputs!K:K,,0)</f>
        <v>54</v>
      </c>
      <c r="L15" s="55">
        <f>_xlfn.XLOOKUP($A15,Inputs!$A:$A,Inputs!L:L,,0)</f>
        <v>163</v>
      </c>
      <c r="M15" s="56">
        <f>_xlfn.XLOOKUP($A15,Inputs!$A:$A,Inputs!M:M,,0)</f>
        <v>-16</v>
      </c>
    </row>
    <row r="16" spans="1:25">
      <c r="A16" s="118" t="s">
        <v>61</v>
      </c>
      <c r="B16" s="55">
        <f>B11-B15</f>
        <v>243171</v>
      </c>
      <c r="C16" s="55">
        <f t="shared" ref="C16:M16" si="17">C11-C15</f>
        <v>151438</v>
      </c>
      <c r="D16" s="55">
        <f t="shared" si="17"/>
        <v>85591</v>
      </c>
      <c r="E16" s="55">
        <f t="shared" si="17"/>
        <v>58982</v>
      </c>
      <c r="F16" s="55">
        <f t="shared" si="17"/>
        <v>65224</v>
      </c>
      <c r="G16" s="55">
        <f t="shared" si="17"/>
        <v>54402</v>
      </c>
      <c r="H16" s="55">
        <f t="shared" si="17"/>
        <v>15147</v>
      </c>
      <c r="I16" s="55">
        <f t="shared" si="17"/>
        <v>7223</v>
      </c>
      <c r="J16" s="55">
        <f t="shared" si="17"/>
        <v>-3426</v>
      </c>
      <c r="K16" s="55">
        <f t="shared" si="17"/>
        <v>-13975</v>
      </c>
      <c r="L16" s="55">
        <f t="shared" si="17"/>
        <v>-7181</v>
      </c>
      <c r="M16" s="56">
        <f t="shared" si="17"/>
        <v>47</v>
      </c>
      <c r="N16" s="53"/>
      <c r="O16" s="53"/>
      <c r="P16" s="53"/>
      <c r="Q16" s="53"/>
      <c r="R16" s="53"/>
      <c r="S16" s="53"/>
      <c r="T16" s="53"/>
      <c r="U16" s="53"/>
      <c r="V16" s="53"/>
      <c r="W16" s="53"/>
      <c r="X16" s="53"/>
      <c r="Y16" s="53"/>
    </row>
    <row r="17" spans="1:18">
      <c r="A17" s="116" t="s">
        <v>56</v>
      </c>
      <c r="B17" s="55">
        <f>_xlfn.XLOOKUP($A17,Inputs!$A:$A,Inputs!B:B,,0)</f>
        <v>76426</v>
      </c>
      <c r="C17" s="55">
        <f>_xlfn.XLOOKUP($A17,Inputs!$A:$A,Inputs!C:C,,0)</f>
        <v>60866</v>
      </c>
      <c r="D17" s="55">
        <f>_xlfn.XLOOKUP($A17,Inputs!$A:$A,Inputs!D:D,,0)</f>
        <v>50218</v>
      </c>
      <c r="E17" s="55">
        <f>_xlfn.XLOOKUP($A17,Inputs!$A:$A,Inputs!E:E,,0)</f>
        <v>42972</v>
      </c>
      <c r="F17" s="55">
        <f>_xlfn.XLOOKUP($A17,Inputs!$A:$A,Inputs!F:F,,0)</f>
        <v>37913</v>
      </c>
      <c r="G17" s="55">
        <f>_xlfn.XLOOKUP($A17,Inputs!$A:$A,Inputs!G:G,,0)</f>
        <v>34594</v>
      </c>
      <c r="H17" s="55">
        <f>_xlfn.XLOOKUP($A17,Inputs!$A:$A,Inputs!H:H,,0)</f>
        <v>30202</v>
      </c>
      <c r="I17" s="55">
        <f>_xlfn.XLOOKUP($A17,Inputs!$A:$A,Inputs!I:I,,0)</f>
        <v>21027</v>
      </c>
      <c r="J17" s="55">
        <f>_xlfn.XLOOKUP($A17,Inputs!$A:$A,Inputs!J:J,,0)</f>
        <v>13873</v>
      </c>
      <c r="K17" s="55">
        <f>_xlfn.XLOOKUP($A17,Inputs!$A:$A,Inputs!K:K,,0)</f>
        <v>8609</v>
      </c>
      <c r="L17" s="55">
        <f>_xlfn.XLOOKUP($A17,Inputs!$A:$A,Inputs!L:L,,0)</f>
        <v>6336</v>
      </c>
      <c r="M17" s="56">
        <f>_xlfn.XLOOKUP($A17,Inputs!$A:$A,Inputs!M:M,,0)</f>
        <v>5571</v>
      </c>
      <c r="N17" s="267"/>
    </row>
    <row r="18" spans="1:18">
      <c r="A18" s="118" t="s">
        <v>609</v>
      </c>
      <c r="B18" s="55">
        <f>_xlfn.XLOOKUP($A18,Inputs!$A:$A,Inputs!B:B,,0)</f>
        <v>20446</v>
      </c>
      <c r="C18" s="55">
        <f>_xlfn.XLOOKUP($A18,Inputs!$A:$A,Inputs!C:C,,0)</f>
        <v>13482</v>
      </c>
      <c r="D18" s="55">
        <f>_xlfn.XLOOKUP($A18,Inputs!$A:$A,Inputs!D:D,,0)</f>
        <v>7813</v>
      </c>
      <c r="E18" s="55">
        <f>_xlfn.XLOOKUP($A18,Inputs!$A:$A,Inputs!E:E,,0)</f>
        <v>-39783</v>
      </c>
      <c r="F18" s="55">
        <f>_xlfn.XLOOKUP($A18,Inputs!$A:$A,Inputs!F:F,,0)</f>
        <v>-4302</v>
      </c>
      <c r="G18" s="55">
        <f>_xlfn.XLOOKUP($A18,Inputs!$A:$A,Inputs!G:G,,0)</f>
        <v>37463</v>
      </c>
      <c r="H18" s="55">
        <f>_xlfn.XLOOKUP($A18,Inputs!$A:$A,Inputs!H:H,,0)</f>
        <v>-14370</v>
      </c>
      <c r="I18" s="55">
        <f>_xlfn.XLOOKUP($A18,Inputs!$A:$A,Inputs!I:I,,0)</f>
        <v>2082</v>
      </c>
      <c r="J18" s="55">
        <f>_xlfn.XLOOKUP($A18,Inputs!$A:$A,Inputs!J:J,,0)</f>
        <v>-5548</v>
      </c>
      <c r="K18" s="55">
        <f>_xlfn.XLOOKUP($A18,Inputs!$A:$A,Inputs!K:K,,0)</f>
        <v>-251</v>
      </c>
      <c r="L18" s="55">
        <f>_xlfn.XLOOKUP($A18,Inputs!$A:$A,Inputs!L:L,,0)</f>
        <v>-6422</v>
      </c>
      <c r="M18" s="56">
        <f>_xlfn.XLOOKUP($A18,Inputs!$A:$A,Inputs!M:M,,0)</f>
        <v>-5289</v>
      </c>
    </row>
    <row r="19" spans="1:18">
      <c r="A19" s="116" t="s">
        <v>52</v>
      </c>
      <c r="B19" s="55">
        <f>B11-B15+B17</f>
        <v>319597</v>
      </c>
      <c r="C19" s="55">
        <f t="shared" ref="C19:M19" si="18">C11-C15+C17</f>
        <v>212304</v>
      </c>
      <c r="D19" s="55">
        <f t="shared" si="18"/>
        <v>135809</v>
      </c>
      <c r="E19" s="55">
        <f t="shared" si="18"/>
        <v>101954</v>
      </c>
      <c r="F19" s="55">
        <f t="shared" si="18"/>
        <v>103137</v>
      </c>
      <c r="G19" s="55">
        <f t="shared" si="18"/>
        <v>88996</v>
      </c>
      <c r="H19" s="55">
        <f t="shared" si="18"/>
        <v>45349</v>
      </c>
      <c r="I19" s="55">
        <f t="shared" si="18"/>
        <v>28250</v>
      </c>
      <c r="J19" s="55">
        <f t="shared" si="18"/>
        <v>10447</v>
      </c>
      <c r="K19" s="55">
        <f t="shared" si="18"/>
        <v>-5366</v>
      </c>
      <c r="L19" s="55">
        <f t="shared" si="18"/>
        <v>-845</v>
      </c>
      <c r="M19" s="56">
        <f t="shared" si="18"/>
        <v>5618</v>
      </c>
    </row>
    <row r="20" spans="1:18" ht="13.15">
      <c r="A20" s="117" t="s">
        <v>610</v>
      </c>
      <c r="B20" s="57">
        <f>IFERROR(B19/B$5,"-")</f>
        <v>0.22787421168401051</v>
      </c>
      <c r="C20" s="57">
        <f t="shared" ref="C20" si="19">IFERROR(C19/C$5,"-")</f>
        <v>0.18074609355711485</v>
      </c>
      <c r="D20" s="57">
        <f t="shared" ref="D20" si="20">IFERROR(D19/D$5,"-")</f>
        <v>0.15927853248280949</v>
      </c>
      <c r="E20" s="57">
        <f t="shared" ref="E20" si="21">IFERROR(E19/E$5,"-")</f>
        <v>0.16039910198905963</v>
      </c>
      <c r="F20" s="57">
        <f t="shared" ref="F20" si="22">IFERROR(F19/F$5,"-")</f>
        <v>0.18373716661708195</v>
      </c>
      <c r="G20" s="57">
        <f t="shared" ref="G20" si="23">IFERROR(G19/G$5,"-")</f>
        <v>0.19031163326796868</v>
      </c>
      <c r="H20" s="57">
        <f t="shared" ref="H20" si="24">IFERROR(H19/H$5,"-")</f>
        <v>0.12012120987373089</v>
      </c>
      <c r="I20" s="57">
        <f t="shared" ref="I20" si="25">IFERROR(I19/I$5,"-")</f>
        <v>9.4163527882403925E-2</v>
      </c>
      <c r="J20" s="57">
        <f t="shared" ref="J20" si="26">IFERROR(J19/J$5,"-")</f>
        <v>4.5283722220536539E-2</v>
      </c>
      <c r="K20" s="57">
        <f t="shared" ref="K20" si="27">IFERROR(K19/K$5,"-")</f>
        <v>-3.5141259217540508E-2</v>
      </c>
      <c r="L20" s="57">
        <f t="shared" ref="L20" si="28">IFERROR(L19/L$5,"-")</f>
        <v>-7.774618859661229E-3</v>
      </c>
      <c r="M20" s="58">
        <f t="shared" ref="M20" si="29">IFERROR(M19/M$5,"-")</f>
        <v>7.2683520066240584E-2</v>
      </c>
      <c r="P20" s="267"/>
      <c r="Q20" s="267"/>
      <c r="R20" s="267"/>
    </row>
    <row r="21" spans="1:18">
      <c r="A21" s="116" t="s">
        <v>289</v>
      </c>
      <c r="B21" s="55">
        <f>_xlfn.XLOOKUP($A21,Inputs!$A:$A,Inputs!B:B,,0)</f>
        <v>-70249</v>
      </c>
      <c r="C21" s="55">
        <f>_xlfn.XLOOKUP($A21,Inputs!$A:$A,Inputs!C:C,,0)</f>
        <v>-17792</v>
      </c>
      <c r="D21" s="55">
        <f>_xlfn.XLOOKUP($A21,Inputs!$A:$A,Inputs!D:D,,0)</f>
        <v>7180</v>
      </c>
      <c r="E21" s="55">
        <f>_xlfn.XLOOKUP($A21,Inputs!$A:$A,Inputs!E:E,,0)</f>
        <v>13715</v>
      </c>
      <c r="F21" s="55">
        <f>_xlfn.XLOOKUP($A21,Inputs!$A:$A,Inputs!F:F,,0)</f>
        <v>-2663</v>
      </c>
      <c r="G21" s="55">
        <f>_xlfn.XLOOKUP($A21,Inputs!$A:$A,Inputs!G:G,,0)</f>
        <v>-4223</v>
      </c>
      <c r="H21" s="55">
        <f>_xlfn.XLOOKUP($A21,Inputs!$A:$A,Inputs!H:H,,0)</f>
        <v>21847</v>
      </c>
      <c r="I21" s="55">
        <f>_xlfn.XLOOKUP($A21,Inputs!$A:$A,Inputs!I:I,,0)</f>
        <v>-651</v>
      </c>
      <c r="J21" s="55">
        <f>_xlfn.XLOOKUP($A21,Inputs!$A:$A,Inputs!J:J,,0)</f>
        <v>-177</v>
      </c>
      <c r="K21" s="55">
        <f>_xlfn.XLOOKUP($A21,Inputs!$A:$A,Inputs!K:K,,0)</f>
        <v>-105</v>
      </c>
      <c r="L21" s="55">
        <f>_xlfn.XLOOKUP($A21,Inputs!$A:$A,Inputs!L:L,,0)</f>
        <v>-255</v>
      </c>
      <c r="M21" s="56">
        <f>_xlfn.XLOOKUP($A21,Inputs!$A:$A,Inputs!M:M,,0)</f>
        <v>602</v>
      </c>
    </row>
    <row r="22" spans="1:18" ht="13.15">
      <c r="A22" s="117" t="s">
        <v>611</v>
      </c>
      <c r="B22" s="57">
        <f t="shared" ref="B22" si="30">IFERROR(B21/B$5,"-")</f>
        <v>-5.0087877848008756E-2</v>
      </c>
      <c r="C22" s="57">
        <f t="shared" ref="C22" si="31">IFERROR(C21/C$5,"-")</f>
        <v>-1.5147309973284477E-2</v>
      </c>
      <c r="D22" s="57">
        <f t="shared" ref="D22" si="32">IFERROR(D21/D$5,"-")</f>
        <v>8.4207958473044662E-3</v>
      </c>
      <c r="E22" s="57">
        <f t="shared" ref="E22" si="33">IFERROR(E21/E$5,"-")</f>
        <v>2.1577119914666935E-2</v>
      </c>
      <c r="F22" s="57">
        <f t="shared" ref="F22" si="34">IFERROR(F21/F$5,"-")</f>
        <v>-4.7440983808069775E-3</v>
      </c>
      <c r="G22" s="57">
        <f t="shared" ref="G22" si="35">IFERROR(G21/G$5,"-")</f>
        <v>-9.0305859509487146E-3</v>
      </c>
      <c r="H22" s="57">
        <f t="shared" ref="H22" si="36">IFERROR(H21/H$5,"-")</f>
        <v>5.786870872811746E-2</v>
      </c>
      <c r="I22" s="57">
        <f t="shared" ref="I22" si="37">IFERROR(I21/I$5,"-")</f>
        <v>-2.1699276690776972E-3</v>
      </c>
      <c r="J22" s="57">
        <f t="shared" ref="J22" si="38">IFERROR(J21/J$5,"-")</f>
        <v>-7.6722684340336622E-4</v>
      </c>
      <c r="K22" s="57">
        <f t="shared" ref="K22" si="39">IFERROR(K21/K$5,"-")</f>
        <v>-6.8763179609425136E-4</v>
      </c>
      <c r="L22" s="57">
        <f t="shared" ref="L22" si="40">IFERROR(L21/L$5,"-")</f>
        <v>-2.3461867564658146E-3</v>
      </c>
      <c r="M22" s="58">
        <f t="shared" ref="M22" si="41">IFERROR(M21/M$5,"-")</f>
        <v>7.7884441224415867E-3</v>
      </c>
    </row>
    <row r="23" spans="1:18">
      <c r="A23" s="116" t="s">
        <v>65</v>
      </c>
      <c r="B23" s="55">
        <f>_xlfn.XLOOKUP($A23,Inputs!$A:$A,Inputs!B:B,,0)</f>
        <v>206766</v>
      </c>
      <c r="C23" s="55">
        <f>_xlfn.XLOOKUP($A23,Inputs!$A:$A,Inputs!C:C,,0)</f>
        <v>140822</v>
      </c>
      <c r="D23" s="55">
        <f>_xlfn.XLOOKUP($A23,Inputs!$A:$A,Inputs!D:D,,0)</f>
        <v>90777</v>
      </c>
      <c r="E23" s="55">
        <f>_xlfn.XLOOKUP($A23,Inputs!$A:$A,Inputs!E:E,,0)</f>
        <v>70819</v>
      </c>
      <c r="F23" s="55">
        <f>_xlfn.XLOOKUP($A23,Inputs!$A:$A,Inputs!F:F,,0)</f>
        <v>64455</v>
      </c>
      <c r="G23" s="55">
        <f>_xlfn.XLOOKUP($A23,Inputs!$A:$A,Inputs!G:G,,0)</f>
        <v>53823</v>
      </c>
      <c r="H23" s="55">
        <f>_xlfn.XLOOKUP($A23,Inputs!$A:$A,Inputs!H:H,,0)</f>
        <v>38598</v>
      </c>
      <c r="I23" s="55">
        <f>_xlfn.XLOOKUP($A23,Inputs!$A:$A,Inputs!I:I,,0)</f>
        <v>6718</v>
      </c>
      <c r="J23" s="55">
        <f>_xlfn.XLOOKUP($A23,Inputs!$A:$A,Inputs!J:J,,0)</f>
        <v>-3851</v>
      </c>
      <c r="K23" s="55">
        <f>_xlfn.XLOOKUP($A23,Inputs!$A:$A,Inputs!K:K,,0)</f>
        <v>-13972</v>
      </c>
      <c r="L23" s="55">
        <f>_xlfn.XLOOKUP($A23,Inputs!$A:$A,Inputs!L:L,,0)</f>
        <v>-7110</v>
      </c>
      <c r="M23" s="56">
        <f>_xlfn.XLOOKUP($A23,Inputs!$A:$A,Inputs!M:M,,0)</f>
        <v>617</v>
      </c>
    </row>
    <row r="24" spans="1:18" ht="13.15">
      <c r="A24" s="117" t="s">
        <v>242</v>
      </c>
      <c r="B24" s="57">
        <f t="shared" ref="B24" si="42">IFERROR(B23/B$5,"-")</f>
        <v>0.14742516122822216</v>
      </c>
      <c r="C24" s="57">
        <f t="shared" ref="C24" si="43">IFERROR(C23/C$5,"-")</f>
        <v>0.11988952816197541</v>
      </c>
      <c r="D24" s="57">
        <f t="shared" ref="D24" si="44">IFERROR(D23/D$5,"-")</f>
        <v>0.10646442682879631</v>
      </c>
      <c r="E24" s="57">
        <f t="shared" ref="E24" si="45">IFERROR(E23/E$5,"-")</f>
        <v>0.11141597194581099</v>
      </c>
      <c r="F24" s="57">
        <f t="shared" ref="F24" si="46">IFERROR(F23/F$5,"-")</f>
        <v>0.11482570827447006</v>
      </c>
      <c r="G24" s="57">
        <f t="shared" ref="G24" si="47">IFERROR(G23/G$5,"-")</f>
        <v>0.11509666768598452</v>
      </c>
      <c r="H24" s="57">
        <f t="shared" ref="H24" si="48">IFERROR(H23/H$5,"-")</f>
        <v>0.10223904515438631</v>
      </c>
      <c r="I24" s="57">
        <f t="shared" ref="I24" si="49">IFERROR(I23/I$5,"-")</f>
        <v>2.2392586913769542E-2</v>
      </c>
      <c r="J24" s="57">
        <f t="shared" ref="J24" si="50">IFERROR(J23/J$5,"-")</f>
        <v>-1.6692602112691319E-2</v>
      </c>
      <c r="K24" s="57">
        <f t="shared" ref="K24" si="51">IFERROR(K23/K$5,"-")</f>
        <v>-9.1500871000275055E-2</v>
      </c>
      <c r="L24" s="57">
        <f t="shared" ref="L24" si="52">IFERROR(L23/L$5,"-")</f>
        <v>-6.5417207209693892E-2</v>
      </c>
      <c r="M24" s="58">
        <f t="shared" ref="M24" si="53">IFERROR(M23/M$5,"-")</f>
        <v>7.9825083447615606E-3</v>
      </c>
    </row>
    <row r="25" spans="1:18" ht="13.15">
      <c r="A25" s="116" t="s">
        <v>604</v>
      </c>
      <c r="B25" s="57">
        <f t="shared" ref="B25" si="54">IFERROR(B24/C24-1,"-")</f>
        <v>0.22967504742403388</v>
      </c>
      <c r="C25" s="57">
        <f t="shared" ref="C25" si="55">IFERROR(C24/D24-1,"-")</f>
        <v>0.12609940928689523</v>
      </c>
      <c r="D25" s="57">
        <f t="shared" ref="D25" si="56">IFERROR(D24/E24-1,"-")</f>
        <v>-4.4441968512583974E-2</v>
      </c>
      <c r="E25" s="57">
        <f t="shared" ref="E25" si="57">IFERROR(E24/F24-1,"-")</f>
        <v>-2.9694886100843476E-2</v>
      </c>
      <c r="F25" s="57">
        <f t="shared" ref="F25" si="58">IFERROR(F24/G24-1,"-")</f>
        <v>-2.3541898906553893E-3</v>
      </c>
      <c r="G25" s="57">
        <f t="shared" ref="G25" si="59">IFERROR(G24/H24-1,"-")</f>
        <v>0.12576039332314304</v>
      </c>
      <c r="H25" s="57">
        <f t="shared" ref="H25" si="60">IFERROR(H24/I24-1,"-")</f>
        <v>3.5657540840677937</v>
      </c>
      <c r="I25" s="57">
        <f t="shared" ref="I25" si="61">IFERROR(I24/J24-1,"-")</f>
        <v>-2.3414677210058548</v>
      </c>
      <c r="J25" s="57">
        <f t="shared" ref="J25" si="62">IFERROR(J24/K24-1,"-")</f>
        <v>-0.81756892661009595</v>
      </c>
      <c r="K25" s="57">
        <f t="shared" ref="K25" si="63">IFERROR(K24/L24-1,"-")</f>
        <v>0.3987278715058924</v>
      </c>
      <c r="L25" s="57">
        <f t="shared" ref="L25" si="64">IFERROR(L24/M24-1,"-")</f>
        <v>-9.1950690665576644</v>
      </c>
      <c r="M25" s="58" t="str">
        <f>IFERROR(M24/#REF!-1,"-")</f>
        <v>-</v>
      </c>
    </row>
    <row r="26" spans="1:18">
      <c r="A26" s="117" t="s">
        <v>612</v>
      </c>
      <c r="B26" s="59">
        <f>B39-C39</f>
        <v>113044</v>
      </c>
      <c r="C26" s="59">
        <f>C39-D39</f>
        <v>149011</v>
      </c>
      <c r="D26" s="59">
        <f t="shared" ref="D26:M26" si="65">D39-E39</f>
        <v>-62531</v>
      </c>
      <c r="E26" s="59">
        <f t="shared" si="65"/>
        <v>-48564</v>
      </c>
      <c r="F26" s="59">
        <f t="shared" si="65"/>
        <v>118375</v>
      </c>
      <c r="G26" s="59">
        <f t="shared" si="65"/>
        <v>-4717</v>
      </c>
      <c r="H26" s="59">
        <f t="shared" si="65"/>
        <v>33725</v>
      </c>
      <c r="I26" s="59">
        <f t="shared" si="65"/>
        <v>16972</v>
      </c>
      <c r="J26" s="59">
        <f t="shared" si="65"/>
        <v>5238</v>
      </c>
      <c r="K26" s="59">
        <f t="shared" si="65"/>
        <v>2410</v>
      </c>
      <c r="L26" s="59">
        <f t="shared" si="65"/>
        <v>71254</v>
      </c>
      <c r="M26" s="56">
        <f t="shared" si="65"/>
        <v>7594</v>
      </c>
    </row>
    <row r="27" spans="1:18">
      <c r="A27" s="116" t="s">
        <v>134</v>
      </c>
      <c r="B27" s="55">
        <f>_xlfn.XLOOKUP($A27,Inputs!$A:$A,Inputs!B:B,,0)</f>
        <v>0</v>
      </c>
      <c r="C27" s="55">
        <f>_xlfn.XLOOKUP($A27,Inputs!$A:$A,Inputs!C:C,,0)</f>
        <v>0</v>
      </c>
      <c r="D27" s="55">
        <f>_xlfn.XLOOKUP($A27,Inputs!$A:$A,Inputs!D:D,,0)</f>
        <v>0</v>
      </c>
      <c r="E27" s="55">
        <f>_xlfn.XLOOKUP($A27,Inputs!$A:$A,Inputs!E:E,,0)</f>
        <v>0</v>
      </c>
      <c r="F27" s="55">
        <f>_xlfn.XLOOKUP($A27,Inputs!$A:$A,Inputs!F:F,,0)</f>
        <v>0</v>
      </c>
      <c r="G27" s="55">
        <f>_xlfn.XLOOKUP($A27,Inputs!$A:$A,Inputs!G:G,,0)</f>
        <v>0</v>
      </c>
      <c r="H27" s="55">
        <f>_xlfn.XLOOKUP($A27,Inputs!$A:$A,Inputs!H:H,,0)</f>
        <v>0</v>
      </c>
      <c r="I27" s="55">
        <f>_xlfn.XLOOKUP($A27,Inputs!$A:$A,Inputs!I:I,,0)</f>
        <v>0</v>
      </c>
      <c r="J27" s="55">
        <f>_xlfn.XLOOKUP($A27,Inputs!$A:$A,Inputs!J:J,,0)</f>
        <v>0</v>
      </c>
      <c r="K27" s="55">
        <f>_xlfn.XLOOKUP($A27,Inputs!$A:$A,Inputs!K:K,,0)</f>
        <v>0</v>
      </c>
      <c r="L27" s="55">
        <f>_xlfn.XLOOKUP($A27,Inputs!$A:$A,Inputs!L:L,,0)</f>
        <v>0</v>
      </c>
      <c r="M27" s="56">
        <f>_xlfn.XLOOKUP($A27,Inputs!$A:$A,Inputs!M:M,,0)</f>
        <v>0</v>
      </c>
    </row>
    <row r="28" spans="1:18">
      <c r="A28" s="118" t="s">
        <v>613</v>
      </c>
      <c r="B28" s="55">
        <f>_xlfn.XLOOKUP($A28,Inputs!$A:$A,Inputs!B:B,,0)</f>
        <v>0</v>
      </c>
      <c r="C28" s="55">
        <f>_xlfn.XLOOKUP($A28,Inputs!$A:$A,Inputs!C:C,,0)</f>
        <v>-150000</v>
      </c>
      <c r="D28" s="55">
        <f>_xlfn.XLOOKUP($A28,Inputs!$A:$A,Inputs!D:D,,0)</f>
        <v>0</v>
      </c>
      <c r="E28" s="55">
        <f>_xlfn.XLOOKUP($A28,Inputs!$A:$A,Inputs!E:E,,0)</f>
        <v>0</v>
      </c>
      <c r="F28" s="55">
        <f>_xlfn.XLOOKUP($A28,Inputs!$A:$A,Inputs!F:F,,0)</f>
        <v>0</v>
      </c>
      <c r="G28" s="55">
        <f>_xlfn.XLOOKUP($A28,Inputs!$A:$A,Inputs!G:G,,0)</f>
        <v>-34991</v>
      </c>
      <c r="H28" s="55">
        <f>_xlfn.XLOOKUP($A28,Inputs!$A:$A,Inputs!H:H,,0)</f>
        <v>0</v>
      </c>
      <c r="I28" s="55">
        <f>_xlfn.XLOOKUP($A28,Inputs!$A:$A,Inputs!I:I,,0)</f>
        <v>0</v>
      </c>
      <c r="J28" s="55">
        <f>_xlfn.XLOOKUP($A28,Inputs!$A:$A,Inputs!J:J,,0)</f>
        <v>0</v>
      </c>
      <c r="K28" s="55">
        <f>_xlfn.XLOOKUP($A28,Inputs!$A:$A,Inputs!K:K,,0)</f>
        <v>0</v>
      </c>
      <c r="L28" s="55">
        <f>_xlfn.XLOOKUP($A28,Inputs!$A:$A,Inputs!L:L,,0)</f>
        <v>0</v>
      </c>
      <c r="M28" s="56">
        <f>_xlfn.XLOOKUP($A28,Inputs!$A:$A,Inputs!M:M,,0)</f>
        <v>0</v>
      </c>
    </row>
    <row r="29" spans="1:18">
      <c r="A29" s="116" t="s">
        <v>126</v>
      </c>
      <c r="B29" s="59">
        <f>SUM(B26:B28)</f>
        <v>113044</v>
      </c>
      <c r="C29" s="59">
        <f>SUM(C26:C28)</f>
        <v>-989</v>
      </c>
      <c r="D29" s="59">
        <f t="shared" ref="D29:M29" si="66">SUM(D26:D28)</f>
        <v>-62531</v>
      </c>
      <c r="E29" s="59">
        <f t="shared" si="66"/>
        <v>-48564</v>
      </c>
      <c r="F29" s="59">
        <f t="shared" si="66"/>
        <v>118375</v>
      </c>
      <c r="G29" s="59">
        <f t="shared" si="66"/>
        <v>-39708</v>
      </c>
      <c r="H29" s="59">
        <f t="shared" si="66"/>
        <v>33725</v>
      </c>
      <c r="I29" s="59">
        <f t="shared" si="66"/>
        <v>16972</v>
      </c>
      <c r="J29" s="59">
        <f t="shared" si="66"/>
        <v>5238</v>
      </c>
      <c r="K29" s="59">
        <f t="shared" si="66"/>
        <v>2410</v>
      </c>
      <c r="L29" s="59">
        <f t="shared" si="66"/>
        <v>71254</v>
      </c>
      <c r="M29" s="56">
        <f t="shared" si="66"/>
        <v>7594</v>
      </c>
    </row>
    <row r="30" spans="1:18">
      <c r="A30" s="118" t="s">
        <v>614</v>
      </c>
      <c r="B30" s="59">
        <f>+B29-(B59-C29)</f>
        <v>-93070</v>
      </c>
      <c r="C30" s="59">
        <f t="shared" ref="C30:M30" si="67">+C29-(C59-D29)</f>
        <v>-269278</v>
      </c>
      <c r="D30" s="59">
        <f t="shared" si="67"/>
        <v>-304598</v>
      </c>
      <c r="E30" s="59">
        <f t="shared" si="67"/>
        <v>-100499</v>
      </c>
      <c r="F30" s="59">
        <f t="shared" si="67"/>
        <v>-174513</v>
      </c>
      <c r="G30" s="59">
        <f t="shared" si="67"/>
        <v>-63608</v>
      </c>
      <c r="H30" s="59">
        <f t="shared" si="67"/>
        <v>8456</v>
      </c>
      <c r="I30" s="59">
        <f t="shared" si="67"/>
        <v>-8091</v>
      </c>
      <c r="J30" s="59">
        <f t="shared" si="67"/>
        <v>-17331</v>
      </c>
      <c r="K30" s="59">
        <f t="shared" si="67"/>
        <v>57234</v>
      </c>
      <c r="L30" s="59">
        <f t="shared" si="67"/>
        <v>68104</v>
      </c>
      <c r="M30" s="56">
        <f t="shared" si="67"/>
        <v>-138</v>
      </c>
    </row>
    <row r="31" spans="1:18">
      <c r="A31" s="116" t="s">
        <v>615</v>
      </c>
      <c r="B31" s="59">
        <f>+B30+B33</f>
        <v>-115128</v>
      </c>
      <c r="C31" s="59">
        <f t="shared" ref="C31:L31" si="68">+C30+C33</f>
        <v>-421422</v>
      </c>
      <c r="D31" s="59">
        <f t="shared" si="68"/>
        <v>-729288</v>
      </c>
      <c r="E31" s="59">
        <f t="shared" si="68"/>
        <v>-14024</v>
      </c>
      <c r="F31" s="59">
        <f t="shared" si="68"/>
        <v>-180977</v>
      </c>
      <c r="G31" s="59">
        <f t="shared" si="68"/>
        <v>-68050</v>
      </c>
      <c r="H31" s="59">
        <f t="shared" si="68"/>
        <v>-121755</v>
      </c>
      <c r="I31" s="59">
        <f t="shared" si="68"/>
        <v>-8091</v>
      </c>
      <c r="J31" s="59">
        <f t="shared" si="68"/>
        <v>-17814</v>
      </c>
      <c r="K31" s="59">
        <f t="shared" si="68"/>
        <v>45255</v>
      </c>
      <c r="L31" s="59">
        <f t="shared" si="68"/>
        <v>61654</v>
      </c>
      <c r="M31" s="56">
        <f t="shared" ref="M31" si="69">+M30+M33</f>
        <v>-138</v>
      </c>
    </row>
    <row r="32" spans="1:18">
      <c r="A32" s="118" t="s">
        <v>131</v>
      </c>
      <c r="B32" s="55">
        <f>_xlfn.XLOOKUP($A32,Inputs!$A:$A,Inputs!B:B,,0)</f>
        <v>-60726</v>
      </c>
      <c r="C32" s="55">
        <f>_xlfn.XLOOKUP($A32,Inputs!$A:$A,Inputs!C:C,,0)</f>
        <v>-45004</v>
      </c>
      <c r="D32" s="55">
        <f>_xlfn.XLOOKUP($A32,Inputs!$A:$A,Inputs!D:D,,0)</f>
        <v>-34515</v>
      </c>
      <c r="E32" s="55">
        <f>_xlfn.XLOOKUP($A32,Inputs!$A:$A,Inputs!E:E,,0)</f>
        <v>-28594</v>
      </c>
      <c r="F32" s="55">
        <f>_xlfn.XLOOKUP($A32,Inputs!$A:$A,Inputs!F:F,,0)</f>
        <v>-25715</v>
      </c>
      <c r="G32" s="55">
        <f>_xlfn.XLOOKUP($A32,Inputs!$A:$A,Inputs!G:G,,0)</f>
        <v>-20142</v>
      </c>
      <c r="H32" s="55">
        <f>_xlfn.XLOOKUP($A32,Inputs!$A:$A,Inputs!H:H,,0)</f>
        <v>-15638</v>
      </c>
      <c r="I32" s="55">
        <f>_xlfn.XLOOKUP($A32,Inputs!$A:$A,Inputs!I:I,,0)</f>
        <v>-13641</v>
      </c>
      <c r="J32" s="55">
        <f>_xlfn.XLOOKUP($A32,Inputs!$A:$A,Inputs!J:J,,0)</f>
        <v>-8391</v>
      </c>
      <c r="K32" s="55">
        <f>_xlfn.XLOOKUP($A32,Inputs!$A:$A,Inputs!K:K,,0)</f>
        <v>-4215</v>
      </c>
      <c r="L32" s="55">
        <f>_xlfn.XLOOKUP($A32,Inputs!$A:$A,Inputs!L:L,,0)</f>
        <v>-4349</v>
      </c>
      <c r="M32" s="56">
        <f>_xlfn.XLOOKUP($A32,Inputs!$A:$A,Inputs!M:M,,0)</f>
        <v>-1967</v>
      </c>
    </row>
    <row r="33" spans="1:13">
      <c r="A33" s="116" t="s">
        <v>132</v>
      </c>
      <c r="B33" s="55">
        <f>_xlfn.XLOOKUP($A33,Inputs!$A:$A,Inputs!B:B,,0)</f>
        <v>-22058</v>
      </c>
      <c r="C33" s="55">
        <f>_xlfn.XLOOKUP($A33,Inputs!$A:$A,Inputs!C:C,,0)</f>
        <v>-152144</v>
      </c>
      <c r="D33" s="55">
        <f>_xlfn.XLOOKUP($A33,Inputs!$A:$A,Inputs!D:D,,0)</f>
        <v>-424690</v>
      </c>
      <c r="E33" s="55">
        <f>_xlfn.XLOOKUP($A33,Inputs!$A:$A,Inputs!E:E,,0)</f>
        <v>86475</v>
      </c>
      <c r="F33" s="55">
        <f>_xlfn.XLOOKUP($A33,Inputs!$A:$A,Inputs!F:F,,0)</f>
        <v>-6464</v>
      </c>
      <c r="G33" s="55">
        <f>_xlfn.XLOOKUP($A33,Inputs!$A:$A,Inputs!G:G,,0)</f>
        <v>-4442</v>
      </c>
      <c r="H33" s="55">
        <f>_xlfn.XLOOKUP($A33,Inputs!$A:$A,Inputs!H:H,,0)</f>
        <v>-130211</v>
      </c>
      <c r="I33" s="55">
        <f>_xlfn.XLOOKUP($A33,Inputs!$A:$A,Inputs!I:I,,0)</f>
        <v>0</v>
      </c>
      <c r="J33" s="55">
        <f>_xlfn.XLOOKUP($A33,Inputs!$A:$A,Inputs!J:J,,0)</f>
        <v>-483</v>
      </c>
      <c r="K33" s="55">
        <f>_xlfn.XLOOKUP($A33,Inputs!$A:$A,Inputs!K:K,,0)</f>
        <v>-11979</v>
      </c>
      <c r="L33" s="55">
        <f>_xlfn.XLOOKUP($A33,Inputs!$A:$A,Inputs!L:L,,0)</f>
        <v>-6450</v>
      </c>
      <c r="M33" s="56">
        <f>_xlfn.XLOOKUP($A33,Inputs!$A:$A,Inputs!M:M,,0)</f>
        <v>0</v>
      </c>
    </row>
    <row r="34" spans="1:13">
      <c r="A34" s="117" t="s">
        <v>127</v>
      </c>
      <c r="B34" s="59">
        <f t="shared" ref="B34:M34" si="70">+B32+B33</f>
        <v>-82784</v>
      </c>
      <c r="C34" s="59">
        <f t="shared" si="70"/>
        <v>-197148</v>
      </c>
      <c r="D34" s="59">
        <f t="shared" si="70"/>
        <v>-459205</v>
      </c>
      <c r="E34" s="59">
        <f t="shared" si="70"/>
        <v>57881</v>
      </c>
      <c r="F34" s="59">
        <f t="shared" si="70"/>
        <v>-32179</v>
      </c>
      <c r="G34" s="59">
        <f t="shared" si="70"/>
        <v>-24584</v>
      </c>
      <c r="H34" s="59">
        <f t="shared" si="70"/>
        <v>-145849</v>
      </c>
      <c r="I34" s="59">
        <f t="shared" si="70"/>
        <v>-13641</v>
      </c>
      <c r="J34" s="59">
        <f t="shared" si="70"/>
        <v>-8874</v>
      </c>
      <c r="K34" s="59">
        <f t="shared" si="70"/>
        <v>-16194</v>
      </c>
      <c r="L34" s="59">
        <f t="shared" si="70"/>
        <v>-10799</v>
      </c>
      <c r="M34" s="60">
        <f t="shared" si="70"/>
        <v>-1967</v>
      </c>
    </row>
    <row r="35" spans="1:13">
      <c r="A35" s="116" t="s">
        <v>125</v>
      </c>
      <c r="B35" s="59">
        <f t="shared" ref="B35:M35" si="71">+B27+B28</f>
        <v>0</v>
      </c>
      <c r="C35" s="59">
        <f t="shared" si="71"/>
        <v>-150000</v>
      </c>
      <c r="D35" s="59">
        <f t="shared" si="71"/>
        <v>0</v>
      </c>
      <c r="E35" s="59">
        <f t="shared" si="71"/>
        <v>0</v>
      </c>
      <c r="F35" s="59">
        <f t="shared" si="71"/>
        <v>0</v>
      </c>
      <c r="G35" s="59">
        <f t="shared" si="71"/>
        <v>-34991</v>
      </c>
      <c r="H35" s="59">
        <f t="shared" si="71"/>
        <v>0</v>
      </c>
      <c r="I35" s="59">
        <f t="shared" si="71"/>
        <v>0</v>
      </c>
      <c r="J35" s="59">
        <f t="shared" si="71"/>
        <v>0</v>
      </c>
      <c r="K35" s="59">
        <f t="shared" si="71"/>
        <v>0</v>
      </c>
      <c r="L35" s="59">
        <f t="shared" si="71"/>
        <v>0</v>
      </c>
      <c r="M35" s="60">
        <f t="shared" si="71"/>
        <v>0</v>
      </c>
    </row>
    <row r="36" spans="1:13" ht="13.15">
      <c r="A36" s="118" t="s">
        <v>616</v>
      </c>
      <c r="B36" s="57">
        <f>IFERROR(B35/B23,"-")</f>
        <v>0</v>
      </c>
      <c r="C36" s="57">
        <f t="shared" ref="C36:M36" si="72">IFERROR(C35/C23,"-")</f>
        <v>-1.0651744755790999</v>
      </c>
      <c r="D36" s="57">
        <f t="shared" si="72"/>
        <v>0</v>
      </c>
      <c r="E36" s="57">
        <f t="shared" si="72"/>
        <v>0</v>
      </c>
      <c r="F36" s="57">
        <f t="shared" si="72"/>
        <v>0</v>
      </c>
      <c r="G36" s="57">
        <f t="shared" si="72"/>
        <v>-0.65011240547721239</v>
      </c>
      <c r="H36" s="57">
        <f t="shared" si="72"/>
        <v>0</v>
      </c>
      <c r="I36" s="57">
        <f t="shared" si="72"/>
        <v>0</v>
      </c>
      <c r="J36" s="57">
        <f t="shared" si="72"/>
        <v>0</v>
      </c>
      <c r="K36" s="57">
        <f t="shared" si="72"/>
        <v>0</v>
      </c>
      <c r="L36" s="57">
        <f t="shared" si="72"/>
        <v>0</v>
      </c>
      <c r="M36" s="58">
        <f t="shared" si="72"/>
        <v>0</v>
      </c>
    </row>
    <row r="37" spans="1:13">
      <c r="A37" s="7"/>
      <c r="B37" s="47"/>
      <c r="C37" s="47"/>
      <c r="D37" s="47"/>
      <c r="E37" s="47"/>
      <c r="F37" s="47"/>
      <c r="G37" s="47"/>
      <c r="H37" s="47"/>
      <c r="I37" s="47"/>
      <c r="J37" s="47"/>
      <c r="K37" s="47"/>
      <c r="L37" s="47"/>
      <c r="M37" s="47"/>
    </row>
    <row r="38" spans="1:13" ht="20.65">
      <c r="A38" s="1513" t="s">
        <v>617</v>
      </c>
      <c r="B38" s="1513"/>
      <c r="C38" s="1513"/>
      <c r="D38" s="1513"/>
      <c r="E38" s="1513"/>
      <c r="F38" s="1513"/>
      <c r="G38" s="1513"/>
      <c r="H38" s="1513"/>
      <c r="I38" s="1513"/>
      <c r="J38" s="1513"/>
      <c r="K38" s="1513"/>
      <c r="L38" s="1513"/>
      <c r="M38" s="1513"/>
    </row>
    <row r="39" spans="1:13">
      <c r="A39" s="119" t="s">
        <v>292</v>
      </c>
      <c r="B39" s="55">
        <f>_xlfn.XLOOKUP($A39,Inputs!$A:$A,Inputs!B:B,,0)</f>
        <v>401811</v>
      </c>
      <c r="C39" s="55">
        <f>_xlfn.XLOOKUP($A39,Inputs!$A:$A,Inputs!C:C,,0)</f>
        <v>288767</v>
      </c>
      <c r="D39" s="55">
        <f>_xlfn.XLOOKUP($A39,Inputs!$A:$A,Inputs!D:D,,0)</f>
        <v>139756</v>
      </c>
      <c r="E39" s="55">
        <f>_xlfn.XLOOKUP($A39,Inputs!$A:$A,Inputs!E:E,,0)</f>
        <v>202287</v>
      </c>
      <c r="F39" s="55">
        <f>_xlfn.XLOOKUP($A39,Inputs!$A:$A,Inputs!F:F,,0)</f>
        <v>250851</v>
      </c>
      <c r="G39" s="55">
        <f>_xlfn.XLOOKUP($A39,Inputs!$A:$A,Inputs!G:G,,0)</f>
        <v>132476</v>
      </c>
      <c r="H39" s="55">
        <f>_xlfn.XLOOKUP($A39,Inputs!$A:$A,Inputs!H:H,,0)</f>
        <v>137193</v>
      </c>
      <c r="I39" s="55">
        <f>_xlfn.XLOOKUP($A39,Inputs!$A:$A,Inputs!I:I,,0)</f>
        <v>103468</v>
      </c>
      <c r="J39" s="55">
        <f>_xlfn.XLOOKUP($A39,Inputs!$A:$A,Inputs!J:J,,0)</f>
        <v>86496</v>
      </c>
      <c r="K39" s="55">
        <f>_xlfn.XLOOKUP($A39,Inputs!$A:$A,Inputs!K:K,,0)</f>
        <v>81258</v>
      </c>
      <c r="L39" s="55">
        <f>_xlfn.XLOOKUP($A39,Inputs!$A:$A,Inputs!L:L,,0)</f>
        <v>78848</v>
      </c>
      <c r="M39" s="56">
        <f>_xlfn.XLOOKUP($A39,Inputs!$A:$A,Inputs!M:M,,0)</f>
        <v>7594</v>
      </c>
    </row>
    <row r="40" spans="1:13">
      <c r="A40" s="117" t="s">
        <v>618</v>
      </c>
      <c r="B40" s="55">
        <f>_xlfn.XLOOKUP($A40,Inputs!$A:$A,Inputs!B:B,,0)</f>
        <v>32997</v>
      </c>
      <c r="C40" s="55">
        <f>_xlfn.XLOOKUP($A40,Inputs!$A:$A,Inputs!C:C,,0)</f>
        <v>25085</v>
      </c>
      <c r="D40" s="55">
        <f>_xlfn.XLOOKUP($A40,Inputs!$A:$A,Inputs!D:D,,0)</f>
        <v>15754</v>
      </c>
      <c r="E40" s="55">
        <f>_xlfn.XLOOKUP($A40,Inputs!$A:$A,Inputs!E:E,,0)</f>
        <v>6267</v>
      </c>
      <c r="F40" s="55">
        <f>_xlfn.XLOOKUP($A40,Inputs!$A:$A,Inputs!F:F,,0)</f>
        <v>4923</v>
      </c>
      <c r="G40" s="55">
        <f>_xlfn.XLOOKUP($A40,Inputs!$A:$A,Inputs!G:G,,0)</f>
        <v>4358</v>
      </c>
      <c r="H40" s="55">
        <f>_xlfn.XLOOKUP($A40,Inputs!$A:$A,Inputs!H:H,,0)</f>
        <v>3453</v>
      </c>
      <c r="I40" s="55">
        <f>_xlfn.XLOOKUP($A40,Inputs!$A:$A,Inputs!I:I,,0)</f>
        <v>2040</v>
      </c>
      <c r="J40" s="55">
        <f>_xlfn.XLOOKUP($A40,Inputs!$A:$A,Inputs!J:J,,0)</f>
        <v>1681</v>
      </c>
      <c r="K40" s="55">
        <f>_xlfn.XLOOKUP($A40,Inputs!$A:$A,Inputs!K:K,,0)</f>
        <v>1115</v>
      </c>
      <c r="L40" s="55">
        <f>_xlfn.XLOOKUP($A40,Inputs!$A:$A,Inputs!L:L,,0)</f>
        <v>756</v>
      </c>
      <c r="M40" s="56">
        <f>_xlfn.XLOOKUP($A40,Inputs!$A:$A,Inputs!M:M,,0)</f>
        <v>740</v>
      </c>
    </row>
    <row r="41" spans="1:13">
      <c r="A41" s="119" t="s">
        <v>294</v>
      </c>
      <c r="B41" s="55">
        <f>_xlfn.XLOOKUP($A41,Inputs!$A:$A,Inputs!B:B,,0)</f>
        <v>0</v>
      </c>
      <c r="C41" s="55">
        <f>_xlfn.XLOOKUP($A41,Inputs!$A:$A,Inputs!C:C,,0)</f>
        <v>0</v>
      </c>
      <c r="D41" s="55">
        <f>_xlfn.XLOOKUP($A41,Inputs!$A:$A,Inputs!D:D,,0)</f>
        <v>0</v>
      </c>
      <c r="E41" s="55">
        <f>_xlfn.XLOOKUP($A41,Inputs!$A:$A,Inputs!E:E,,0)</f>
        <v>0</v>
      </c>
      <c r="F41" s="55">
        <f>_xlfn.XLOOKUP($A41,Inputs!$A:$A,Inputs!F:F,,0)</f>
        <v>0</v>
      </c>
      <c r="G41" s="55">
        <f>_xlfn.XLOOKUP($A41,Inputs!$A:$A,Inputs!G:G,,0)</f>
        <v>0</v>
      </c>
      <c r="H41" s="55">
        <f>_xlfn.XLOOKUP($A41,Inputs!$A:$A,Inputs!H:H,,0)</f>
        <v>0</v>
      </c>
      <c r="I41" s="55">
        <f>_xlfn.XLOOKUP($A41,Inputs!$A:$A,Inputs!I:I,,0)</f>
        <v>0</v>
      </c>
      <c r="J41" s="55">
        <f>_xlfn.XLOOKUP($A41,Inputs!$A:$A,Inputs!J:J,,0)</f>
        <v>0</v>
      </c>
      <c r="K41" s="55">
        <f>_xlfn.XLOOKUP($A41,Inputs!$A:$A,Inputs!K:K,,0)</f>
        <v>0</v>
      </c>
      <c r="L41" s="55">
        <f>_xlfn.XLOOKUP($A41,Inputs!$A:$A,Inputs!L:L,,0)</f>
        <v>0</v>
      </c>
      <c r="M41" s="56">
        <f>_xlfn.XLOOKUP($A41,Inputs!$A:$A,Inputs!M:M,,0)</f>
        <v>0</v>
      </c>
    </row>
    <row r="42" spans="1:13">
      <c r="A42" s="117" t="s">
        <v>619</v>
      </c>
      <c r="B42" s="55">
        <f>_xlfn.XLOOKUP($A42,Inputs!$A:$A,Inputs!B:B,,0)</f>
        <v>60640</v>
      </c>
      <c r="C42" s="55">
        <f>_xlfn.XLOOKUP($A42,Inputs!$A:$A,Inputs!C:C,,0)</f>
        <v>64069</v>
      </c>
      <c r="D42" s="55">
        <f>_xlfn.XLOOKUP($A42,Inputs!$A:$A,Inputs!D:D,,0)</f>
        <v>62839</v>
      </c>
      <c r="E42" s="55">
        <f>_xlfn.XLOOKUP($A42,Inputs!$A:$A,Inputs!E:E,,0)</f>
        <v>59835</v>
      </c>
      <c r="F42" s="55">
        <f>_xlfn.XLOOKUP($A42,Inputs!$A:$A,Inputs!F:F,,0)</f>
        <v>66737</v>
      </c>
      <c r="G42" s="55">
        <f>_xlfn.XLOOKUP($A42,Inputs!$A:$A,Inputs!G:G,,0)</f>
        <v>70056</v>
      </c>
      <c r="H42" s="55">
        <f>_xlfn.XLOOKUP($A42,Inputs!$A:$A,Inputs!H:H,,0)</f>
        <v>62029</v>
      </c>
      <c r="I42" s="55">
        <f>_xlfn.XLOOKUP($A42,Inputs!$A:$A,Inputs!I:I,,0)</f>
        <v>40756</v>
      </c>
      <c r="J42" s="55">
        <f>_xlfn.XLOOKUP($A42,Inputs!$A:$A,Inputs!J:J,,0)</f>
        <v>26787</v>
      </c>
      <c r="K42" s="55">
        <f>_xlfn.XLOOKUP($A42,Inputs!$A:$A,Inputs!K:K,,0)</f>
        <v>16061</v>
      </c>
      <c r="L42" s="55">
        <f>_xlfn.XLOOKUP($A42,Inputs!$A:$A,Inputs!L:L,,0)</f>
        <v>13125</v>
      </c>
      <c r="M42" s="56">
        <f>_xlfn.XLOOKUP($A42,Inputs!$A:$A,Inputs!M:M,,0)</f>
        <v>8586</v>
      </c>
    </row>
    <row r="43" spans="1:13">
      <c r="A43" s="119" t="s">
        <v>620</v>
      </c>
      <c r="B43" s="55">
        <f>_xlfn.XLOOKUP($A43,Inputs!$A:$A,Inputs!B:B,,0)</f>
        <v>3716220</v>
      </c>
      <c r="C43" s="55">
        <f>_xlfn.XLOOKUP($A43,Inputs!$A:$A,Inputs!C:C,,0)</f>
        <v>3273692</v>
      </c>
      <c r="D43" s="55">
        <f>_xlfn.XLOOKUP($A43,Inputs!$A:$A,Inputs!D:D,,0)</f>
        <v>4541455</v>
      </c>
      <c r="E43" s="55">
        <f>_xlfn.XLOOKUP($A43,Inputs!$A:$A,Inputs!E:E,,0)</f>
        <v>2102512</v>
      </c>
      <c r="F43" s="55">
        <f>_xlfn.XLOOKUP($A43,Inputs!$A:$A,Inputs!F:F,,0)</f>
        <v>1614479</v>
      </c>
      <c r="G43" s="55">
        <f>_xlfn.XLOOKUP($A43,Inputs!$A:$A,Inputs!G:G,,0)</f>
        <v>1597051</v>
      </c>
      <c r="H43" s="55">
        <f>_xlfn.XLOOKUP($A43,Inputs!$A:$A,Inputs!H:H,,0)</f>
        <v>1304924</v>
      </c>
      <c r="I43" s="55">
        <f>_xlfn.XLOOKUP($A43,Inputs!$A:$A,Inputs!I:I,,0)</f>
        <v>991177</v>
      </c>
      <c r="J43" s="55">
        <f>_xlfn.XLOOKUP($A43,Inputs!$A:$A,Inputs!J:J,,0)</f>
        <v>1275725</v>
      </c>
      <c r="K43" s="55">
        <f>_xlfn.XLOOKUP($A43,Inputs!$A:$A,Inputs!K:K,,0)</f>
        <v>622114</v>
      </c>
      <c r="L43" s="55">
        <f>_xlfn.XLOOKUP($A43,Inputs!$A:$A,Inputs!L:L,,0)</f>
        <v>435422</v>
      </c>
      <c r="M43" s="56">
        <f>_xlfn.XLOOKUP($A43,Inputs!$A:$A,Inputs!M:M,,0)</f>
        <v>360996</v>
      </c>
    </row>
    <row r="44" spans="1:13" ht="13.15">
      <c r="A44" s="120" t="s">
        <v>39</v>
      </c>
      <c r="B44" s="61">
        <f>_xlfn.XLOOKUP($A44,Inputs!$A:$A,Inputs!B:B,,0)</f>
        <v>4245460</v>
      </c>
      <c r="C44" s="61">
        <f>_xlfn.XLOOKUP($A44,Inputs!$A:$A,Inputs!C:C,,0)</f>
        <v>3695680</v>
      </c>
      <c r="D44" s="61">
        <f>_xlfn.XLOOKUP($A44,Inputs!$A:$A,Inputs!D:D,,0)</f>
        <v>4809014</v>
      </c>
      <c r="E44" s="61">
        <f>_xlfn.XLOOKUP($A44,Inputs!$A:$A,Inputs!E:E,,0)</f>
        <v>2414885</v>
      </c>
      <c r="F44" s="61">
        <f>_xlfn.XLOOKUP($A44,Inputs!$A:$A,Inputs!F:F,,0)</f>
        <v>1985648</v>
      </c>
      <c r="G44" s="61">
        <f>_xlfn.XLOOKUP($A44,Inputs!$A:$A,Inputs!G:G,,0)</f>
        <v>1803941</v>
      </c>
      <c r="H44" s="61">
        <f>_xlfn.XLOOKUP($A44,Inputs!$A:$A,Inputs!H:H,,0)</f>
        <v>1507599</v>
      </c>
      <c r="I44" s="61">
        <f>_xlfn.XLOOKUP($A44,Inputs!$A:$A,Inputs!I:I,,0)</f>
        <v>1137441</v>
      </c>
      <c r="J44" s="61">
        <f>_xlfn.XLOOKUP($A44,Inputs!$A:$A,Inputs!J:J,,0)</f>
        <v>1390689</v>
      </c>
      <c r="K44" s="61">
        <f>_xlfn.XLOOKUP($A44,Inputs!$A:$A,Inputs!K:K,,0)</f>
        <v>720548</v>
      </c>
      <c r="L44" s="61">
        <f>_xlfn.XLOOKUP($A44,Inputs!$A:$A,Inputs!L:L,,0)</f>
        <v>528151</v>
      </c>
      <c r="M44" s="61">
        <f>_xlfn.XLOOKUP($A44,Inputs!$A:$A,Inputs!M:M,,0)</f>
        <v>377916</v>
      </c>
    </row>
    <row r="45" spans="1:13">
      <c r="B45" s="495">
        <f>B55/B5</f>
        <v>3.3378609141435207E-2</v>
      </c>
      <c r="C45" s="495">
        <f t="shared" ref="C45:H45" si="73">C55/C5</f>
        <v>5.3185004571776898E-2</v>
      </c>
      <c r="D45" s="495">
        <f t="shared" si="73"/>
        <v>8.1063647377414672E-2</v>
      </c>
      <c r="E45" s="495">
        <f t="shared" si="73"/>
        <v>0.10572395445756709</v>
      </c>
      <c r="F45" s="495">
        <f t="shared" si="73"/>
        <v>0.13058117432022931</v>
      </c>
      <c r="G45" s="495">
        <f t="shared" si="73"/>
        <v>0</v>
      </c>
      <c r="H45" s="495">
        <f t="shared" si="73"/>
        <v>0</v>
      </c>
      <c r="I45"/>
      <c r="J45"/>
      <c r="K45"/>
      <c r="L45"/>
      <c r="M45"/>
    </row>
    <row r="46" spans="1:13">
      <c r="B46" s="617">
        <f>B51/B5</f>
        <v>0.1128765111246582</v>
      </c>
      <c r="C46" s="617">
        <f t="shared" ref="C46:J46" si="74">C51/C5</f>
        <v>0.12198811848819767</v>
      </c>
      <c r="D46" s="617">
        <f t="shared" si="74"/>
        <v>0.14587914633302487</v>
      </c>
      <c r="E46" s="617">
        <f t="shared" si="74"/>
        <v>0.16221620541606949</v>
      </c>
      <c r="F46" s="617">
        <f t="shared" si="74"/>
        <v>0.14230691804627946</v>
      </c>
      <c r="G46" s="617">
        <f t="shared" si="74"/>
        <v>0.12322697499962577</v>
      </c>
      <c r="H46" s="617">
        <f t="shared" si="74"/>
        <v>0.11188868610721882</v>
      </c>
      <c r="I46" s="617">
        <f t="shared" si="74"/>
        <v>0.10099996666777775</v>
      </c>
      <c r="J46" s="617">
        <f t="shared" si="74"/>
        <v>0.10827434644843326</v>
      </c>
      <c r="K46"/>
      <c r="L46"/>
      <c r="M46"/>
    </row>
    <row r="47" spans="1:13" ht="20.65">
      <c r="A47" s="1513" t="s">
        <v>621</v>
      </c>
      <c r="B47" s="1513"/>
      <c r="C47" s="1513"/>
      <c r="D47" s="1513"/>
      <c r="E47" s="1513"/>
      <c r="F47" s="1513"/>
      <c r="G47" s="1513"/>
      <c r="H47" s="1513"/>
      <c r="I47" s="1513"/>
      <c r="J47" s="1513"/>
      <c r="K47" s="1513"/>
      <c r="L47" s="1513"/>
      <c r="M47" s="1513"/>
    </row>
    <row r="48" spans="1:13" ht="13.15">
      <c r="A48" s="121" t="s">
        <v>298</v>
      </c>
      <c r="B48" s="61">
        <f>_xlfn.XLOOKUP($A48,Inputs!$A:$A,Inputs!B:B,,0)</f>
        <v>3117360</v>
      </c>
      <c r="C48" s="61">
        <f>_xlfn.XLOOKUP($A48,Inputs!$A:$A,Inputs!C:C,,0)</f>
        <v>2774795</v>
      </c>
      <c r="D48" s="61">
        <f>_xlfn.XLOOKUP($A48,Inputs!$A:$A,Inputs!D:D,,0)</f>
        <v>4120534</v>
      </c>
      <c r="E48" s="61">
        <f>_xlfn.XLOOKUP($A48,Inputs!$A:$A,Inputs!E:E,,0)</f>
        <v>1867016</v>
      </c>
      <c r="F48" s="61">
        <f>_xlfn.XLOOKUP($A48,Inputs!$A:$A,Inputs!F:F,,0)</f>
        <v>1408940</v>
      </c>
      <c r="G48" s="61">
        <f>_xlfn.XLOOKUP($A48,Inputs!$A:$A,Inputs!G:G,,0)</f>
        <v>1456048</v>
      </c>
      <c r="H48" s="61">
        <f>_xlfn.XLOOKUP($A48,Inputs!$A:$A,Inputs!H:H,,0)</f>
        <v>1270845</v>
      </c>
      <c r="I48" s="61">
        <f>_xlfn.XLOOKUP($A48,Inputs!$A:$A,Inputs!I:I,,0)</f>
        <v>974806</v>
      </c>
      <c r="J48" s="61">
        <f>_xlfn.XLOOKUP($A48,Inputs!$A:$A,Inputs!J:J,,0)</f>
        <v>1266222</v>
      </c>
      <c r="K48" s="61">
        <f>_xlfn.XLOOKUP($A48,Inputs!$A:$A,Inputs!K:K,,0)</f>
        <v>609487</v>
      </c>
      <c r="L48" s="61">
        <f>_xlfn.XLOOKUP($A48,Inputs!$A:$A,Inputs!L:L,,0)</f>
        <v>433128</v>
      </c>
      <c r="M48" s="61">
        <f>_xlfn.XLOOKUP($A48,Inputs!$A:$A,Inputs!M:M,,0)</f>
        <v>364411</v>
      </c>
    </row>
    <row r="49" spans="1:13">
      <c r="A49" s="122" t="s">
        <v>622</v>
      </c>
      <c r="B49" s="55">
        <f>_xlfn.XLOOKUP($A49,Inputs!$A:$A,Inputs!B:B,,0)</f>
        <v>0</v>
      </c>
      <c r="C49" s="55">
        <f>_xlfn.XLOOKUP($A49,Inputs!$A:$A,Inputs!C:C,,0)</f>
        <v>0</v>
      </c>
      <c r="D49" s="55">
        <f>_xlfn.XLOOKUP($A49,Inputs!$A:$A,Inputs!D:D,,0)</f>
        <v>0</v>
      </c>
      <c r="E49" s="55">
        <f>_xlfn.XLOOKUP($A49,Inputs!$A:$A,Inputs!E:E,,0)</f>
        <v>0</v>
      </c>
      <c r="F49" s="55">
        <f>_xlfn.XLOOKUP($A49,Inputs!$A:$A,Inputs!F:F,,0)</f>
        <v>0</v>
      </c>
      <c r="G49" s="55">
        <f>_xlfn.XLOOKUP($A49,Inputs!$A:$A,Inputs!G:G,,0)</f>
        <v>0</v>
      </c>
      <c r="H49" s="55">
        <f>_xlfn.XLOOKUP($A49,Inputs!$A:$A,Inputs!H:H,,0)</f>
        <v>0</v>
      </c>
      <c r="I49" s="55">
        <f>_xlfn.XLOOKUP($A49,Inputs!$A:$A,Inputs!I:I,,0)</f>
        <v>0</v>
      </c>
      <c r="J49" s="55">
        <f>_xlfn.XLOOKUP($A49,Inputs!$A:$A,Inputs!J:J,,0)</f>
        <v>0</v>
      </c>
      <c r="K49" s="55">
        <f>_xlfn.XLOOKUP($A49,Inputs!$A:$A,Inputs!K:K,,0)</f>
        <v>0</v>
      </c>
      <c r="L49" s="55">
        <f>_xlfn.XLOOKUP($A49,Inputs!$A:$A,Inputs!L:L,,0)</f>
        <v>0</v>
      </c>
      <c r="M49" s="55">
        <f>_xlfn.XLOOKUP($A49,Inputs!$A:$A,Inputs!M:M,,0)</f>
        <v>0</v>
      </c>
    </row>
    <row r="50" spans="1:13">
      <c r="A50" s="122" t="s">
        <v>623</v>
      </c>
      <c r="B50" s="55">
        <f>Assumptions!B126</f>
        <v>7634</v>
      </c>
      <c r="C50" s="55">
        <f>Assumptions!C126</f>
        <v>7800</v>
      </c>
      <c r="D50" s="55">
        <f>Assumptions!D126</f>
        <v>8399</v>
      </c>
      <c r="E50" s="55">
        <f>Assumptions!E126</f>
        <v>7549</v>
      </c>
      <c r="F50" s="55"/>
      <c r="G50" s="55"/>
      <c r="H50" s="55"/>
      <c r="I50" s="55"/>
      <c r="J50" s="55"/>
      <c r="K50" s="55"/>
      <c r="L50" s="55"/>
      <c r="M50" s="55"/>
    </row>
    <row r="51" spans="1:13">
      <c r="A51" s="116" t="s">
        <v>624</v>
      </c>
      <c r="B51" s="55">
        <f>_xlfn.XLOOKUP($A51,Inputs!$A:$A,Inputs!B:B,,0)</f>
        <v>158311</v>
      </c>
      <c r="C51" s="55">
        <f>_xlfn.XLOOKUP($A51,Inputs!$A:$A,Inputs!C:C,,0)</f>
        <v>143287</v>
      </c>
      <c r="D51" s="55">
        <f>_xlfn.XLOOKUP($A51,Inputs!$A:$A,Inputs!D:D,,0)</f>
        <v>124384</v>
      </c>
      <c r="E51" s="55">
        <f>_xlfn.XLOOKUP($A51,Inputs!$A:$A,Inputs!E:E,,0)</f>
        <v>103109</v>
      </c>
      <c r="F51" s="55">
        <f>_xlfn.XLOOKUP($A51,Inputs!$A:$A,Inputs!F:F,,0)</f>
        <v>79881</v>
      </c>
      <c r="G51" s="55">
        <f>_xlfn.XLOOKUP($A51,Inputs!$A:$A,Inputs!G:G,,0)</f>
        <v>57625</v>
      </c>
      <c r="H51" s="55">
        <f>_xlfn.XLOOKUP($A51,Inputs!$A:$A,Inputs!H:H,,0)</f>
        <v>42241</v>
      </c>
      <c r="I51" s="55">
        <f>_xlfn.XLOOKUP($A51,Inputs!$A:$A,Inputs!I:I,,0)</f>
        <v>30301</v>
      </c>
      <c r="J51" s="55">
        <f>_xlfn.XLOOKUP($A51,Inputs!$A:$A,Inputs!J:J,,0)</f>
        <v>24979</v>
      </c>
      <c r="K51" s="55">
        <f>_xlfn.XLOOKUP($A51,Inputs!$A:$A,Inputs!K:K,,0)</f>
        <v>16430</v>
      </c>
      <c r="L51" s="55">
        <f>_xlfn.XLOOKUP($A51,Inputs!$A:$A,Inputs!L:L,,0)</f>
        <v>10744</v>
      </c>
      <c r="M51" s="55">
        <f>_xlfn.XLOOKUP($A51,Inputs!$A:$A,Inputs!M:M,,0)</f>
        <v>6794</v>
      </c>
    </row>
    <row r="52" spans="1:13">
      <c r="A52" s="117" t="s">
        <v>625</v>
      </c>
      <c r="B52" s="55">
        <f>_xlfn.XLOOKUP($A52,Inputs!$A:$A,Inputs!B:B,,0)</f>
        <v>2950411</v>
      </c>
      <c r="C52" s="55">
        <f>_xlfn.XLOOKUP($A52,Inputs!$A:$A,Inputs!C:C,,0)</f>
        <v>2625355</v>
      </c>
      <c r="D52" s="55">
        <f>_xlfn.XLOOKUP($A52,Inputs!$A:$A,Inputs!D:D,,0)</f>
        <v>3987751</v>
      </c>
      <c r="E52" s="55">
        <f>_xlfn.XLOOKUP($A52,Inputs!$A:$A,Inputs!E:E,,0)</f>
        <v>1759677</v>
      </c>
      <c r="F52" s="55">
        <f>_xlfn.XLOOKUP($A52,Inputs!$A:$A,Inputs!F:F,,0)</f>
        <v>1327304</v>
      </c>
      <c r="G52" s="55">
        <f>_xlfn.XLOOKUP($A52,Inputs!$A:$A,Inputs!G:G,,0)</f>
        <v>1394469</v>
      </c>
      <c r="H52" s="55">
        <f>_xlfn.XLOOKUP($A52,Inputs!$A:$A,Inputs!H:H,,0)</f>
        <v>1225614</v>
      </c>
      <c r="I52" s="55">
        <f>_xlfn.XLOOKUP($A52,Inputs!$A:$A,Inputs!I:I,,0)</f>
        <v>942459</v>
      </c>
      <c r="J52" s="55">
        <f>_xlfn.XLOOKUP($A52,Inputs!$A:$A,Inputs!J:J,,0)</f>
        <v>1239622</v>
      </c>
      <c r="K52" s="55">
        <f>_xlfn.XLOOKUP($A52,Inputs!$A:$A,Inputs!K:K,,0)</f>
        <v>591730</v>
      </c>
      <c r="L52" s="55">
        <f>_xlfn.XLOOKUP($A52,Inputs!$A:$A,Inputs!L:L,,0)</f>
        <v>420251</v>
      </c>
      <c r="M52" s="55">
        <f>_xlfn.XLOOKUP($A52,Inputs!$A:$A,Inputs!M:M,,0)</f>
        <v>356737</v>
      </c>
    </row>
    <row r="53" spans="1:13" ht="13.15">
      <c r="A53" s="121" t="s">
        <v>626</v>
      </c>
      <c r="B53" s="61">
        <f>_xlfn.XLOOKUP($A53,Inputs!$A:$A,Inputs!B:B,,0)</f>
        <v>95036</v>
      </c>
      <c r="C53" s="61">
        <f>_xlfn.XLOOKUP($A53,Inputs!$A:$A,Inputs!C:C,,0)</f>
        <v>78022</v>
      </c>
      <c r="D53" s="61">
        <f>_xlfn.XLOOKUP($A53,Inputs!$A:$A,Inputs!D:D,,0)</f>
        <v>75017</v>
      </c>
      <c r="E53" s="61">
        <f>_xlfn.XLOOKUP($A53,Inputs!$A:$A,Inputs!E:E,,0)</f>
        <v>70939</v>
      </c>
      <c r="F53" s="61">
        <f>_xlfn.XLOOKUP($A53,Inputs!$A:$A,Inputs!F:F,,0)</f>
        <v>183800</v>
      </c>
      <c r="G53" s="61">
        <f>_xlfn.XLOOKUP($A53,Inputs!$A:$A,Inputs!G:G,,0)</f>
        <v>39929</v>
      </c>
      <c r="H53" s="61">
        <f>_xlfn.XLOOKUP($A53,Inputs!$A:$A,Inputs!H:H,,0)</f>
        <v>23930</v>
      </c>
      <c r="I53" s="61">
        <f>_xlfn.XLOOKUP($A53,Inputs!$A:$A,Inputs!I:I,,0)</f>
        <v>15022</v>
      </c>
      <c r="J53" s="61">
        <f>_xlfn.XLOOKUP($A53,Inputs!$A:$A,Inputs!J:J,,0)</f>
        <v>4895</v>
      </c>
      <c r="K53" s="61">
        <f>_xlfn.XLOOKUP($A53,Inputs!$A:$A,Inputs!K:K,,0)</f>
        <v>3481</v>
      </c>
      <c r="L53" s="61">
        <f>_xlfn.XLOOKUP($A53,Inputs!$A:$A,Inputs!L:L,,0)</f>
        <v>3889</v>
      </c>
      <c r="M53" s="61">
        <f>_xlfn.XLOOKUP($A53,Inputs!$A:$A,Inputs!M:M,,0)</f>
        <v>3524</v>
      </c>
    </row>
    <row r="54" spans="1:13">
      <c r="A54" s="122" t="s">
        <v>627</v>
      </c>
      <c r="B54" s="55">
        <f>_xlfn.XLOOKUP($A54,Inputs!$A:$A,Inputs!B:B,,0)</f>
        <v>0</v>
      </c>
      <c r="C54" s="55">
        <f>_xlfn.XLOOKUP($A54,Inputs!$A:$A,Inputs!C:C,,0)</f>
        <v>0</v>
      </c>
      <c r="D54" s="55">
        <f>_xlfn.XLOOKUP($A54,Inputs!$A:$A,Inputs!D:D,,0)</f>
        <v>0</v>
      </c>
      <c r="E54" s="55">
        <f>_xlfn.XLOOKUP($A54,Inputs!$A:$A,Inputs!E:E,,0)</f>
        <v>0</v>
      </c>
      <c r="F54" s="55">
        <f>_xlfn.XLOOKUP($A54,Inputs!$A:$A,Inputs!F:F,,0)</f>
        <v>100000</v>
      </c>
      <c r="G54" s="55">
        <f>_xlfn.XLOOKUP($A54,Inputs!$A:$A,Inputs!G:G,,0)</f>
        <v>0</v>
      </c>
      <c r="H54" s="55">
        <f>_xlfn.XLOOKUP($A54,Inputs!$A:$A,Inputs!H:H,,0)</f>
        <v>0</v>
      </c>
      <c r="I54" s="55">
        <f>_xlfn.XLOOKUP($A54,Inputs!$A:$A,Inputs!I:I,,0)</f>
        <v>0</v>
      </c>
      <c r="J54" s="55">
        <f>_xlfn.XLOOKUP($A54,Inputs!$A:$A,Inputs!J:J,,0)</f>
        <v>0</v>
      </c>
      <c r="K54" s="55">
        <f>_xlfn.XLOOKUP($A54,Inputs!$A:$A,Inputs!K:K,,0)</f>
        <v>0</v>
      </c>
      <c r="L54" s="55">
        <f>_xlfn.XLOOKUP($A54,Inputs!$A:$A,Inputs!L:L,,0)</f>
        <v>0</v>
      </c>
      <c r="M54" s="55">
        <f>_xlfn.XLOOKUP($A54,Inputs!$A:$A,Inputs!M:M,,0)</f>
        <v>938</v>
      </c>
    </row>
    <row r="55" spans="1:13">
      <c r="A55" s="116" t="s">
        <v>628</v>
      </c>
      <c r="B55" s="55">
        <f>_xlfn.XLOOKUP($A55,Inputs!$A:$A,Inputs!B:B,,0)</f>
        <v>46814</v>
      </c>
      <c r="C55" s="55">
        <f>_xlfn.XLOOKUP($A55,Inputs!$A:$A,Inputs!C:C,,0)</f>
        <v>62471</v>
      </c>
      <c r="D55" s="55">
        <f>_xlfn.XLOOKUP($A55,Inputs!$A:$A,Inputs!D:D,,0)</f>
        <v>69119</v>
      </c>
      <c r="E55" s="55">
        <f>_xlfn.XLOOKUP($A55,Inputs!$A:$A,Inputs!E:E,,0)</f>
        <v>67201</v>
      </c>
      <c r="F55" s="55">
        <f>_xlfn.XLOOKUP($A55,Inputs!$A:$A,Inputs!F:F,,0)</f>
        <v>73299</v>
      </c>
      <c r="G55" s="55">
        <f>_xlfn.XLOOKUP($A55,Inputs!$A:$A,Inputs!G:G,,0)</f>
        <v>0</v>
      </c>
      <c r="H55" s="55">
        <f>_xlfn.XLOOKUP($A55,Inputs!$A:$A,Inputs!H:H,,0)</f>
        <v>0</v>
      </c>
      <c r="I55" s="55">
        <f>_xlfn.XLOOKUP($A55,Inputs!$A:$A,Inputs!I:I,,0)</f>
        <v>0</v>
      </c>
      <c r="J55" s="55">
        <f>_xlfn.XLOOKUP($A55,Inputs!$A:$A,Inputs!J:J,,0)</f>
        <v>0</v>
      </c>
      <c r="K55" s="55">
        <f>_xlfn.XLOOKUP($A55,Inputs!$A:$A,Inputs!K:K,,0)</f>
        <v>0</v>
      </c>
      <c r="L55" s="55">
        <f>_xlfn.XLOOKUP($A55,Inputs!$A:$A,Inputs!L:L,,0)</f>
        <v>0</v>
      </c>
      <c r="M55" s="55">
        <f>_xlfn.XLOOKUP($A55,Inputs!$A:$A,Inputs!M:M,,0)</f>
        <v>0</v>
      </c>
    </row>
    <row r="56" spans="1:13">
      <c r="A56" s="117" t="s">
        <v>629</v>
      </c>
      <c r="B56" s="55">
        <f>_xlfn.XLOOKUP($A56,Inputs!$A:$A,Inputs!B:B,,0)</f>
        <v>48222</v>
      </c>
      <c r="C56" s="55">
        <f>_xlfn.XLOOKUP($A56,Inputs!$A:$A,Inputs!C:C,,0)</f>
        <v>15551</v>
      </c>
      <c r="D56" s="55">
        <f>_xlfn.XLOOKUP($A56,Inputs!$A:$A,Inputs!D:D,,0)</f>
        <v>5898</v>
      </c>
      <c r="E56" s="55">
        <f>_xlfn.XLOOKUP($A56,Inputs!$A:$A,Inputs!E:E,,0)</f>
        <v>3738</v>
      </c>
      <c r="F56" s="55">
        <f>_xlfn.XLOOKUP($A56,Inputs!$A:$A,Inputs!F:F,,0)</f>
        <v>10501</v>
      </c>
      <c r="G56" s="55">
        <f>_xlfn.XLOOKUP($A56,Inputs!$A:$A,Inputs!G:G,,0)</f>
        <v>39929</v>
      </c>
      <c r="H56" s="55">
        <f>_xlfn.XLOOKUP($A56,Inputs!$A:$A,Inputs!H:H,,0)</f>
        <v>23930</v>
      </c>
      <c r="I56" s="55">
        <f>_xlfn.XLOOKUP($A56,Inputs!$A:$A,Inputs!I:I,,0)</f>
        <v>15022</v>
      </c>
      <c r="J56" s="55">
        <f>_xlfn.XLOOKUP($A56,Inputs!$A:$A,Inputs!J:J,,0)</f>
        <v>4895</v>
      </c>
      <c r="K56" s="55">
        <f>_xlfn.XLOOKUP($A56,Inputs!$A:$A,Inputs!K:K,,0)</f>
        <v>3481</v>
      </c>
      <c r="L56" s="55">
        <f>_xlfn.XLOOKUP($A56,Inputs!$A:$A,Inputs!L:L,,0)</f>
        <v>3889</v>
      </c>
      <c r="M56" s="55">
        <f>_xlfn.XLOOKUP($A56,Inputs!$A:$A,Inputs!M:M,,0)</f>
        <v>2586</v>
      </c>
    </row>
    <row r="57" spans="1:13" ht="13.15">
      <c r="A57" s="121" t="s">
        <v>45</v>
      </c>
      <c r="B57" s="61">
        <f>_xlfn.XLOOKUP($A57,Inputs!$A:$A,Inputs!B:B,,0)</f>
        <v>3212396</v>
      </c>
      <c r="C57" s="61">
        <f>_xlfn.XLOOKUP($A57,Inputs!$A:$A,Inputs!C:C,,0)</f>
        <v>2852817</v>
      </c>
      <c r="D57" s="61">
        <f>_xlfn.XLOOKUP($A57,Inputs!$A:$A,Inputs!D:D,,0)</f>
        <v>4195551</v>
      </c>
      <c r="E57" s="61">
        <f>_xlfn.XLOOKUP($A57,Inputs!$A:$A,Inputs!E:E,,0)</f>
        <v>1937955</v>
      </c>
      <c r="F57" s="61">
        <f>_xlfn.XLOOKUP($A57,Inputs!$A:$A,Inputs!F:F,,0)</f>
        <v>1592740</v>
      </c>
      <c r="G57" s="61">
        <f>_xlfn.XLOOKUP($A57,Inputs!$A:$A,Inputs!G:G,,0)</f>
        <v>1495977</v>
      </c>
      <c r="H57" s="61">
        <f>_xlfn.XLOOKUP($A57,Inputs!$A:$A,Inputs!H:H,,0)</f>
        <v>1294775</v>
      </c>
      <c r="I57" s="61">
        <f>_xlfn.XLOOKUP($A57,Inputs!$A:$A,Inputs!I:I,,0)</f>
        <v>989828</v>
      </c>
      <c r="J57" s="61">
        <f>_xlfn.XLOOKUP($A57,Inputs!$A:$A,Inputs!J:J,,0)</f>
        <v>1271117</v>
      </c>
      <c r="K57" s="61">
        <f>_xlfn.XLOOKUP($A57,Inputs!$A:$A,Inputs!K:K,,0)</f>
        <v>612968</v>
      </c>
      <c r="L57" s="61">
        <f>_xlfn.XLOOKUP($A57,Inputs!$A:$A,Inputs!L:L,,0)</f>
        <v>437017</v>
      </c>
      <c r="M57" s="61">
        <f>_xlfn.XLOOKUP($A57,Inputs!$A:$A,Inputs!M:M,,0)</f>
        <v>367935</v>
      </c>
    </row>
    <row r="58" spans="1:13">
      <c r="B58" s="274">
        <f>B50+B55</f>
        <v>54448</v>
      </c>
      <c r="C58" s="274">
        <f t="shared" ref="C58:E58" si="75">C50+C55</f>
        <v>70271</v>
      </c>
      <c r="D58" s="274">
        <f t="shared" si="75"/>
        <v>77518</v>
      </c>
      <c r="E58" s="274">
        <f t="shared" si="75"/>
        <v>74750</v>
      </c>
      <c r="F58"/>
      <c r="G58"/>
      <c r="H58"/>
      <c r="I58"/>
      <c r="J58"/>
      <c r="K58"/>
      <c r="L58"/>
      <c r="M58"/>
    </row>
    <row r="59" spans="1:13" ht="13.15">
      <c r="A59" s="121" t="s">
        <v>299</v>
      </c>
      <c r="B59" s="61">
        <f>B49+B54+B51+B55</f>
        <v>205125</v>
      </c>
      <c r="C59" s="61">
        <f t="shared" ref="C59:M59" si="76">C49+C54+C51+C55</f>
        <v>205758</v>
      </c>
      <c r="D59" s="61">
        <f t="shared" si="76"/>
        <v>193503</v>
      </c>
      <c r="E59" s="61">
        <f t="shared" si="76"/>
        <v>170310</v>
      </c>
      <c r="F59" s="61">
        <f t="shared" si="76"/>
        <v>253180</v>
      </c>
      <c r="G59" s="61">
        <f t="shared" si="76"/>
        <v>57625</v>
      </c>
      <c r="H59" s="61">
        <f t="shared" si="76"/>
        <v>42241</v>
      </c>
      <c r="I59" s="61">
        <f t="shared" si="76"/>
        <v>30301</v>
      </c>
      <c r="J59" s="61">
        <f t="shared" si="76"/>
        <v>24979</v>
      </c>
      <c r="K59" s="61">
        <f t="shared" si="76"/>
        <v>16430</v>
      </c>
      <c r="L59" s="61">
        <f t="shared" si="76"/>
        <v>10744</v>
      </c>
      <c r="M59" s="61">
        <f t="shared" si="76"/>
        <v>7732</v>
      </c>
    </row>
    <row r="60" spans="1:13" ht="13.15">
      <c r="A60" s="122" t="s">
        <v>68</v>
      </c>
      <c r="B60" s="57">
        <f>IFERROR(B59/B44,"-")</f>
        <v>4.83163190796757E-2</v>
      </c>
      <c r="C60" s="57">
        <f t="shared" ref="C60:M60" si="77">IFERROR(C59/C44,"-")</f>
        <v>5.5675274915577104E-2</v>
      </c>
      <c r="D60" s="57">
        <f t="shared" si="77"/>
        <v>4.0237562211297366E-2</v>
      </c>
      <c r="E60" s="57">
        <f t="shared" si="77"/>
        <v>7.0525097468409473E-2</v>
      </c>
      <c r="F60" s="57">
        <f t="shared" si="77"/>
        <v>0.12750497570566385</v>
      </c>
      <c r="G60" s="57">
        <f t="shared" si="77"/>
        <v>3.1943949386371281E-2</v>
      </c>
      <c r="H60" s="57">
        <f t="shared" si="77"/>
        <v>2.8018723811835906E-2</v>
      </c>
      <c r="I60" s="57">
        <f t="shared" si="77"/>
        <v>2.6639623505746671E-2</v>
      </c>
      <c r="J60" s="57">
        <f t="shared" si="77"/>
        <v>1.7961600329045532E-2</v>
      </c>
      <c r="K60" s="57">
        <f t="shared" si="77"/>
        <v>2.280208952075365E-2</v>
      </c>
      <c r="L60" s="57">
        <f t="shared" si="77"/>
        <v>2.0342667153901064E-2</v>
      </c>
      <c r="M60" s="57">
        <f t="shared" si="77"/>
        <v>2.0459573026810191E-2</v>
      </c>
    </row>
    <row r="61" spans="1:13" ht="13.15">
      <c r="A61" s="121" t="s">
        <v>630</v>
      </c>
      <c r="B61" s="61">
        <f>B59-B39</f>
        <v>-196686</v>
      </c>
      <c r="C61" s="61">
        <f t="shared" ref="C61:M61" si="78">C59-C39</f>
        <v>-83009</v>
      </c>
      <c r="D61" s="61">
        <f t="shared" si="78"/>
        <v>53747</v>
      </c>
      <c r="E61" s="61">
        <f t="shared" si="78"/>
        <v>-31977</v>
      </c>
      <c r="F61" s="61">
        <f t="shared" si="78"/>
        <v>2329</v>
      </c>
      <c r="G61" s="61">
        <f t="shared" si="78"/>
        <v>-74851</v>
      </c>
      <c r="H61" s="61">
        <f t="shared" si="78"/>
        <v>-94952</v>
      </c>
      <c r="I61" s="61">
        <f t="shared" si="78"/>
        <v>-73167</v>
      </c>
      <c r="J61" s="61">
        <f t="shared" si="78"/>
        <v>-61517</v>
      </c>
      <c r="K61" s="61">
        <f t="shared" si="78"/>
        <v>-64828</v>
      </c>
      <c r="L61" s="61">
        <f t="shared" si="78"/>
        <v>-68104</v>
      </c>
      <c r="M61" s="61">
        <f t="shared" si="78"/>
        <v>138</v>
      </c>
    </row>
    <row r="62" spans="1:13">
      <c r="B62"/>
      <c r="C62"/>
      <c r="D62"/>
      <c r="E62"/>
      <c r="F62"/>
      <c r="G62"/>
      <c r="H62"/>
      <c r="I62"/>
      <c r="J62"/>
      <c r="K62"/>
      <c r="L62"/>
      <c r="M62"/>
    </row>
    <row r="63" spans="1:13" s="48" customFormat="1" ht="13.15">
      <c r="A63" s="121" t="s">
        <v>631</v>
      </c>
      <c r="B63" s="61">
        <f>_xlfn.XLOOKUP($A63,Inputs!$A:$A,Inputs!B:B,,0)</f>
        <v>0</v>
      </c>
      <c r="C63" s="61">
        <f>_xlfn.XLOOKUP($A63,Inputs!$A:$A,Inputs!C:C,,0)</f>
        <v>0</v>
      </c>
      <c r="D63" s="61">
        <f>_xlfn.XLOOKUP($A63,Inputs!$A:$A,Inputs!D:D,,0)</f>
        <v>0</v>
      </c>
      <c r="E63" s="61">
        <f>_xlfn.XLOOKUP($A63,Inputs!$A:$A,Inputs!E:E,,0)</f>
        <v>0</v>
      </c>
      <c r="F63" s="61">
        <f>_xlfn.XLOOKUP($A63,Inputs!$A:$A,Inputs!F:F,,0)</f>
        <v>0</v>
      </c>
      <c r="G63" s="61">
        <f>_xlfn.XLOOKUP($A63,Inputs!$A:$A,Inputs!G:G,,0)</f>
        <v>0</v>
      </c>
      <c r="H63" s="61">
        <f>_xlfn.XLOOKUP($A63,Inputs!$A:$A,Inputs!H:H,,0)</f>
        <v>0</v>
      </c>
      <c r="I63" s="61">
        <f>_xlfn.XLOOKUP($A63,Inputs!$A:$A,Inputs!I:I,,0)</f>
        <v>0</v>
      </c>
      <c r="J63" s="61">
        <f>_xlfn.XLOOKUP($A63,Inputs!$A:$A,Inputs!J:J,,0)</f>
        <v>0</v>
      </c>
      <c r="K63" s="61">
        <f>_xlfn.XLOOKUP($A63,Inputs!$A:$A,Inputs!K:K,,0)</f>
        <v>0</v>
      </c>
      <c r="L63" s="61">
        <f>_xlfn.XLOOKUP($A63,Inputs!$A:$A,Inputs!L:L,,0)</f>
        <v>0</v>
      </c>
      <c r="M63" s="61">
        <f>_xlfn.XLOOKUP($A63,Inputs!$A:$A,Inputs!M:M,,0)</f>
        <v>0</v>
      </c>
    </row>
    <row r="64" spans="1:13">
      <c r="B64"/>
      <c r="C64"/>
      <c r="D64"/>
      <c r="E64"/>
      <c r="F64"/>
      <c r="G64"/>
      <c r="H64"/>
      <c r="I64"/>
      <c r="J64"/>
      <c r="K64"/>
      <c r="L64"/>
      <c r="M64"/>
    </row>
    <row r="65" spans="1:235" ht="13.15">
      <c r="A65" s="121" t="s">
        <v>632</v>
      </c>
      <c r="B65" s="61">
        <f>_xlfn.XLOOKUP($A65,Inputs!$A:$A,Inputs!B:B,,0)</f>
        <v>1033064</v>
      </c>
      <c r="C65" s="61">
        <f>_xlfn.XLOOKUP($A65,Inputs!$A:$A,Inputs!C:C,,0)</f>
        <v>842863</v>
      </c>
      <c r="D65" s="61">
        <f>_xlfn.XLOOKUP($A65,Inputs!$A:$A,Inputs!D:D,,0)</f>
        <v>613463</v>
      </c>
      <c r="E65" s="61">
        <f>_xlfn.XLOOKUP($A65,Inputs!$A:$A,Inputs!E:E,,0)</f>
        <v>476930</v>
      </c>
      <c r="F65" s="61">
        <f>_xlfn.XLOOKUP($A65,Inputs!$A:$A,Inputs!F:F,,0)</f>
        <v>392908</v>
      </c>
      <c r="G65" s="61">
        <f>_xlfn.XLOOKUP($A65,Inputs!$A:$A,Inputs!G:G,,0)</f>
        <v>307964</v>
      </c>
      <c r="H65" s="61">
        <f>_xlfn.XLOOKUP($A65,Inputs!$A:$A,Inputs!H:H,,0)</f>
        <v>212824</v>
      </c>
      <c r="I65" s="61">
        <f>_xlfn.XLOOKUP($A65,Inputs!$A:$A,Inputs!I:I,,0)</f>
        <v>147613</v>
      </c>
      <c r="J65" s="61">
        <f>_xlfn.XLOOKUP($A65,Inputs!$A:$A,Inputs!J:J,,0)</f>
        <v>119572</v>
      </c>
      <c r="K65" s="61">
        <f>_xlfn.XLOOKUP($A65,Inputs!$A:$A,Inputs!K:K,,0)</f>
        <v>107580</v>
      </c>
      <c r="L65" s="61">
        <f>_xlfn.XLOOKUP($A65,Inputs!$A:$A,Inputs!L:L,,0)</f>
        <v>91134</v>
      </c>
      <c r="M65" s="61">
        <f>_xlfn.XLOOKUP($A65,Inputs!$A:$A,Inputs!M:M,,0)</f>
        <v>9981</v>
      </c>
    </row>
    <row r="66" spans="1:235">
      <c r="K66" s="44"/>
      <c r="L66" s="44"/>
      <c r="M66" s="44"/>
    </row>
    <row r="67" spans="1:235" ht="20.65">
      <c r="A67" s="1513" t="s">
        <v>128</v>
      </c>
      <c r="B67" s="1513"/>
      <c r="C67" s="1513"/>
      <c r="D67" s="1513"/>
      <c r="E67" s="1513"/>
      <c r="F67" s="1513"/>
      <c r="G67" s="1513"/>
      <c r="H67" s="1513"/>
      <c r="I67" s="1513"/>
      <c r="J67" s="1513"/>
      <c r="K67" s="1513"/>
      <c r="L67" s="1513"/>
      <c r="M67" s="1513"/>
    </row>
    <row r="68" spans="1:235" ht="13.15">
      <c r="A68" s="121" t="s">
        <v>129</v>
      </c>
      <c r="B68" s="61">
        <f>_xlfn.XLOOKUP($A68,Inputs!$A:$A,Inputs!B:B,,0)</f>
        <v>384670</v>
      </c>
      <c r="C68" s="61">
        <f>_xlfn.XLOOKUP($A68,Inputs!$A:$A,Inputs!C:C,,0)</f>
        <v>282723</v>
      </c>
      <c r="D68" s="61">
        <f>_xlfn.XLOOKUP($A68,Inputs!$A:$A,Inputs!D:D,,0)</f>
        <v>155053</v>
      </c>
      <c r="E68" s="61">
        <f>_xlfn.XLOOKUP($A68,Inputs!$A:$A,Inputs!E:E,,0)</f>
        <v>124850</v>
      </c>
      <c r="F68" s="61">
        <f>_xlfn.XLOOKUP($A68,Inputs!$A:$A,Inputs!F:F,,0)</f>
        <v>112655</v>
      </c>
      <c r="G68" s="61">
        <f>_xlfn.XLOOKUP($A68,Inputs!$A:$A,Inputs!G:G,,0)</f>
        <v>115032</v>
      </c>
      <c r="H68" s="61">
        <f>_xlfn.XLOOKUP($A68,Inputs!$A:$A,Inputs!H:H,,0)</f>
        <v>97866</v>
      </c>
      <c r="I68" s="61">
        <f>_xlfn.XLOOKUP($A68,Inputs!$A:$A,Inputs!I:I,,0)</f>
        <v>61980</v>
      </c>
      <c r="J68" s="61">
        <f>_xlfn.XLOOKUP($A68,Inputs!$A:$A,Inputs!J:J,,0)</f>
        <v>32993</v>
      </c>
      <c r="K68" s="61">
        <f>_xlfn.XLOOKUP($A68,Inputs!$A:$A,Inputs!K:K,,0)</f>
        <v>11105</v>
      </c>
      <c r="L68" s="61">
        <f>_xlfn.XLOOKUP($A68,Inputs!$A:$A,Inputs!L:L,,0)</f>
        <v>7199</v>
      </c>
      <c r="M68" s="61">
        <f>_xlfn.XLOOKUP($A68,Inputs!$A:$A,Inputs!M:M,,0)</f>
        <v>6228</v>
      </c>
    </row>
    <row r="69" spans="1:235" ht="13.15">
      <c r="A69" s="121" t="s">
        <v>130</v>
      </c>
      <c r="B69" s="61">
        <f>_xlfn.XLOOKUP($A69,Inputs!$A:$A,Inputs!B:B,,0)</f>
        <v>-101891</v>
      </c>
      <c r="C69" s="61">
        <f>_xlfn.XLOOKUP($A69,Inputs!$A:$A,Inputs!C:C,,0)</f>
        <v>-220162</v>
      </c>
      <c r="D69" s="61">
        <f>_xlfn.XLOOKUP($A69,Inputs!$A:$A,Inputs!D:D,,0)</f>
        <v>-479774</v>
      </c>
      <c r="E69" s="61">
        <f>_xlfn.XLOOKUP($A69,Inputs!$A:$A,Inputs!E:E,,0)</f>
        <v>48420</v>
      </c>
      <c r="F69" s="61">
        <f>_xlfn.XLOOKUP($A69,Inputs!$A:$A,Inputs!F:F,,0)</f>
        <v>-48757</v>
      </c>
      <c r="G69" s="61">
        <f>_xlfn.XLOOKUP($A69,Inputs!$A:$A,Inputs!G:G,,0)</f>
        <v>-43344</v>
      </c>
      <c r="H69" s="61">
        <f>_xlfn.XLOOKUP($A69,Inputs!$A:$A,Inputs!H:H,,0)</f>
        <v>-179279</v>
      </c>
      <c r="I69" s="61">
        <f>_xlfn.XLOOKUP($A69,Inputs!$A:$A,Inputs!I:I,,0)</f>
        <v>259339</v>
      </c>
      <c r="J69" s="61">
        <f>_xlfn.XLOOKUP($A69,Inputs!$A:$A,Inputs!J:J,,0)</f>
        <v>-673360</v>
      </c>
      <c r="K69" s="61">
        <f>_xlfn.XLOOKUP($A69,Inputs!$A:$A,Inputs!K:K,,0)</f>
        <v>-199172</v>
      </c>
      <c r="L69" s="61">
        <f>_xlfn.XLOOKUP($A69,Inputs!$A:$A,Inputs!L:L,,0)</f>
        <v>-78822</v>
      </c>
      <c r="M69" s="61">
        <f>_xlfn.XLOOKUP($A69,Inputs!$A:$A,Inputs!M:M,,0)</f>
        <v>-98604</v>
      </c>
    </row>
    <row r="70" spans="1:235">
      <c r="A70" s="117" t="s">
        <v>131</v>
      </c>
      <c r="B70" s="55">
        <f>_xlfn.XLOOKUP($A70,Inputs!$A:$A,Inputs!B:B,,0)</f>
        <v>-60726</v>
      </c>
      <c r="C70" s="55">
        <f>_xlfn.XLOOKUP($A70,Inputs!$A:$A,Inputs!C:C,,0)</f>
        <v>-45004</v>
      </c>
      <c r="D70" s="55">
        <f>_xlfn.XLOOKUP($A70,Inputs!$A:$A,Inputs!D:D,,0)</f>
        <v>-34515</v>
      </c>
      <c r="E70" s="55">
        <f>_xlfn.XLOOKUP($A70,Inputs!$A:$A,Inputs!E:E,,0)</f>
        <v>-28594</v>
      </c>
      <c r="F70" s="55">
        <f>_xlfn.XLOOKUP($A70,Inputs!$A:$A,Inputs!F:F,,0)</f>
        <v>-25715</v>
      </c>
      <c r="G70" s="55">
        <f>_xlfn.XLOOKUP($A70,Inputs!$A:$A,Inputs!G:G,,0)</f>
        <v>-20142</v>
      </c>
      <c r="H70" s="55">
        <f>_xlfn.XLOOKUP($A70,Inputs!$A:$A,Inputs!H:H,,0)</f>
        <v>-15638</v>
      </c>
      <c r="I70" s="55">
        <f>_xlfn.XLOOKUP($A70,Inputs!$A:$A,Inputs!I:I,,0)</f>
        <v>-13641</v>
      </c>
      <c r="J70" s="55">
        <f>_xlfn.XLOOKUP($A70,Inputs!$A:$A,Inputs!J:J,,0)</f>
        <v>-8391</v>
      </c>
      <c r="K70" s="55">
        <f>_xlfn.XLOOKUP($A70,Inputs!$A:$A,Inputs!K:K,,0)</f>
        <v>-4215</v>
      </c>
      <c r="L70" s="55">
        <f>_xlfn.XLOOKUP($A70,Inputs!$A:$A,Inputs!L:L,,0)</f>
        <v>-4349</v>
      </c>
      <c r="M70" s="55">
        <f>_xlfn.XLOOKUP($A70,Inputs!$A:$A,Inputs!M:M,,0)</f>
        <v>-1967</v>
      </c>
    </row>
    <row r="71" spans="1:235">
      <c r="A71" s="117" t="s">
        <v>132</v>
      </c>
      <c r="B71" s="55">
        <f>_xlfn.XLOOKUP($A71,Inputs!$A:$A,Inputs!B:B,,0)</f>
        <v>-22058</v>
      </c>
      <c r="C71" s="55">
        <f>_xlfn.XLOOKUP($A71,Inputs!$A:$A,Inputs!C:C,,0)</f>
        <v>-152144</v>
      </c>
      <c r="D71" s="55">
        <f>_xlfn.XLOOKUP($A71,Inputs!$A:$A,Inputs!D:D,,0)</f>
        <v>-424690</v>
      </c>
      <c r="E71" s="55">
        <f>_xlfn.XLOOKUP($A71,Inputs!$A:$A,Inputs!E:E,,0)</f>
        <v>86475</v>
      </c>
      <c r="F71" s="55">
        <f>_xlfn.XLOOKUP($A71,Inputs!$A:$A,Inputs!F:F,,0)</f>
        <v>-6464</v>
      </c>
      <c r="G71" s="55">
        <f>_xlfn.XLOOKUP($A71,Inputs!$A:$A,Inputs!G:G,,0)</f>
        <v>-4442</v>
      </c>
      <c r="H71" s="55">
        <f>_xlfn.XLOOKUP($A71,Inputs!$A:$A,Inputs!H:H,,0)</f>
        <v>-130211</v>
      </c>
      <c r="I71" s="55">
        <f>_xlfn.XLOOKUP($A71,Inputs!$A:$A,Inputs!I:I,,0)</f>
        <v>0</v>
      </c>
      <c r="J71" s="55">
        <f>_xlfn.XLOOKUP($A71,Inputs!$A:$A,Inputs!J:J,,0)</f>
        <v>-483</v>
      </c>
      <c r="K71" s="55">
        <f>_xlfn.XLOOKUP($A71,Inputs!$A:$A,Inputs!K:K,,0)</f>
        <v>-11979</v>
      </c>
      <c r="L71" s="55">
        <f>_xlfn.XLOOKUP($A71,Inputs!$A:$A,Inputs!L:L,,0)</f>
        <v>-6450</v>
      </c>
      <c r="M71" s="55">
        <f>_xlfn.XLOOKUP($A71,Inputs!$A:$A,Inputs!M:M,,0)</f>
        <v>0</v>
      </c>
      <c r="IA71" s="44"/>
    </row>
    <row r="72" spans="1:235" ht="13.15">
      <c r="A72" s="121" t="s">
        <v>133</v>
      </c>
      <c r="B72" s="61">
        <f>_xlfn.XLOOKUP($A72,Inputs!$A:$A,Inputs!B:B,,0)</f>
        <v>0</v>
      </c>
      <c r="C72" s="61">
        <f>_xlfn.XLOOKUP($A72,Inputs!$A:$A,Inputs!C:C,,0)</f>
        <v>-150000</v>
      </c>
      <c r="D72" s="61">
        <f>_xlfn.XLOOKUP($A72,Inputs!$A:$A,Inputs!D:D,,0)</f>
        <v>0</v>
      </c>
      <c r="E72" s="61">
        <f>_xlfn.XLOOKUP($A72,Inputs!$A:$A,Inputs!E:E,,0)</f>
        <v>-100000</v>
      </c>
      <c r="F72" s="61">
        <f>_xlfn.XLOOKUP($A72,Inputs!$A:$A,Inputs!F:F,,0)</f>
        <v>100000</v>
      </c>
      <c r="G72" s="61">
        <f>_xlfn.XLOOKUP($A72,Inputs!$A:$A,Inputs!G:G,,0)</f>
        <v>-34991</v>
      </c>
      <c r="H72" s="61">
        <f>_xlfn.XLOOKUP($A72,Inputs!$A:$A,Inputs!H:H,,0)</f>
        <v>0</v>
      </c>
      <c r="I72" s="61">
        <f>_xlfn.XLOOKUP($A72,Inputs!$A:$A,Inputs!I:I,,0)</f>
        <v>0</v>
      </c>
      <c r="J72" s="61">
        <f>_xlfn.XLOOKUP($A72,Inputs!$A:$A,Inputs!J:J,,0)</f>
        <v>0</v>
      </c>
      <c r="K72" s="61">
        <f>_xlfn.XLOOKUP($A72,Inputs!$A:$A,Inputs!K:K,,0)</f>
        <v>0</v>
      </c>
      <c r="L72" s="61">
        <f>_xlfn.XLOOKUP($A72,Inputs!$A:$A,Inputs!L:L,,0)</f>
        <v>0</v>
      </c>
      <c r="M72" s="61">
        <f>_xlfn.XLOOKUP($A72,Inputs!$A:$A,Inputs!M:M,,0)</f>
        <v>0</v>
      </c>
      <c r="IA72" s="44"/>
    </row>
    <row r="73" spans="1:235">
      <c r="A73" s="117" t="s">
        <v>134</v>
      </c>
      <c r="B73" s="55">
        <f>_xlfn.XLOOKUP($A73,Inputs!$A:$A,Inputs!B:B,,0)</f>
        <v>0</v>
      </c>
      <c r="C73" s="55">
        <f>_xlfn.XLOOKUP($A73,Inputs!$A:$A,Inputs!C:C,,0)</f>
        <v>0</v>
      </c>
      <c r="D73" s="55">
        <f>_xlfn.XLOOKUP($A73,Inputs!$A:$A,Inputs!D:D,,0)</f>
        <v>0</v>
      </c>
      <c r="E73" s="55">
        <f>_xlfn.XLOOKUP($A73,Inputs!$A:$A,Inputs!E:E,,0)</f>
        <v>0</v>
      </c>
      <c r="F73" s="55">
        <f>_xlfn.XLOOKUP($A73,Inputs!$A:$A,Inputs!F:F,,0)</f>
        <v>0</v>
      </c>
      <c r="G73" s="55">
        <f>_xlfn.XLOOKUP($A73,Inputs!$A:$A,Inputs!G:G,,0)</f>
        <v>0</v>
      </c>
      <c r="H73" s="55">
        <f>_xlfn.XLOOKUP($A73,Inputs!$A:$A,Inputs!H:H,,0)</f>
        <v>0</v>
      </c>
      <c r="I73" s="55">
        <f>_xlfn.XLOOKUP($A73,Inputs!$A:$A,Inputs!I:I,,0)</f>
        <v>0</v>
      </c>
      <c r="J73" s="55">
        <f>_xlfn.XLOOKUP($A73,Inputs!$A:$A,Inputs!J:J,,0)</f>
        <v>0</v>
      </c>
      <c r="K73" s="55">
        <f>_xlfn.XLOOKUP($A73,Inputs!$A:$A,Inputs!K:K,,0)</f>
        <v>0</v>
      </c>
      <c r="L73" s="55">
        <f>_xlfn.XLOOKUP($A73,Inputs!$A:$A,Inputs!L:L,,0)</f>
        <v>0</v>
      </c>
      <c r="M73" s="55">
        <f>_xlfn.XLOOKUP($A73,Inputs!$A:$A,Inputs!M:M,,0)</f>
        <v>0</v>
      </c>
      <c r="IA73" s="44"/>
    </row>
    <row r="74" spans="1:235">
      <c r="A74" s="117" t="s">
        <v>613</v>
      </c>
      <c r="B74" s="55">
        <f>_xlfn.XLOOKUP($A74,Inputs!$A:$A,Inputs!B:B,,0)</f>
        <v>0</v>
      </c>
      <c r="C74" s="55">
        <f>_xlfn.XLOOKUP($A74,Inputs!$A:$A,Inputs!C:C,,0)</f>
        <v>-150000</v>
      </c>
      <c r="D74" s="55">
        <f>_xlfn.XLOOKUP($A74,Inputs!$A:$A,Inputs!D:D,,0)</f>
        <v>0</v>
      </c>
      <c r="E74" s="55">
        <f>_xlfn.XLOOKUP($A74,Inputs!$A:$A,Inputs!E:E,,0)</f>
        <v>0</v>
      </c>
      <c r="F74" s="55">
        <f>_xlfn.XLOOKUP($A74,Inputs!$A:$A,Inputs!F:F,,0)</f>
        <v>0</v>
      </c>
      <c r="G74" s="55">
        <f>_xlfn.XLOOKUP($A74,Inputs!$A:$A,Inputs!G:G,,0)</f>
        <v>-34991</v>
      </c>
      <c r="H74" s="55">
        <f>_xlfn.XLOOKUP($A74,Inputs!$A:$A,Inputs!H:H,,0)</f>
        <v>0</v>
      </c>
      <c r="I74" s="55">
        <f>_xlfn.XLOOKUP($A74,Inputs!$A:$A,Inputs!I:I,,0)</f>
        <v>0</v>
      </c>
      <c r="J74" s="55">
        <f>_xlfn.XLOOKUP($A74,Inputs!$A:$A,Inputs!J:J,,0)</f>
        <v>0</v>
      </c>
      <c r="K74" s="55">
        <f>_xlfn.XLOOKUP($A74,Inputs!$A:$A,Inputs!K:K,,0)</f>
        <v>0</v>
      </c>
      <c r="L74" s="55">
        <f>_xlfn.XLOOKUP($A74,Inputs!$A:$A,Inputs!L:L,,0)</f>
        <v>0</v>
      </c>
      <c r="M74" s="55">
        <f>_xlfn.XLOOKUP($A74,Inputs!$A:$A,Inputs!M:M,,0)</f>
        <v>0</v>
      </c>
    </row>
    <row r="75" spans="1:235" ht="13.15">
      <c r="A75" s="121" t="s">
        <v>137</v>
      </c>
      <c r="B75" s="61">
        <f>_xlfn.XLOOKUP($A75,Inputs!$A:$A,Inputs!B:B,,0)</f>
        <v>0</v>
      </c>
      <c r="C75" s="61">
        <f>_xlfn.XLOOKUP($A75,Inputs!$A:$A,Inputs!C:C,,0)</f>
        <v>0</v>
      </c>
      <c r="D75" s="61">
        <f>_xlfn.XLOOKUP($A75,Inputs!$A:$A,Inputs!D:D,,0)</f>
        <v>0</v>
      </c>
      <c r="E75" s="61">
        <f>_xlfn.XLOOKUP($A75,Inputs!$A:$A,Inputs!E:E,,0)</f>
        <v>0</v>
      </c>
      <c r="F75" s="61">
        <f>_xlfn.XLOOKUP($A75,Inputs!$A:$A,Inputs!F:F,,0)</f>
        <v>0</v>
      </c>
      <c r="G75" s="61">
        <f>_xlfn.XLOOKUP($A75,Inputs!$A:$A,Inputs!G:G,,0)</f>
        <v>0</v>
      </c>
      <c r="H75" s="61">
        <f>_xlfn.XLOOKUP($A75,Inputs!$A:$A,Inputs!H:H,,0)</f>
        <v>0</v>
      </c>
      <c r="I75" s="61">
        <f>_xlfn.XLOOKUP($A75,Inputs!$A:$A,Inputs!I:I,,0)</f>
        <v>0</v>
      </c>
      <c r="J75" s="61">
        <f>_xlfn.XLOOKUP($A75,Inputs!$A:$A,Inputs!J:J,,0)</f>
        <v>0</v>
      </c>
      <c r="K75" s="61">
        <f>_xlfn.XLOOKUP($A75,Inputs!$A:$A,Inputs!K:K,,0)</f>
        <v>0</v>
      </c>
      <c r="L75" s="61">
        <f>_xlfn.XLOOKUP($A75,Inputs!$A:$A,Inputs!L:L,,0)</f>
        <v>0</v>
      </c>
      <c r="M75" s="61">
        <f>_xlfn.XLOOKUP($A75,Inputs!$A:$A,Inputs!M:M,,0)</f>
        <v>0</v>
      </c>
    </row>
    <row r="76" spans="1:235" ht="13.15">
      <c r="A76" s="121" t="s">
        <v>633</v>
      </c>
      <c r="B76" s="61">
        <f>_xlfn.XLOOKUP($A76,Inputs!$A:$A,Inputs!B:B,,0)</f>
        <v>282779</v>
      </c>
      <c r="C76" s="61">
        <f>_xlfn.XLOOKUP($A76,Inputs!$A:$A,Inputs!C:C,,0)</f>
        <v>-87439</v>
      </c>
      <c r="D76" s="61">
        <f>_xlfn.XLOOKUP($A76,Inputs!$A:$A,Inputs!D:D,,0)</f>
        <v>-324721</v>
      </c>
      <c r="E76" s="61">
        <f>_xlfn.XLOOKUP($A76,Inputs!$A:$A,Inputs!E:E,,0)</f>
        <v>73270</v>
      </c>
      <c r="F76" s="61">
        <f>_xlfn.XLOOKUP($A76,Inputs!$A:$A,Inputs!F:F,,0)</f>
        <v>163898</v>
      </c>
      <c r="G76" s="61">
        <f>_xlfn.XLOOKUP($A76,Inputs!$A:$A,Inputs!G:G,,0)</f>
        <v>36697</v>
      </c>
      <c r="H76" s="61">
        <f>_xlfn.XLOOKUP($A76,Inputs!$A:$A,Inputs!H:H,,0)</f>
        <v>-81413</v>
      </c>
      <c r="I76" s="61">
        <f>_xlfn.XLOOKUP($A76,Inputs!$A:$A,Inputs!I:I,,0)</f>
        <v>321319</v>
      </c>
      <c r="J76" s="61">
        <f>_xlfn.XLOOKUP($A76,Inputs!$A:$A,Inputs!J:J,,0)</f>
        <v>-640367</v>
      </c>
      <c r="K76" s="61">
        <f>_xlfn.XLOOKUP($A76,Inputs!$A:$A,Inputs!K:K,,0)</f>
        <v>-188067</v>
      </c>
      <c r="L76" s="61">
        <f>_xlfn.XLOOKUP($A76,Inputs!$A:$A,Inputs!L:L,,0)</f>
        <v>-71623</v>
      </c>
      <c r="M76" s="61">
        <f>_xlfn.XLOOKUP($A76,Inputs!$A:$A,Inputs!M:M,,0)</f>
        <v>-92376</v>
      </c>
    </row>
    <row r="77" spans="1:235">
      <c r="K77" s="44"/>
      <c r="L77" s="44"/>
      <c r="M77" s="44"/>
    </row>
    <row r="78" spans="1:235" ht="20.65">
      <c r="A78" s="1513" t="s">
        <v>634</v>
      </c>
      <c r="B78" s="1513"/>
      <c r="C78" s="1513"/>
      <c r="D78" s="1513"/>
      <c r="E78" s="1513"/>
      <c r="F78" s="1513"/>
      <c r="G78" s="1513"/>
      <c r="H78" s="1513"/>
      <c r="I78" s="1513"/>
      <c r="J78" s="1513"/>
      <c r="K78" s="1513"/>
      <c r="L78" s="1513"/>
      <c r="M78" s="1513"/>
    </row>
    <row r="79" spans="1:235">
      <c r="A79" s="116" t="s">
        <v>635</v>
      </c>
      <c r="B79" s="55" t="e">
        <f>_xlfn.XLOOKUP($A79,Inputs!$A:$A,Inputs!B:B,,0)</f>
        <v>#N/A</v>
      </c>
      <c r="C79" s="55" t="e">
        <f>_xlfn.XLOOKUP($A79,Inputs!$A:$A,Inputs!C:C,,0)</f>
        <v>#N/A</v>
      </c>
      <c r="D79" s="55" t="e">
        <f>_xlfn.XLOOKUP($A79,Inputs!$A:$A,Inputs!D:D,,0)</f>
        <v>#N/A</v>
      </c>
      <c r="E79" s="55" t="e">
        <f>_xlfn.XLOOKUP($A79,Inputs!$A:$A,Inputs!E:E,,0)</f>
        <v>#N/A</v>
      </c>
      <c r="F79" s="55" t="e">
        <f>_xlfn.XLOOKUP($A79,Inputs!$A:$A,Inputs!F:F,,0)</f>
        <v>#N/A</v>
      </c>
      <c r="G79" s="55" t="e">
        <f>_xlfn.XLOOKUP($A79,Inputs!$A:$A,Inputs!G:G,,0)</f>
        <v>#N/A</v>
      </c>
      <c r="H79" s="55" t="e">
        <f>_xlfn.XLOOKUP($A79,Inputs!$A:$A,Inputs!H:H,,0)</f>
        <v>#N/A</v>
      </c>
      <c r="I79" s="55" t="e">
        <f>_xlfn.XLOOKUP($A79,Inputs!$A:$A,Inputs!I:I,,0)</f>
        <v>#N/A</v>
      </c>
      <c r="J79" s="55" t="e">
        <f>_xlfn.XLOOKUP($A79,Inputs!$A:$A,Inputs!J:J,,0)</f>
        <v>#N/A</v>
      </c>
      <c r="K79" s="55" t="e">
        <f>_xlfn.XLOOKUP($A79,Inputs!$A:$A,Inputs!K:K,,0)</f>
        <v>#N/A</v>
      </c>
      <c r="L79" s="55" t="e">
        <f>_xlfn.XLOOKUP($A79,Inputs!$A:$A,Inputs!L:L,,0)</f>
        <v>#N/A</v>
      </c>
      <c r="M79" s="55" t="e">
        <f>_xlfn.XLOOKUP($A79,Inputs!$A:$A,Inputs!M:M,,0)</f>
        <v>#N/A</v>
      </c>
    </row>
    <row r="80" spans="1:235">
      <c r="A80" s="122" t="s">
        <v>636</v>
      </c>
      <c r="B80" s="55" t="e">
        <f>_xlfn.XLOOKUP($A80,Inputs!$A:$A,Inputs!B:B,,0)</f>
        <v>#N/A</v>
      </c>
      <c r="C80" s="55" t="e">
        <f>_xlfn.XLOOKUP($A80,Inputs!$A:$A,Inputs!C:C,,0)</f>
        <v>#N/A</v>
      </c>
      <c r="D80" s="55" t="e">
        <f>_xlfn.XLOOKUP($A80,Inputs!$A:$A,Inputs!D:D,,0)</f>
        <v>#N/A</v>
      </c>
      <c r="E80" s="55" t="e">
        <f>_xlfn.XLOOKUP($A80,Inputs!$A:$A,Inputs!E:E,,0)</f>
        <v>#N/A</v>
      </c>
      <c r="F80" s="55" t="e">
        <f>_xlfn.XLOOKUP($A80,Inputs!$A:$A,Inputs!F:F,,0)</f>
        <v>#N/A</v>
      </c>
      <c r="G80" s="55" t="e">
        <f>_xlfn.XLOOKUP($A80,Inputs!$A:$A,Inputs!G:G,,0)</f>
        <v>#N/A</v>
      </c>
      <c r="H80" s="55" t="e">
        <f>_xlfn.XLOOKUP($A80,Inputs!$A:$A,Inputs!H:H,,0)</f>
        <v>#N/A</v>
      </c>
      <c r="I80" s="55" t="e">
        <f>_xlfn.XLOOKUP($A80,Inputs!$A:$A,Inputs!I:I,,0)</f>
        <v>#N/A</v>
      </c>
      <c r="J80" s="55" t="e">
        <f>_xlfn.XLOOKUP($A80,Inputs!$A:$A,Inputs!J:J,,0)</f>
        <v>#N/A</v>
      </c>
      <c r="K80" s="55" t="e">
        <f>_xlfn.XLOOKUP($A80,Inputs!$A:$A,Inputs!K:K,,0)</f>
        <v>#N/A</v>
      </c>
      <c r="L80" s="55" t="e">
        <f>_xlfn.XLOOKUP($A80,Inputs!$A:$A,Inputs!L:L,,0)</f>
        <v>#N/A</v>
      </c>
      <c r="M80" s="55" t="e">
        <f>_xlfn.XLOOKUP($A80,Inputs!$A:$A,Inputs!M:M,,0)</f>
        <v>#N/A</v>
      </c>
    </row>
    <row r="81" spans="1:13">
      <c r="A81" s="116" t="s">
        <v>43</v>
      </c>
      <c r="B81" s="55">
        <f>_xlfn.XLOOKUP($A81,Inputs!$A:$A,Inputs!B:B,,0)</f>
        <v>0</v>
      </c>
      <c r="C81" s="55" t="str">
        <f>_xlfn.XLOOKUP($A81,Inputs!$A:$A,Inputs!C:C,,0)</f>
        <v>Yahoo finance</v>
      </c>
      <c r="D81" s="55">
        <f>_xlfn.XLOOKUP($A81,Inputs!$A:$A,Inputs!D:D,,0)</f>
        <v>0</v>
      </c>
      <c r="E81" s="55">
        <f>_xlfn.XLOOKUP($A81,Inputs!$A:$A,Inputs!E:E,,0)</f>
        <v>0</v>
      </c>
      <c r="F81" s="55">
        <f>_xlfn.XLOOKUP($A81,Inputs!$A:$A,Inputs!F:F,,0)</f>
        <v>0</v>
      </c>
      <c r="G81" s="55">
        <f>_xlfn.XLOOKUP($A81,Inputs!$A:$A,Inputs!G:G,,0)</f>
        <v>0</v>
      </c>
      <c r="H81" s="55">
        <f>_xlfn.XLOOKUP($A81,Inputs!$A:$A,Inputs!H:H,,0)</f>
        <v>0</v>
      </c>
      <c r="I81" s="55">
        <f>_xlfn.XLOOKUP($A81,Inputs!$A:$A,Inputs!I:I,,0)</f>
        <v>0</v>
      </c>
      <c r="J81" s="55">
        <f>_xlfn.XLOOKUP($A81,Inputs!$A:$A,Inputs!J:J,,0)</f>
        <v>0</v>
      </c>
      <c r="K81" s="55">
        <f>_xlfn.XLOOKUP($A81,Inputs!$A:$A,Inputs!K:K,,0)</f>
        <v>0</v>
      </c>
      <c r="L81" s="55">
        <f>_xlfn.XLOOKUP($A81,Inputs!$A:$A,Inputs!L:L,,0)</f>
        <v>0</v>
      </c>
      <c r="M81" s="55">
        <f>_xlfn.XLOOKUP($A81,Inputs!$A:$A,Inputs!M:M,,0)</f>
        <v>0</v>
      </c>
    </row>
    <row r="82" spans="1:13">
      <c r="A82" s="122" t="s">
        <v>48</v>
      </c>
      <c r="B82" s="55">
        <f>_xlfn.XLOOKUP($A82,Inputs!$A:$A,Inputs!B:B,,0)</f>
        <v>0</v>
      </c>
      <c r="C82" s="55" t="str">
        <f>_xlfn.XLOOKUP($A82,Inputs!$A:$A,Inputs!C:C,,0)</f>
        <v>Yahoo finance</v>
      </c>
      <c r="D82" s="55">
        <f>_xlfn.XLOOKUP($A82,Inputs!$A:$A,Inputs!D:D,,0)</f>
        <v>0</v>
      </c>
      <c r="E82" s="55">
        <f>_xlfn.XLOOKUP($A82,Inputs!$A:$A,Inputs!E:E,,0)</f>
        <v>0</v>
      </c>
      <c r="F82" s="55">
        <f>_xlfn.XLOOKUP($A82,Inputs!$A:$A,Inputs!F:F,,0)</f>
        <v>0</v>
      </c>
      <c r="G82" s="55">
        <f>_xlfn.XLOOKUP($A82,Inputs!$A:$A,Inputs!G:G,,0)</f>
        <v>0</v>
      </c>
      <c r="H82" s="55">
        <f>_xlfn.XLOOKUP($A82,Inputs!$A:$A,Inputs!H:H,,0)</f>
        <v>0</v>
      </c>
      <c r="I82" s="55">
        <f>_xlfn.XLOOKUP($A82,Inputs!$A:$A,Inputs!I:I,,0)</f>
        <v>0</v>
      </c>
      <c r="J82" s="55">
        <f>_xlfn.XLOOKUP($A82,Inputs!$A:$A,Inputs!J:J,,0)</f>
        <v>0</v>
      </c>
      <c r="K82" s="55">
        <f>_xlfn.XLOOKUP($A82,Inputs!$A:$A,Inputs!K:K,,0)</f>
        <v>0</v>
      </c>
      <c r="L82" s="55">
        <f>_xlfn.XLOOKUP($A82,Inputs!$A:$A,Inputs!L:L,,0)</f>
        <v>0</v>
      </c>
      <c r="M82" s="55">
        <f>_xlfn.XLOOKUP($A82,Inputs!$A:$A,Inputs!M:M,,0)</f>
        <v>0</v>
      </c>
    </row>
    <row r="83" spans="1:13">
      <c r="A83" s="116" t="s">
        <v>637</v>
      </c>
      <c r="B83" s="55">
        <f>_xlfn.XLOOKUP($A83,Inputs!$A:$A,Inputs!B:B,,0)</f>
        <v>0</v>
      </c>
      <c r="C83" s="55" t="str">
        <f>_xlfn.XLOOKUP($A83,Inputs!$A:$A,Inputs!C:C,,0)</f>
        <v>10-K</v>
      </c>
      <c r="D83" s="55">
        <f>_xlfn.XLOOKUP($A83,Inputs!$A:$A,Inputs!D:D,,0)</f>
        <v>0</v>
      </c>
      <c r="E83" s="55">
        <f>_xlfn.XLOOKUP($A83,Inputs!$A:$A,Inputs!E:E,,0)</f>
        <v>0</v>
      </c>
      <c r="F83" s="55">
        <f>_xlfn.XLOOKUP($A83,Inputs!$A:$A,Inputs!F:F,,0)</f>
        <v>0</v>
      </c>
      <c r="G83" s="55">
        <f>_xlfn.XLOOKUP($A83,Inputs!$A:$A,Inputs!G:G,,0)</f>
        <v>0</v>
      </c>
      <c r="H83" s="55">
        <f>_xlfn.XLOOKUP($A83,Inputs!$A:$A,Inputs!H:H,,0)</f>
        <v>0</v>
      </c>
      <c r="I83" s="55">
        <f>_xlfn.XLOOKUP($A83,Inputs!$A:$A,Inputs!I:I,,0)</f>
        <v>0</v>
      </c>
      <c r="J83" s="55">
        <f>_xlfn.XLOOKUP($A83,Inputs!$A:$A,Inputs!J:J,,0)</f>
        <v>0</v>
      </c>
      <c r="K83" s="55">
        <f>_xlfn.XLOOKUP($A83,Inputs!$A:$A,Inputs!K:K,,0)</f>
        <v>0</v>
      </c>
      <c r="L83" s="55">
        <f>_xlfn.XLOOKUP($A83,Inputs!$A:$A,Inputs!L:L,,0)</f>
        <v>0</v>
      </c>
      <c r="M83" s="55">
        <f>_xlfn.XLOOKUP($A83,Inputs!$A:$A,Inputs!M:M,,0)</f>
        <v>0</v>
      </c>
    </row>
    <row r="84" spans="1:13">
      <c r="A84" s="116" t="s">
        <v>638</v>
      </c>
      <c r="B84" s="55" t="e">
        <f>_xlfn.XLOOKUP($A84,Inputs!$A:$A,Inputs!B:B,,0)</f>
        <v>#N/A</v>
      </c>
      <c r="C84" s="55" t="e">
        <f>_xlfn.XLOOKUP($A84,Inputs!$A:$A,Inputs!C:C,,0)</f>
        <v>#N/A</v>
      </c>
      <c r="D84" s="55" t="e">
        <f>_xlfn.XLOOKUP($A84,Inputs!$A:$A,Inputs!D:D,,0)</f>
        <v>#N/A</v>
      </c>
      <c r="E84" s="55" t="e">
        <f>_xlfn.XLOOKUP($A84,Inputs!$A:$A,Inputs!E:E,,0)</f>
        <v>#N/A</v>
      </c>
      <c r="F84" s="55" t="e">
        <f>_xlfn.XLOOKUP($A84,Inputs!$A:$A,Inputs!F:F,,0)</f>
        <v>#N/A</v>
      </c>
      <c r="G84" s="55" t="e">
        <f>_xlfn.XLOOKUP($A84,Inputs!$A:$A,Inputs!G:G,,0)</f>
        <v>#N/A</v>
      </c>
      <c r="H84" s="55" t="e">
        <f>_xlfn.XLOOKUP($A84,Inputs!$A:$A,Inputs!H:H,,0)</f>
        <v>#N/A</v>
      </c>
      <c r="I84" s="55" t="e">
        <f>_xlfn.XLOOKUP($A84,Inputs!$A:$A,Inputs!I:I,,0)</f>
        <v>#N/A</v>
      </c>
      <c r="J84" s="55" t="e">
        <f>_xlfn.XLOOKUP($A84,Inputs!$A:$A,Inputs!J:J,,0)</f>
        <v>#N/A</v>
      </c>
      <c r="K84" s="55" t="e">
        <f>_xlfn.XLOOKUP($A84,Inputs!$A:$A,Inputs!K:K,,0)</f>
        <v>#N/A</v>
      </c>
      <c r="L84" s="55" t="e">
        <f>_xlfn.XLOOKUP($A84,Inputs!$A:$A,Inputs!L:L,,0)</f>
        <v>#N/A</v>
      </c>
      <c r="M84" s="55" t="e">
        <f>_xlfn.XLOOKUP($A84,Inputs!$A:$A,Inputs!M:M,,0)</f>
        <v>#N/A</v>
      </c>
    </row>
    <row r="85" spans="1:13">
      <c r="A85" s="122" t="s">
        <v>639</v>
      </c>
      <c r="B85" s="55">
        <f>_xlfn.XLOOKUP($A85,Inputs!$A:$A,Inputs!B:B,,0)</f>
        <v>0</v>
      </c>
      <c r="C85" s="55" t="str">
        <f>_xlfn.XLOOKUP($A85,Inputs!$A:$A,Inputs!C:C,,0)</f>
        <v>Yahoo Finance</v>
      </c>
      <c r="D85" s="55">
        <f>_xlfn.XLOOKUP($A85,Inputs!$A:$A,Inputs!D:D,,0)</f>
        <v>0</v>
      </c>
      <c r="E85" s="55">
        <f>_xlfn.XLOOKUP($A85,Inputs!$A:$A,Inputs!E:E,,0)</f>
        <v>0</v>
      </c>
      <c r="F85" s="55">
        <f>_xlfn.XLOOKUP($A85,Inputs!$A:$A,Inputs!F:F,,0)</f>
        <v>0</v>
      </c>
      <c r="G85" s="55">
        <f>_xlfn.XLOOKUP($A85,Inputs!$A:$A,Inputs!G:G,,0)</f>
        <v>0</v>
      </c>
      <c r="H85" s="55">
        <f>_xlfn.XLOOKUP($A85,Inputs!$A:$A,Inputs!H:H,,0)</f>
        <v>0</v>
      </c>
      <c r="I85" s="55">
        <f>_xlfn.XLOOKUP($A85,Inputs!$A:$A,Inputs!I:I,,0)</f>
        <v>0</v>
      </c>
      <c r="J85" s="55">
        <f>_xlfn.XLOOKUP($A85,Inputs!$A:$A,Inputs!J:J,,0)</f>
        <v>0</v>
      </c>
      <c r="K85" s="55">
        <f>_xlfn.XLOOKUP($A85,Inputs!$A:$A,Inputs!K:K,,0)</f>
        <v>0</v>
      </c>
      <c r="L85" s="55">
        <f>_xlfn.XLOOKUP($A85,Inputs!$A:$A,Inputs!L:L,,0)</f>
        <v>0</v>
      </c>
      <c r="M85" s="55">
        <f>_xlfn.XLOOKUP($A85,Inputs!$A:$A,Inputs!M:M,,0)</f>
        <v>0</v>
      </c>
    </row>
    <row r="86" spans="1:13">
      <c r="B86" s="46"/>
      <c r="C86" s="46"/>
      <c r="D86" s="46"/>
      <c r="E86" s="46"/>
      <c r="F86" s="46"/>
      <c r="G86" s="46"/>
      <c r="H86" s="46"/>
      <c r="I86" s="46"/>
      <c r="J86" s="46"/>
      <c r="K86" s="46"/>
      <c r="L86" s="46"/>
      <c r="M86" s="46"/>
    </row>
    <row r="87" spans="1:13">
      <c r="B87" s="45">
        <v>2020</v>
      </c>
      <c r="C87" s="45">
        <v>2021</v>
      </c>
      <c r="D87" s="45">
        <v>2022</v>
      </c>
      <c r="G87" s="45"/>
      <c r="H87" s="46"/>
      <c r="I87" s="46"/>
      <c r="J87" s="46"/>
      <c r="K87" s="46"/>
      <c r="L87" s="46"/>
      <c r="M87" s="46"/>
    </row>
    <row r="88" spans="1:13">
      <c r="A88" s="116" t="s">
        <v>640</v>
      </c>
      <c r="B88" s="59">
        <v>0</v>
      </c>
      <c r="C88" s="59">
        <v>0</v>
      </c>
      <c r="D88" s="60">
        <v>0</v>
      </c>
      <c r="G88" s="46"/>
      <c r="H88" s="46"/>
      <c r="I88" s="46"/>
      <c r="J88" s="46"/>
      <c r="K88" s="46"/>
      <c r="L88" s="46"/>
      <c r="M88" s="46"/>
    </row>
    <row r="89" spans="1:13">
      <c r="A89" s="122" t="s">
        <v>70</v>
      </c>
      <c r="B89" s="59">
        <v>0</v>
      </c>
      <c r="C89" s="59">
        <v>0</v>
      </c>
      <c r="D89" s="60">
        <v>0</v>
      </c>
    </row>
    <row r="91" spans="1:13" ht="13.15">
      <c r="A91" s="13" t="s">
        <v>641</v>
      </c>
      <c r="B91" s="45" t="s">
        <v>642</v>
      </c>
      <c r="C91" s="45" t="s">
        <v>643</v>
      </c>
      <c r="D91" s="45" t="s">
        <v>644</v>
      </c>
      <c r="E91" s="45" t="s">
        <v>645</v>
      </c>
      <c r="G91" s="45"/>
    </row>
    <row r="92" spans="1:13">
      <c r="B92" s="62" t="e">
        <f>VLOOKUP($A92,Inputs!$A$5:$M$98,MATCH(B$4,Inputs!$B$5:$M$5,0)+1,FALSE)</f>
        <v>#N/A</v>
      </c>
      <c r="C92" s="62" t="e">
        <f>VLOOKUP($A92,Inputs!$A$5:$M$98,MATCH(C$4,Inputs!$B$5:$M$5,0)+1,FALSE)</f>
        <v>#N/A</v>
      </c>
      <c r="D92" s="62" t="e">
        <f>VLOOKUP($A92,Inputs!$A$5:$M$98,MATCH(D$4,Inputs!$B$5:$M$5,0)+1,FALSE)</f>
        <v>#N/A</v>
      </c>
      <c r="E92" s="62" t="e">
        <f>VLOOKUP($A92,Inputs!$A$5:$M$98,MATCH(E$4,Inputs!$B$5:$M$5,0)+1,FALSE)</f>
        <v>#N/A</v>
      </c>
    </row>
    <row r="93" spans="1:13">
      <c r="B93" s="63"/>
      <c r="C93" s="63"/>
      <c r="D93" s="2"/>
      <c r="E93" s="63"/>
      <c r="F93" s="2"/>
    </row>
    <row r="94" spans="1:13">
      <c r="B94" s="63"/>
      <c r="C94" s="63"/>
      <c r="D94" s="2"/>
      <c r="E94" s="63"/>
      <c r="F94" s="2"/>
    </row>
    <row r="95" spans="1:13">
      <c r="B95" s="63"/>
      <c r="C95" s="63"/>
      <c r="D95" s="2"/>
      <c r="E95" s="63"/>
      <c r="F95" s="2"/>
    </row>
    <row r="96" spans="1:13">
      <c r="B96" s="63"/>
      <c r="C96" s="63"/>
      <c r="D96" s="2"/>
      <c r="E96" s="63"/>
      <c r="F96" s="2"/>
    </row>
    <row r="97" spans="2:6">
      <c r="B97" s="63"/>
      <c r="C97" s="63"/>
      <c r="D97" s="2"/>
      <c r="E97" s="63"/>
      <c r="F97" s="2"/>
    </row>
    <row r="98" spans="2:6">
      <c r="B98" s="63"/>
      <c r="C98" s="63"/>
      <c r="D98" s="2"/>
      <c r="E98" s="63"/>
      <c r="F98" s="2"/>
    </row>
    <row r="99" spans="2:6">
      <c r="B99" s="63"/>
      <c r="C99" s="63"/>
      <c r="D99" s="2"/>
      <c r="E99" s="63"/>
      <c r="F99" s="2"/>
    </row>
    <row r="100" spans="2:6">
      <c r="B100" s="63"/>
      <c r="C100" s="63"/>
      <c r="D100" s="2"/>
      <c r="E100" s="63"/>
      <c r="F100" s="2"/>
    </row>
  </sheetData>
  <mergeCells count="7">
    <mergeCell ref="A78:M78"/>
    <mergeCell ref="A1:M1"/>
    <mergeCell ref="A2:M2"/>
    <mergeCell ref="A3:M3"/>
    <mergeCell ref="A38:M38"/>
    <mergeCell ref="A47:M47"/>
    <mergeCell ref="A67:M67"/>
  </mergeCells>
  <pageMargins left="0.7" right="0.7" top="0.75" bottom="0.75" header="0.3" footer="0.3"/>
  <pageSetup paperSize="9" orientation="portrait" horizontalDpi="4294967293"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I467"/>
  <sheetViews>
    <sheetView showGridLines="0" tabSelected="1" topLeftCell="B54" zoomScale="88" zoomScaleNormal="70" workbookViewId="0">
      <selection activeCell="Q80" sqref="Q80"/>
    </sheetView>
  </sheetViews>
  <sheetFormatPr defaultColWidth="9" defaultRowHeight="12.75" customHeight="1"/>
  <cols>
    <col min="1" max="1" width="32.86328125" style="487" bestFit="1" customWidth="1"/>
    <col min="2" max="2" width="43" style="487" customWidth="1"/>
    <col min="3" max="3" width="16" style="487" bestFit="1" customWidth="1"/>
    <col min="4" max="4" width="17.86328125" style="487" bestFit="1" customWidth="1"/>
    <col min="5" max="5" width="22.3984375" style="487" customWidth="1"/>
    <col min="6" max="6" width="20.265625" style="487" bestFit="1" customWidth="1"/>
    <col min="7" max="7" width="19.1328125" style="487" bestFit="1" customWidth="1"/>
    <col min="8" max="8" width="31" style="487" bestFit="1" customWidth="1"/>
    <col min="9" max="9" width="19.265625" style="487" customWidth="1"/>
    <col min="10" max="12" width="14" style="487" customWidth="1"/>
    <col min="13" max="13" width="23" style="487" customWidth="1"/>
    <col min="14" max="14" width="15.3984375" style="487" customWidth="1"/>
    <col min="15" max="15" width="13.86328125" style="487" customWidth="1"/>
    <col min="16" max="16" width="13.3984375" style="487" customWidth="1"/>
    <col min="17" max="17" width="12.1328125" style="487" bestFit="1" customWidth="1"/>
    <col min="18" max="18" width="14.1328125" style="487" customWidth="1"/>
    <col min="19" max="19" width="18.265625" style="487" bestFit="1" customWidth="1"/>
    <col min="20" max="20" width="18" style="487" bestFit="1" customWidth="1"/>
    <col min="21" max="34" width="12.265625" style="487" bestFit="1" customWidth="1"/>
    <col min="35" max="16384" width="9" style="487"/>
  </cols>
  <sheetData>
    <row r="2" spans="1:34" s="486" customFormat="1" ht="15" customHeight="1">
      <c r="A2" s="483"/>
      <c r="B2" s="484" t="s">
        <v>646</v>
      </c>
      <c r="C2" s="485"/>
      <c r="D2" s="483"/>
      <c r="E2" s="483"/>
      <c r="F2" s="483"/>
      <c r="G2" s="483"/>
      <c r="H2" s="483"/>
      <c r="I2" s="483"/>
      <c r="J2" s="483"/>
      <c r="K2" s="483"/>
      <c r="L2" s="483"/>
      <c r="M2" s="483"/>
      <c r="N2" s="483"/>
      <c r="O2" s="483"/>
      <c r="P2" s="483"/>
      <c r="Q2" s="483"/>
      <c r="R2" s="483"/>
      <c r="S2" s="483"/>
      <c r="T2" s="483"/>
      <c r="U2" s="483"/>
      <c r="V2" s="483"/>
      <c r="W2" s="483"/>
      <c r="X2" s="483"/>
      <c r="Y2" s="483"/>
      <c r="Z2" s="483"/>
      <c r="AA2" s="483"/>
      <c r="AB2" s="483"/>
      <c r="AC2" s="483"/>
      <c r="AD2" s="483"/>
      <c r="AE2" s="483"/>
      <c r="AF2" s="483"/>
      <c r="AG2" s="483"/>
      <c r="AH2" s="483"/>
    </row>
    <row r="3" spans="1:34" ht="12.75" customHeight="1">
      <c r="C3" s="488"/>
    </row>
    <row r="4" spans="1:34" ht="13.15">
      <c r="B4"/>
      <c r="F4" s="489"/>
      <c r="G4" s="490"/>
      <c r="H4" s="490"/>
      <c r="I4" s="490"/>
      <c r="J4" s="490"/>
      <c r="K4" s="490"/>
      <c r="L4" s="490"/>
      <c r="M4" s="490"/>
    </row>
    <row r="5" spans="1:34">
      <c r="B5"/>
      <c r="G5" s="491"/>
      <c r="H5" s="491"/>
      <c r="I5" s="491"/>
      <c r="J5" s="491"/>
      <c r="K5" s="491"/>
      <c r="L5" s="491"/>
      <c r="M5" s="491"/>
    </row>
    <row r="6" spans="1:34">
      <c r="B6"/>
    </row>
    <row r="8" spans="1:34" ht="13.15">
      <c r="B8" s="490"/>
      <c r="C8" s="513">
        <v>2023</v>
      </c>
      <c r="D8" s="513">
        <f>C8-1</f>
        <v>2022</v>
      </c>
      <c r="E8" s="513">
        <f t="shared" ref="E8:G8" si="0">D8-1</f>
        <v>2021</v>
      </c>
      <c r="F8" s="513">
        <f t="shared" si="0"/>
        <v>2020</v>
      </c>
      <c r="G8" s="513">
        <f t="shared" si="0"/>
        <v>2019</v>
      </c>
      <c r="H8" s="513">
        <f t="shared" ref="H8" si="1">G8-1</f>
        <v>2018</v>
      </c>
      <c r="I8" s="513">
        <f t="shared" ref="I8" si="2">H8-1</f>
        <v>2017</v>
      </c>
      <c r="J8" s="513">
        <f t="shared" ref="J8" si="3">I8-1</f>
        <v>2016</v>
      </c>
      <c r="K8" s="513">
        <f t="shared" ref="K8:M8" si="4">J8-1</f>
        <v>2015</v>
      </c>
      <c r="L8" s="513">
        <f t="shared" si="4"/>
        <v>2014</v>
      </c>
      <c r="M8" s="513">
        <f t="shared" si="4"/>
        <v>2013</v>
      </c>
      <c r="O8" s="513" t="s">
        <v>647</v>
      </c>
      <c r="P8" s="513" t="s">
        <v>648</v>
      </c>
      <c r="Q8" s="513" t="s">
        <v>649</v>
      </c>
      <c r="S8" s="508" t="s">
        <v>650</v>
      </c>
      <c r="T8" s="508" t="s">
        <v>651</v>
      </c>
    </row>
    <row r="9" spans="1:34">
      <c r="B9" s="512" t="s">
        <v>652</v>
      </c>
      <c r="C9" s="275">
        <f>(Inputs!B6-Inputs!C6)/Inputs!C6</f>
        <v>0.19403830076332498</v>
      </c>
      <c r="D9" s="275">
        <f>(Inputs!C6-Inputs!D6)/Inputs!D6</f>
        <v>0.3775835599794054</v>
      </c>
      <c r="E9" s="275">
        <f>(Inputs!D6-Inputs!E6)/Inputs!E6</f>
        <v>0.34143294731029361</v>
      </c>
      <c r="F9" s="275">
        <f>(Inputs!E6-Inputs!F6)/Inputs!F6</f>
        <v>0.13236087927044568</v>
      </c>
      <c r="G9" s="275">
        <f>(Inputs!F6-Inputs!G6)/Inputs!G6</f>
        <v>0.20036224988399023</v>
      </c>
      <c r="H9" s="275">
        <f>(Inputs!G6-Inputs!H6)/Inputs!H6</f>
        <v>0.23867431998241184</v>
      </c>
      <c r="I9" s="275">
        <f>(Inputs!H6-Inputs!I6)/Inputs!I6</f>
        <v>0.25838138728709042</v>
      </c>
      <c r="J9" s="275">
        <f>(Inputs!I6-Inputs!J6)/Inputs!J6</f>
        <v>0.30042782649403338</v>
      </c>
      <c r="K9" s="275">
        <f>(Inputs!J6-Inputs!K6)/Inputs!K6</f>
        <v>0.51083183800704657</v>
      </c>
      <c r="L9" s="275">
        <f>(Inputs!K6-Inputs!L6)/Inputs!L6</f>
        <v>0.40493343270124305</v>
      </c>
      <c r="M9" s="275">
        <f>(Inputs!L6-Inputs!M6)/Inputs!M6</f>
        <v>0.40615054208606099</v>
      </c>
      <c r="O9" s="491">
        <f>AVERAGE(C9:M9)</f>
        <v>0.30592520761503145</v>
      </c>
      <c r="P9" s="494">
        <f>AVERAGE(C9:G9)</f>
        <v>0.24915558744149199</v>
      </c>
      <c r="Q9" s="494">
        <f>AVERAGE(C9:E9)</f>
        <v>0.3043516026843413</v>
      </c>
      <c r="S9" s="509"/>
      <c r="T9" s="509"/>
    </row>
    <row r="10" spans="1:34" ht="12.75" customHeight="1">
      <c r="B10" s="512" t="s">
        <v>124</v>
      </c>
      <c r="C10" s="275">
        <f>Inputs!B8/Inputs!B6</f>
        <v>0.18544757097072045</v>
      </c>
      <c r="D10" s="275">
        <f>Inputs!C8/Inputs!C6</f>
        <v>0.13198217602958628</v>
      </c>
      <c r="E10" s="275">
        <f>Inputs!D8/Inputs!D6</f>
        <v>9.9212925335219221E-2</v>
      </c>
      <c r="F10" s="275">
        <f>Inputs!E8/Inputs!E6</f>
        <v>9.131613351855726E-2</v>
      </c>
      <c r="G10" s="275">
        <f>Inputs!F8/Inputs!F6</f>
        <v>0.11788273899976663</v>
      </c>
      <c r="H10" s="275">
        <f>Inputs!G8/Inputs!G6</f>
        <v>0.12023103587642446</v>
      </c>
      <c r="I10" s="275">
        <f>Inputs!H8/Inputs!H6</f>
        <v>4.2245985055373525E-2</v>
      </c>
      <c r="J10" s="275">
        <f>Inputs!I8/Inputs!I6</f>
        <v>2.4319189360354654E-2</v>
      </c>
      <c r="K10" s="275">
        <f>Inputs!J8/Inputs!J6</f>
        <v>-1.5387883017412148E-2</v>
      </c>
      <c r="L10" s="275">
        <f>Inputs!K8/Inputs!K6</f>
        <v>-9.1166878413600702E-2</v>
      </c>
      <c r="M10" s="275">
        <f>Inputs!L8/Inputs!L6</f>
        <v>-6.4570739830890539E-2</v>
      </c>
      <c r="O10" s="491">
        <f>AVERAGE(C10:M10)</f>
        <v>5.8319295807645388E-2</v>
      </c>
      <c r="P10" s="494">
        <f>AVERAGE(C10:G10)</f>
        <v>0.12516830897076997</v>
      </c>
      <c r="Q10" s="494">
        <f>AVERAGE(C10:E10)</f>
        <v>0.13888089077850865</v>
      </c>
      <c r="S10" s="509"/>
      <c r="T10" s="509"/>
    </row>
    <row r="13" spans="1:34" s="486" customFormat="1" ht="13.9">
      <c r="A13" s="483"/>
      <c r="B13" s="485" t="s">
        <v>653</v>
      </c>
      <c r="C13" s="485"/>
      <c r="D13" s="483"/>
      <c r="E13" s="483"/>
      <c r="F13" s="483"/>
      <c r="G13" s="483"/>
      <c r="H13" s="483"/>
      <c r="I13" s="483"/>
      <c r="J13" s="483"/>
      <c r="K13" s="483"/>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row>
    <row r="14" spans="1:34" ht="13.9">
      <c r="A14" s="510"/>
      <c r="B14" s="511"/>
      <c r="C14" s="511"/>
      <c r="D14" s="510"/>
      <c r="E14" s="510"/>
      <c r="F14" s="510"/>
      <c r="G14" s="510"/>
      <c r="H14" s="510"/>
      <c r="I14" s="510"/>
      <c r="J14" s="510"/>
      <c r="K14" s="510"/>
      <c r="L14" s="510"/>
      <c r="M14" s="510"/>
      <c r="N14" s="510"/>
      <c r="O14" s="510"/>
      <c r="P14" s="510"/>
      <c r="Q14" s="510"/>
      <c r="R14" s="510"/>
      <c r="S14" s="510"/>
      <c r="T14" s="510"/>
      <c r="U14" s="510"/>
      <c r="V14" s="510"/>
      <c r="W14" s="510"/>
      <c r="X14" s="510"/>
      <c r="Y14" s="510"/>
      <c r="Z14" s="510"/>
      <c r="AA14" s="510"/>
      <c r="AB14" s="510"/>
      <c r="AC14" s="510"/>
      <c r="AD14" s="510"/>
      <c r="AE14" s="510"/>
      <c r="AF14" s="510"/>
      <c r="AG14" s="510"/>
      <c r="AH14" s="510"/>
    </row>
    <row r="15" spans="1:34" ht="14.25">
      <c r="C15" s="1516" t="s">
        <v>654</v>
      </c>
      <c r="D15" s="1516"/>
      <c r="E15" s="1516"/>
      <c r="F15" s="1516"/>
      <c r="G15" s="1516"/>
      <c r="H15" s="1516"/>
      <c r="I15" s="1516"/>
      <c r="J15" s="1516"/>
      <c r="K15" s="1516"/>
      <c r="L15" s="1516"/>
      <c r="M15" s="1516"/>
    </row>
    <row r="16" spans="1:34" ht="14.25">
      <c r="B16" s="492"/>
      <c r="C16" s="507">
        <f>C8</f>
        <v>2023</v>
      </c>
      <c r="D16" s="507">
        <f>D8</f>
        <v>2022</v>
      </c>
      <c r="E16" s="507">
        <f>E8</f>
        <v>2021</v>
      </c>
      <c r="F16" s="507">
        <f>F8</f>
        <v>2020</v>
      </c>
      <c r="G16" s="507">
        <f>G8</f>
        <v>2019</v>
      </c>
      <c r="H16" s="507">
        <f t="shared" ref="H16:Q16" si="5">H8</f>
        <v>2018</v>
      </c>
      <c r="I16" s="507">
        <f t="shared" si="5"/>
        <v>2017</v>
      </c>
      <c r="J16" s="507">
        <f t="shared" si="5"/>
        <v>2016</v>
      </c>
      <c r="K16" s="507">
        <f t="shared" si="5"/>
        <v>2015</v>
      </c>
      <c r="L16" s="507">
        <f t="shared" si="5"/>
        <v>2014</v>
      </c>
      <c r="M16" s="507">
        <f t="shared" si="5"/>
        <v>2013</v>
      </c>
      <c r="N16" s="507"/>
      <c r="O16" s="507" t="str">
        <f t="shared" si="5"/>
        <v xml:space="preserve">10Y Average </v>
      </c>
      <c r="P16" s="507" t="str">
        <f t="shared" si="5"/>
        <v xml:space="preserve">5Y Average </v>
      </c>
      <c r="Q16" s="507" t="str">
        <f t="shared" si="5"/>
        <v xml:space="preserve">3Y Average </v>
      </c>
      <c r="S16" s="508" t="s">
        <v>650</v>
      </c>
      <c r="T16" s="508" t="s">
        <v>651</v>
      </c>
      <c r="V16" s="529" t="s">
        <v>655</v>
      </c>
    </row>
    <row r="17" spans="2:35" ht="14.25">
      <c r="B17" s="512" t="s">
        <v>656</v>
      </c>
      <c r="C17" s="493"/>
      <c r="D17" s="493"/>
      <c r="E17" s="493"/>
      <c r="F17" s="493"/>
      <c r="G17" s="493"/>
      <c r="H17" s="493"/>
      <c r="I17" s="493"/>
      <c r="J17" s="493"/>
      <c r="K17" s="493"/>
      <c r="L17" s="493"/>
      <c r="O17" s="493" t="e">
        <f>AVERAGE(C17:M17)</f>
        <v>#DIV/0!</v>
      </c>
      <c r="P17" s="494" t="e">
        <f>AVERAGE(C17:G17)</f>
        <v>#DIV/0!</v>
      </c>
      <c r="Q17" s="494" t="e">
        <f>AVERAGE(C17:E17)</f>
        <v>#DIV/0!</v>
      </c>
      <c r="S17" s="509"/>
      <c r="T17" s="509"/>
      <c r="V17" s="528" t="s">
        <v>657</v>
      </c>
      <c r="AI17" s="495"/>
    </row>
    <row r="18" spans="2:35" ht="14.25">
      <c r="B18" s="512" t="s">
        <v>658</v>
      </c>
      <c r="C18" s="493"/>
      <c r="D18" s="493"/>
      <c r="E18" s="493"/>
      <c r="F18" s="493"/>
      <c r="G18" s="493"/>
      <c r="H18" s="493"/>
      <c r="I18" s="493"/>
      <c r="J18" s="493"/>
      <c r="K18" s="493"/>
      <c r="L18" s="493"/>
      <c r="O18" s="493" t="e">
        <f>AVERAGE(C18:M18)</f>
        <v>#DIV/0!</v>
      </c>
      <c r="P18" s="494" t="e">
        <f t="shared" ref="P18:P31" si="6">AVERAGE(C18:G18)</f>
        <v>#DIV/0!</v>
      </c>
      <c r="Q18" s="494" t="e">
        <f t="shared" ref="Q18:Q31" si="7">AVERAGE(C18:E18)</f>
        <v>#DIV/0!</v>
      </c>
      <c r="S18" s="509"/>
      <c r="T18" s="509"/>
      <c r="V18" s="528" t="s">
        <v>659</v>
      </c>
    </row>
    <row r="19" spans="2:35" ht="14.25">
      <c r="B19" s="512" t="s">
        <v>660</v>
      </c>
      <c r="C19" s="493"/>
      <c r="D19" s="493"/>
      <c r="E19" s="493"/>
      <c r="F19" s="493"/>
      <c r="G19" s="493"/>
      <c r="H19" s="493"/>
      <c r="I19" s="493"/>
      <c r="J19" s="493"/>
      <c r="K19" s="493"/>
      <c r="L19" s="493"/>
      <c r="O19" s="493" t="e">
        <f t="shared" ref="O19:O31" si="8">AVERAGE(C19:M19)</f>
        <v>#DIV/0!</v>
      </c>
      <c r="P19" s="494" t="e">
        <f t="shared" si="6"/>
        <v>#DIV/0!</v>
      </c>
      <c r="Q19" s="494" t="e">
        <f t="shared" si="7"/>
        <v>#DIV/0!</v>
      </c>
      <c r="S19" s="509"/>
      <c r="T19" s="509"/>
      <c r="V19" s="528" t="s">
        <v>661</v>
      </c>
    </row>
    <row r="20" spans="2:35" ht="12.75" customHeight="1">
      <c r="B20" s="512" t="s">
        <v>662</v>
      </c>
      <c r="C20" s="493">
        <f>'Fin. Data'!B21/('Fin. Data'!B21+'Fin. Data'!B23)</f>
        <v>-0.51458060168330688</v>
      </c>
      <c r="D20" s="493">
        <f>'Fin. Data'!C21/('Fin. Data'!C21+'Fin. Data'!C23)</f>
        <v>-0.14461513452003577</v>
      </c>
      <c r="E20" s="493">
        <f>'Fin. Data'!D21/('Fin. Data'!D21+'Fin. Data'!D23)</f>
        <v>7.3297467256040916E-2</v>
      </c>
      <c r="F20" s="493">
        <f>'Fin. Data'!E21/('Fin. Data'!E21+'Fin. Data'!E23)</f>
        <v>0.16224241133745002</v>
      </c>
      <c r="G20" s="493">
        <f>'Fin. Data'!F21/('Fin. Data'!F21+'Fin. Data'!F23)</f>
        <v>-4.3096193682030035E-2</v>
      </c>
      <c r="H20" s="493">
        <f>'Fin. Data'!G21/('Fin. Data'!G21+'Fin. Data'!G23)</f>
        <v>-8.5141129032258067E-2</v>
      </c>
      <c r="I20" s="493">
        <f>'Fin. Data'!H21/('Fin. Data'!H21+'Fin. Data'!H23)</f>
        <v>0.3614360162130863</v>
      </c>
      <c r="J20" s="493">
        <f>'Fin. Data'!I21/('Fin. Data'!I21+'Fin. Data'!I23)</f>
        <v>-0.10730179660458217</v>
      </c>
      <c r="K20" s="493">
        <f>'Fin. Data'!J21/('Fin. Data'!J21+'Fin. Data'!J23)</f>
        <v>4.3942403177755711E-2</v>
      </c>
      <c r="L20" s="493">
        <f>'Fin. Data'!K21/('Fin. Data'!K21+'Fin. Data'!K23)</f>
        <v>7.4589756340129286E-3</v>
      </c>
      <c r="M20" s="493">
        <f>'Fin. Data'!L21/('Fin. Data'!L21+'Fin. Data'!L23)</f>
        <v>3.4623217922606926E-2</v>
      </c>
      <c r="O20" s="493">
        <f t="shared" si="8"/>
        <v>-1.9248578543750929E-2</v>
      </c>
      <c r="P20" s="494">
        <f t="shared" si="6"/>
        <v>-9.3350410258376371E-2</v>
      </c>
      <c r="Q20" s="494">
        <f t="shared" si="7"/>
        <v>-0.19529942298243394</v>
      </c>
      <c r="S20" s="509"/>
      <c r="T20" s="509"/>
      <c r="V20" s="528" t="s">
        <v>663</v>
      </c>
    </row>
    <row r="21" spans="2:35" ht="14.25">
      <c r="B21" s="512" t="s">
        <v>664</v>
      </c>
      <c r="C21" s="496"/>
      <c r="D21" s="496"/>
      <c r="E21" s="496"/>
      <c r="F21" s="496"/>
      <c r="G21" s="496"/>
      <c r="H21" s="496"/>
      <c r="I21" s="496"/>
      <c r="J21" s="496"/>
      <c r="K21" s="496"/>
      <c r="L21" s="496"/>
      <c r="M21" s="496"/>
      <c r="O21" s="493" t="e">
        <f t="shared" si="8"/>
        <v>#DIV/0!</v>
      </c>
      <c r="P21" s="494" t="e">
        <f t="shared" si="6"/>
        <v>#DIV/0!</v>
      </c>
      <c r="Q21" s="494" t="e">
        <f t="shared" si="7"/>
        <v>#DIV/0!</v>
      </c>
      <c r="S21" s="509"/>
      <c r="T21" s="509"/>
      <c r="V21" s="528" t="s">
        <v>665</v>
      </c>
    </row>
    <row r="22" spans="2:35" ht="14.25">
      <c r="B22" s="512" t="s">
        <v>666</v>
      </c>
      <c r="C22" s="496"/>
      <c r="D22" s="496"/>
      <c r="E22" s="496"/>
      <c r="F22" s="496"/>
      <c r="G22" s="496"/>
      <c r="H22" s="496"/>
      <c r="I22" s="496"/>
      <c r="J22" s="496"/>
      <c r="K22" s="496"/>
      <c r="L22" s="496"/>
      <c r="M22" s="496"/>
      <c r="O22" s="493" t="e">
        <f t="shared" si="8"/>
        <v>#DIV/0!</v>
      </c>
      <c r="P22" s="494" t="e">
        <f t="shared" si="6"/>
        <v>#DIV/0!</v>
      </c>
      <c r="Q22" s="494" t="e">
        <f t="shared" si="7"/>
        <v>#DIV/0!</v>
      </c>
      <c r="S22" s="509"/>
      <c r="T22" s="509"/>
      <c r="V22" s="528" t="s">
        <v>667</v>
      </c>
    </row>
    <row r="23" spans="2:35" ht="14.25">
      <c r="B23" s="512" t="s">
        <v>668</v>
      </c>
      <c r="C23" s="496">
        <f>Inputs!B33/Inputs!C33-1</f>
        <v>-5.3520423293636599E-2</v>
      </c>
      <c r="D23" s="496">
        <f>Inputs!C33/Inputs!D33-1</f>
        <v>1.9573831537739395E-2</v>
      </c>
      <c r="E23" s="496">
        <f>Inputs!D33/Inputs!E33-1</f>
        <v>5.0204729673268167E-2</v>
      </c>
      <c r="F23" s="496">
        <f>Inputs!E33/Inputs!F33-1</f>
        <v>-0.10342089096003715</v>
      </c>
      <c r="G23" s="496">
        <f>Inputs!F33/Inputs!G33-1</f>
        <v>-4.737638460660043E-2</v>
      </c>
      <c r="H23" s="496">
        <f>Inputs!G33/Inputs!H33-1</f>
        <v>0.12940721275532407</v>
      </c>
      <c r="I23" s="496">
        <f>Inputs!H33/Inputs!I33-1</f>
        <v>0.52195995681617435</v>
      </c>
      <c r="J23" s="496">
        <f>Inputs!I33/Inputs!J33-1</f>
        <v>0.52148430208683316</v>
      </c>
      <c r="K23" s="496">
        <f>Inputs!J33/Inputs!K33-1</f>
        <v>0.6678289023099433</v>
      </c>
      <c r="L23" s="496">
        <f>Inputs!K33/Inputs!L33-1</f>
        <v>0.22369523809523817</v>
      </c>
      <c r="M23" s="496">
        <f>Inputs!L33/Inputs!M33-1</f>
        <v>0.52865129280223622</v>
      </c>
      <c r="O23" s="493">
        <f t="shared" si="8"/>
        <v>0.22349888792877115</v>
      </c>
      <c r="P23" s="494">
        <f t="shared" si="6"/>
        <v>-2.6907827529853323E-2</v>
      </c>
      <c r="Q23" s="494">
        <f t="shared" si="7"/>
        <v>5.4193793057903212E-3</v>
      </c>
      <c r="S23" s="509" t="s">
        <v>669</v>
      </c>
      <c r="T23" s="509" t="s">
        <v>669</v>
      </c>
      <c r="V23" s="528" t="s">
        <v>670</v>
      </c>
    </row>
    <row r="24" spans="2:35" ht="14.25">
      <c r="B24" s="512" t="s">
        <v>671</v>
      </c>
      <c r="C24" s="493"/>
      <c r="D24" s="493"/>
      <c r="E24" s="493"/>
      <c r="F24" s="493"/>
      <c r="G24" s="493"/>
      <c r="H24" s="493"/>
      <c r="I24" s="493"/>
      <c r="J24" s="493"/>
      <c r="K24" s="493"/>
      <c r="L24" s="493"/>
      <c r="M24" s="493"/>
      <c r="O24" s="493" t="e">
        <f t="shared" si="8"/>
        <v>#DIV/0!</v>
      </c>
      <c r="P24" s="494" t="e">
        <f t="shared" si="6"/>
        <v>#DIV/0!</v>
      </c>
      <c r="Q24" s="494" t="e">
        <f t="shared" si="7"/>
        <v>#DIV/0!</v>
      </c>
      <c r="S24" s="509"/>
      <c r="T24" s="509"/>
      <c r="V24" s="528" t="s">
        <v>672</v>
      </c>
    </row>
    <row r="25" spans="2:35" ht="14.25">
      <c r="B25" s="512" t="s">
        <v>673</v>
      </c>
      <c r="C25" s="493"/>
      <c r="D25" s="493"/>
      <c r="E25" s="493"/>
      <c r="F25" s="493"/>
      <c r="G25" s="493"/>
      <c r="H25" s="493"/>
      <c r="I25" s="493"/>
      <c r="J25" s="493"/>
      <c r="K25" s="493"/>
      <c r="L25" s="493"/>
      <c r="M25" s="493"/>
      <c r="O25" s="493" t="e">
        <f t="shared" si="8"/>
        <v>#DIV/0!</v>
      </c>
      <c r="P25" s="494" t="e">
        <f t="shared" si="6"/>
        <v>#DIV/0!</v>
      </c>
      <c r="Q25" s="494" t="e">
        <f t="shared" si="7"/>
        <v>#DIV/0!</v>
      </c>
      <c r="S25" s="509" t="s">
        <v>669</v>
      </c>
      <c r="T25" s="509" t="s">
        <v>669</v>
      </c>
      <c r="V25" s="528" t="s">
        <v>674</v>
      </c>
    </row>
    <row r="26" spans="2:35" ht="12.75" customHeight="1">
      <c r="B26" s="512" t="s">
        <v>675</v>
      </c>
      <c r="C26" s="493">
        <f>Inputs!B65/Inputs!B6</f>
        <v>-4.3297932642431633E-2</v>
      </c>
      <c r="D26" s="493">
        <f>Inputs!C65/Inputs!C6</f>
        <v>-3.8314385006615027E-2</v>
      </c>
      <c r="E26" s="493">
        <f>Inputs!D65/Inputs!D6</f>
        <v>-4.047963351945872E-2</v>
      </c>
      <c r="F26" s="493">
        <f>Inputs!E65/Inputs!E6</f>
        <v>-4.4985502503826928E-2</v>
      </c>
      <c r="G26" s="493">
        <f>Inputs!F65/Inputs!F6</f>
        <v>-4.5810923718532272E-2</v>
      </c>
      <c r="H26" s="493">
        <f>Inputs!G65/Inputs!G6</f>
        <v>-4.3072238272320387E-2</v>
      </c>
      <c r="I26" s="493">
        <f>Inputs!H65/Inputs!H6</f>
        <v>-4.1422202915288177E-2</v>
      </c>
      <c r="J26" s="493">
        <f>Inputs!I65/Inputs!I6</f>
        <v>-4.5468484383853869E-2</v>
      </c>
      <c r="K26" s="493">
        <f>Inputs!J65/Inputs!J6</f>
        <v>-3.6371753915240938E-2</v>
      </c>
      <c r="L26" s="493">
        <f>Inputs!K65/Inputs!K6</f>
        <v>-2.7603504957497808E-2</v>
      </c>
      <c r="M26" s="493">
        <f>Inputs!L65/Inputs!L6</f>
        <v>-4.0013985113215009E-2</v>
      </c>
      <c r="O26" s="493">
        <f t="shared" si="8"/>
        <v>-4.062186790438916E-2</v>
      </c>
      <c r="P26" s="494">
        <f t="shared" si="6"/>
        <v>-4.2577675478172913E-2</v>
      </c>
      <c r="Q26" s="494">
        <f t="shared" si="7"/>
        <v>-4.0697317056168462E-2</v>
      </c>
      <c r="S26" s="509">
        <v>-0.04</v>
      </c>
      <c r="T26" s="509">
        <v>-0.06</v>
      </c>
      <c r="V26" s="528" t="s">
        <v>661</v>
      </c>
    </row>
    <row r="27" spans="2:35" ht="14.25">
      <c r="B27" s="512" t="s">
        <v>676</v>
      </c>
      <c r="C27" s="493">
        <f>Inputs!B66/Inputs!B6</f>
        <v>-1.5727461025372279E-2</v>
      </c>
      <c r="D27" s="493">
        <f>Inputs!C66/Inputs!C6</f>
        <v>-0.1295285706258652</v>
      </c>
      <c r="E27" s="493">
        <f>Inputs!D66/Inputs!D6</f>
        <v>-0.4980818646785144</v>
      </c>
      <c r="F27" s="493">
        <f>Inputs!E66/Inputs!E6</f>
        <v>0.13604676956768672</v>
      </c>
      <c r="G27" s="493">
        <f>Inputs!F66/Inputs!F6</f>
        <v>-1.1515528326525085E-2</v>
      </c>
      <c r="H27" s="493">
        <f>Inputs!G66/Inputs!G6</f>
        <v>-9.4989019166739734E-3</v>
      </c>
      <c r="I27" s="493">
        <f>Inputs!H66/Inputs!H6</f>
        <v>-0.34490513261303163</v>
      </c>
      <c r="J27" s="493">
        <f>Inputs!I66/Inputs!I6</f>
        <v>0</v>
      </c>
      <c r="K27" s="493">
        <f>Inputs!J66/Inputs!J6</f>
        <v>-2.0936190133549488E-3</v>
      </c>
      <c r="L27" s="493">
        <f>Inputs!K66/Inputs!K6</f>
        <v>-7.8448964622981315E-2</v>
      </c>
      <c r="M27" s="493">
        <f>Inputs!L66/Inputs!L6</f>
        <v>-5.9344723840017669E-2</v>
      </c>
      <c r="O27" s="493">
        <f t="shared" si="8"/>
        <v>-9.2099817917695462E-2</v>
      </c>
      <c r="P27" s="494">
        <f t="shared" si="6"/>
        <v>-0.10376133101771808</v>
      </c>
      <c r="Q27" s="494">
        <f t="shared" si="7"/>
        <v>-0.21444596544325065</v>
      </c>
      <c r="S27" s="509"/>
      <c r="T27" s="509"/>
      <c r="V27" s="528" t="s">
        <v>661</v>
      </c>
    </row>
    <row r="28" spans="2:35" ht="14.25">
      <c r="B28" s="512" t="s">
        <v>134</v>
      </c>
      <c r="C28" s="493">
        <f>Inputs!B73/Inputs!B6</f>
        <v>0</v>
      </c>
      <c r="D28" s="493">
        <f>Inputs!C73/Inputs!C6</f>
        <v>0</v>
      </c>
      <c r="E28" s="493">
        <f>Inputs!D73/Inputs!D6</f>
        <v>0</v>
      </c>
      <c r="F28" s="493">
        <f>Inputs!E73/Inputs!E6</f>
        <v>0</v>
      </c>
      <c r="G28" s="493">
        <f>Inputs!F73/Inputs!F6</f>
        <v>0</v>
      </c>
      <c r="H28" s="493">
        <f>Inputs!G73/Inputs!G6</f>
        <v>0</v>
      </c>
      <c r="I28" s="493">
        <f>Inputs!H73/Inputs!H6</f>
        <v>0</v>
      </c>
      <c r="J28" s="493">
        <f>Inputs!I73/Inputs!I6</f>
        <v>0</v>
      </c>
      <c r="K28" s="493">
        <f>Inputs!J73/Inputs!J6</f>
        <v>0</v>
      </c>
      <c r="L28" s="493">
        <f>Inputs!K73/Inputs!K6</f>
        <v>0</v>
      </c>
      <c r="M28" s="493">
        <f>Inputs!L73/Inputs!L6</f>
        <v>0</v>
      </c>
      <c r="O28" s="493">
        <f t="shared" si="8"/>
        <v>0</v>
      </c>
      <c r="P28" s="494">
        <f t="shared" si="6"/>
        <v>0</v>
      </c>
      <c r="Q28" s="494">
        <f t="shared" si="7"/>
        <v>0</v>
      </c>
      <c r="S28" s="509"/>
      <c r="T28" s="509"/>
      <c r="V28" s="528" t="s">
        <v>677</v>
      </c>
    </row>
    <row r="29" spans="2:35" ht="14.25">
      <c r="B29" s="512" t="s">
        <v>678</v>
      </c>
      <c r="C29" s="493">
        <f>Inputs!B74/Inputs!B6</f>
        <v>0</v>
      </c>
      <c r="D29" s="493">
        <f>Inputs!C74/Inputs!C6</f>
        <v>-0.1277032652873579</v>
      </c>
      <c r="E29" s="493">
        <f>Inputs!D74/Inputs!D6</f>
        <v>0</v>
      </c>
      <c r="F29" s="493">
        <f>Inputs!E74/Inputs!E6</f>
        <v>0</v>
      </c>
      <c r="G29" s="493">
        <f>Inputs!F74/Inputs!F6</f>
        <v>0</v>
      </c>
      <c r="H29" s="493">
        <f>Inputs!G74/Inputs!G6</f>
        <v>-7.482577149174674E-2</v>
      </c>
      <c r="I29" s="493">
        <f>Inputs!H74/Inputs!H6</f>
        <v>0</v>
      </c>
      <c r="J29" s="493">
        <f>Inputs!I74/Inputs!I6</f>
        <v>0</v>
      </c>
      <c r="K29" s="493">
        <f>Inputs!J74/Inputs!J6</f>
        <v>0</v>
      </c>
      <c r="L29" s="493">
        <f>Inputs!K74/Inputs!K6</f>
        <v>0</v>
      </c>
      <c r="M29" s="493">
        <f>Inputs!L74/Inputs!L6</f>
        <v>0</v>
      </c>
      <c r="O29" s="493">
        <f t="shared" si="8"/>
        <v>-1.8411730616282238E-2</v>
      </c>
      <c r="P29" s="494">
        <f t="shared" si="6"/>
        <v>-2.554065305747158E-2</v>
      </c>
      <c r="Q29" s="494">
        <f t="shared" si="7"/>
        <v>-4.2567755095785968E-2</v>
      </c>
      <c r="S29" s="509"/>
      <c r="T29" s="509"/>
      <c r="V29" s="528" t="s">
        <v>677</v>
      </c>
    </row>
    <row r="30" spans="2:35" ht="14.25">
      <c r="B30" s="512" t="s">
        <v>679</v>
      </c>
      <c r="C30" s="493"/>
      <c r="D30" s="493"/>
      <c r="E30" s="493"/>
      <c r="F30" s="493"/>
      <c r="G30" s="493"/>
      <c r="H30" s="493"/>
      <c r="I30" s="493"/>
      <c r="J30" s="493"/>
      <c r="K30" s="493"/>
      <c r="L30" s="493"/>
      <c r="M30" s="493"/>
      <c r="O30" s="493" t="e">
        <f t="shared" si="8"/>
        <v>#DIV/0!</v>
      </c>
      <c r="P30" s="494" t="e">
        <f t="shared" si="6"/>
        <v>#DIV/0!</v>
      </c>
      <c r="Q30" s="494" t="e">
        <f t="shared" si="7"/>
        <v>#DIV/0!</v>
      </c>
      <c r="S30" s="509"/>
      <c r="T30" s="509"/>
      <c r="V30" s="528" t="s">
        <v>661</v>
      </c>
    </row>
    <row r="31" spans="2:35" ht="14.25">
      <c r="B31" s="512" t="s">
        <v>299</v>
      </c>
      <c r="C31" s="532">
        <f>'Fin. Data'!B59/'Fin. Data'!B19</f>
        <v>0.64182392200177096</v>
      </c>
      <c r="D31" s="532">
        <f>'Fin. Data'!C59/'Fin. Data'!C19</f>
        <v>0.96916685507574041</v>
      </c>
      <c r="E31" s="532">
        <f>'Fin. Data'!D59/'Fin. Data'!D19</f>
        <v>1.4248172065179774</v>
      </c>
      <c r="F31" s="532">
        <f>'Fin. Data'!E59/'Fin. Data'!E19</f>
        <v>1.6704592267100848</v>
      </c>
      <c r="G31" s="532">
        <f>'Fin. Data'!F59/'Fin. Data'!F19</f>
        <v>2.4547931392225872</v>
      </c>
      <c r="H31" s="532">
        <f>'Fin. Data'!G59/'Fin. Data'!G19</f>
        <v>0.64750101128140591</v>
      </c>
      <c r="I31" s="532">
        <f>'Fin. Data'!H59/'Fin. Data'!H19</f>
        <v>0.93146486140818985</v>
      </c>
      <c r="J31" s="532">
        <f>'Fin. Data'!I59/'Fin. Data'!I19</f>
        <v>1.0726017699115045</v>
      </c>
      <c r="K31" s="532">
        <f>'Fin. Data'!J59/'Fin. Data'!J19</f>
        <v>2.3910213458409113</v>
      </c>
      <c r="L31" s="532">
        <f>'Fin. Data'!K59/'Fin. Data'!K19</f>
        <v>-3.0618710398807307</v>
      </c>
      <c r="M31" s="532">
        <f>'Fin. Data'!L59/'Fin. Data'!L19</f>
        <v>-12.714792899408284</v>
      </c>
      <c r="O31" s="493">
        <f t="shared" si="8"/>
        <v>-0.32481950921080388</v>
      </c>
      <c r="P31" s="494">
        <f t="shared" si="6"/>
        <v>1.432212069905632</v>
      </c>
      <c r="Q31" s="494">
        <f t="shared" si="7"/>
        <v>1.0119359945318296</v>
      </c>
      <c r="S31" s="516"/>
      <c r="T31" s="516"/>
      <c r="V31" s="528" t="s">
        <v>680</v>
      </c>
    </row>
    <row r="34" spans="2:8" s="486" customFormat="1" ht="13.9">
      <c r="B34" s="497" t="s">
        <v>681</v>
      </c>
    </row>
    <row r="35" spans="2:8"/>
    <row r="36" spans="2:8" s="1087" customFormat="1" ht="12.75" customHeight="1">
      <c r="B36" s="1086" t="s">
        <v>682</v>
      </c>
    </row>
    <row r="37" spans="2:8" ht="12.75" hidden="1" customHeight="1" thickBot="1"/>
    <row r="38" spans="2:8" ht="12.75" hidden="1" customHeight="1" thickBot="1">
      <c r="C38" s="572">
        <v>2023</v>
      </c>
      <c r="D38" s="573">
        <v>2022</v>
      </c>
      <c r="E38" s="573">
        <v>2021</v>
      </c>
      <c r="F38" s="574" t="s">
        <v>325</v>
      </c>
    </row>
    <row r="39" spans="2:8" ht="12.75" hidden="1" customHeight="1">
      <c r="B39" s="569" t="s">
        <v>123</v>
      </c>
      <c r="C39" s="487">
        <v>1402515</v>
      </c>
      <c r="D39" s="487">
        <v>1174598</v>
      </c>
      <c r="E39" s="487">
        <v>852651</v>
      </c>
      <c r="F39" s="570"/>
      <c r="H39"/>
    </row>
    <row r="40" spans="2:8" ht="12.75" hidden="1" customHeight="1">
      <c r="B40" s="570" t="s">
        <v>683</v>
      </c>
      <c r="C40" s="487">
        <v>-60726</v>
      </c>
      <c r="D40" s="487">
        <v>-45004</v>
      </c>
      <c r="E40" s="487">
        <v>-34515</v>
      </c>
      <c r="F40" s="570"/>
      <c r="H40"/>
    </row>
    <row r="41" spans="2:8" ht="12.75" hidden="1" customHeight="1" thickBot="1">
      <c r="B41" s="571" t="s">
        <v>684</v>
      </c>
      <c r="C41" s="575">
        <f>C40/C39</f>
        <v>-4.3297932642431633E-2</v>
      </c>
      <c r="D41" s="575">
        <f t="shared" ref="D41:E41" si="9">D40/D39</f>
        <v>-3.8314385006615027E-2</v>
      </c>
      <c r="E41" s="575">
        <f t="shared" si="9"/>
        <v>-4.047963351945872E-2</v>
      </c>
      <c r="F41" s="576">
        <f>AVERAGE(C41:E41)</f>
        <v>-4.0697317056168462E-2</v>
      </c>
      <c r="H41"/>
    </row>
    <row r="42" spans="2:8" ht="12.75" hidden="1" customHeight="1" thickBot="1"/>
    <row r="43" spans="2:8" ht="12.75" hidden="1" customHeight="1" thickBot="1">
      <c r="D43" s="746" t="s">
        <v>685</v>
      </c>
      <c r="E43" s="847" t="s">
        <v>686</v>
      </c>
      <c r="F43" s="824" t="s">
        <v>687</v>
      </c>
    </row>
    <row r="44" spans="2:8" ht="12.75" hidden="1" customHeight="1" thickBot="1">
      <c r="C44" s="759" t="s">
        <v>688</v>
      </c>
      <c r="D44" s="1103">
        <v>0.04</v>
      </c>
      <c r="E44" s="1103">
        <v>0.05</v>
      </c>
      <c r="F44" s="1104">
        <v>0.06</v>
      </c>
    </row>
    <row r="45" spans="2:8" hidden="1"/>
    <row r="46" spans="2:8" s="1087" customFormat="1" ht="12.75" customHeight="1">
      <c r="B46" s="1086" t="s">
        <v>689</v>
      </c>
    </row>
    <row r="49" spans="1:21" ht="12.75" customHeight="1" thickBot="1"/>
    <row r="50" spans="1:21" ht="12.75" customHeight="1" thickBot="1">
      <c r="C50" s="641">
        <v>2022</v>
      </c>
      <c r="D50" s="642">
        <v>2023</v>
      </c>
      <c r="E50" s="645">
        <v>2024</v>
      </c>
      <c r="F50" s="860" t="s">
        <v>325</v>
      </c>
      <c r="G50" s="646">
        <v>2025</v>
      </c>
      <c r="H50" s="646">
        <v>2026</v>
      </c>
      <c r="I50" s="646">
        <v>2027</v>
      </c>
      <c r="J50" s="645">
        <v>2028</v>
      </c>
      <c r="K50" s="645">
        <v>2029</v>
      </c>
      <c r="L50" s="645">
        <v>2030</v>
      </c>
      <c r="M50" s="645">
        <v>2031</v>
      </c>
      <c r="N50" s="861">
        <v>2032</v>
      </c>
      <c r="O50" s="861">
        <v>2033</v>
      </c>
      <c r="P50" s="862">
        <v>2034</v>
      </c>
      <c r="R50" s="839" t="s">
        <v>690</v>
      </c>
      <c r="S50" s="639" t="s">
        <v>691</v>
      </c>
    </row>
    <row r="51" spans="1:21" ht="12.75" customHeight="1">
      <c r="B51" s="639" t="s">
        <v>123</v>
      </c>
      <c r="C51" s="607">
        <f>D66</f>
        <v>852.7</v>
      </c>
      <c r="D51" s="618">
        <f>E66</f>
        <v>1174.5999999999999</v>
      </c>
      <c r="E51" s="618">
        <f>F66</f>
        <v>1402.5</v>
      </c>
      <c r="F51" s="570"/>
      <c r="G51" s="638">
        <f t="shared" ref="G51:P51" si="10">G66</f>
        <v>1519.5</v>
      </c>
      <c r="H51" s="624">
        <f t="shared" si="10"/>
        <v>1701.8400000000001</v>
      </c>
      <c r="I51" s="624">
        <f t="shared" si="10"/>
        <v>1940.0976000000003</v>
      </c>
      <c r="J51" s="618">
        <f t="shared" si="10"/>
        <v>2269.9141920000002</v>
      </c>
      <c r="K51" s="618">
        <f t="shared" si="10"/>
        <v>2723.8970303999999</v>
      </c>
      <c r="L51" s="618">
        <f t="shared" si="10"/>
        <v>3268.6764364799997</v>
      </c>
      <c r="M51" s="618">
        <f t="shared" si="10"/>
        <v>3922.4117237759992</v>
      </c>
      <c r="N51" s="618">
        <f t="shared" si="10"/>
        <v>4589.2217168179186</v>
      </c>
      <c r="O51" s="618">
        <f t="shared" si="10"/>
        <v>5277.6049743406056</v>
      </c>
      <c r="P51" s="625">
        <f t="shared" si="10"/>
        <v>6069.2457204916964</v>
      </c>
      <c r="R51" s="1200" t="s">
        <v>692</v>
      </c>
      <c r="S51" s="1202">
        <v>0.4</v>
      </c>
    </row>
    <row r="52" spans="1:21" ht="12.75" customHeight="1">
      <c r="B52" s="570" t="s">
        <v>693</v>
      </c>
      <c r="C52" s="607">
        <f>C51-C53</f>
        <v>287.05100000000004</v>
      </c>
      <c r="D52" s="618">
        <f>D51-D53</f>
        <v>367.04099999999994</v>
      </c>
      <c r="E52" s="618">
        <f>E51-E53</f>
        <v>441.71400000000006</v>
      </c>
      <c r="F52" s="570"/>
      <c r="G52" s="627">
        <f t="shared" ref="G52:P52" si="11">G51-G53</f>
        <v>406.28070049439998</v>
      </c>
      <c r="H52" s="627">
        <f t="shared" si="11"/>
        <v>468.53419522620015</v>
      </c>
      <c r="I52" s="627">
        <f t="shared" si="11"/>
        <v>493.76590963540025</v>
      </c>
      <c r="J52" s="619">
        <f t="shared" si="11"/>
        <v>2269.9141920000002</v>
      </c>
      <c r="K52" s="619">
        <f t="shared" si="11"/>
        <v>2723.8970303999999</v>
      </c>
      <c r="L52" s="619">
        <f t="shared" si="11"/>
        <v>3268.6764364799997</v>
      </c>
      <c r="M52" s="619">
        <f t="shared" si="11"/>
        <v>3922.4117237759992</v>
      </c>
      <c r="N52" s="619">
        <f t="shared" si="11"/>
        <v>4589.2217168179186</v>
      </c>
      <c r="O52" s="619">
        <f t="shared" si="11"/>
        <v>5277.6049743406056</v>
      </c>
      <c r="P52" s="631">
        <f t="shared" si="11"/>
        <v>6069.2457204916964</v>
      </c>
      <c r="R52" s="837" t="s">
        <v>269</v>
      </c>
      <c r="S52" s="1203">
        <v>0.28000000000000003</v>
      </c>
    </row>
    <row r="53" spans="1:21" ht="12.75" customHeight="1" thickBot="1">
      <c r="B53" s="640" t="s">
        <v>694</v>
      </c>
      <c r="C53" s="619">
        <f>565649/1000</f>
        <v>565.649</v>
      </c>
      <c r="D53" s="619">
        <f>807559/1000</f>
        <v>807.55899999999997</v>
      </c>
      <c r="E53" s="619">
        <f>960786/1000</f>
        <v>960.78599999999994</v>
      </c>
      <c r="F53" s="570"/>
      <c r="G53" s="627">
        <v>1113.2192995056</v>
      </c>
      <c r="H53" s="627">
        <v>1233.3058047738</v>
      </c>
      <c r="I53" s="627">
        <v>1446.3316903646</v>
      </c>
      <c r="P53" s="626"/>
      <c r="R53" s="1201" t="s">
        <v>695</v>
      </c>
      <c r="S53" s="1204">
        <f>Peers!D59/Peers!D56</f>
        <v>0.32873022469325885</v>
      </c>
    </row>
    <row r="54" spans="1:21" ht="12.75" customHeight="1">
      <c r="B54" s="570" t="s">
        <v>696</v>
      </c>
      <c r="C54" s="612">
        <f>C53/C51</f>
        <v>0.66336226105312535</v>
      </c>
      <c r="D54" s="612">
        <f>D53/D51</f>
        <v>0.68751830410352466</v>
      </c>
      <c r="E54" s="612">
        <f>E53/E51</f>
        <v>0.68505240641711229</v>
      </c>
      <c r="F54" s="620">
        <f>AVERAGE(C54:E54)</f>
        <v>0.67864432385792073</v>
      </c>
      <c r="G54" s="628">
        <v>0.73136000000000001</v>
      </c>
      <c r="H54" s="628">
        <v>0.73597000000000001</v>
      </c>
      <c r="I54" s="628">
        <v>0.75597999999999999</v>
      </c>
      <c r="J54" s="629">
        <v>0.76</v>
      </c>
      <c r="K54" s="629">
        <v>0.76</v>
      </c>
      <c r="L54" s="629">
        <v>0.77</v>
      </c>
      <c r="M54" s="629">
        <v>0.78</v>
      </c>
      <c r="N54" s="629">
        <v>0.78</v>
      </c>
      <c r="O54" s="629">
        <v>0.8</v>
      </c>
      <c r="P54" s="630">
        <v>0.8</v>
      </c>
    </row>
    <row r="55" spans="1:21" s="577" customFormat="1" ht="12.75" customHeight="1">
      <c r="A55" s="487"/>
      <c r="B55" s="640" t="s">
        <v>287</v>
      </c>
      <c r="C55" s="619">
        <f>84594/1000</f>
        <v>84.593999999999994</v>
      </c>
      <c r="D55" s="619">
        <f>155026/1000</f>
        <v>155.02600000000001</v>
      </c>
      <c r="E55" s="619">
        <f>260093/1000</f>
        <v>260.09300000000002</v>
      </c>
      <c r="F55" s="570"/>
      <c r="G55" s="627">
        <f t="shared" ref="G55:P55" si="12">G51*G56</f>
        <v>457.2420846713747</v>
      </c>
      <c r="H55" s="627">
        <f t="shared" si="12"/>
        <v>525.35096485016049</v>
      </c>
      <c r="I55" s="627">
        <f t="shared" si="12"/>
        <v>636.24922858713887</v>
      </c>
      <c r="J55" s="619">
        <f t="shared" si="12"/>
        <v>794.46996720000004</v>
      </c>
      <c r="K55" s="619">
        <f t="shared" si="12"/>
        <v>953.36396063999996</v>
      </c>
      <c r="L55" s="619">
        <f t="shared" si="12"/>
        <v>1144.0367527679998</v>
      </c>
      <c r="M55" s="619">
        <f t="shared" si="12"/>
        <v>1372.8441033215997</v>
      </c>
      <c r="N55" s="619">
        <f t="shared" si="12"/>
        <v>1606.2276008862714</v>
      </c>
      <c r="O55" s="619">
        <f t="shared" si="12"/>
        <v>1847.1617410192118</v>
      </c>
      <c r="P55" s="631">
        <f t="shared" si="12"/>
        <v>2124.2360021720938</v>
      </c>
      <c r="Q55" s="487"/>
      <c r="R55" s="487"/>
      <c r="S55" s="487"/>
      <c r="T55" s="487"/>
      <c r="U55" s="487"/>
    </row>
    <row r="56" spans="1:21" ht="12.75" customHeight="1" thickBot="1">
      <c r="A56" s="498"/>
      <c r="B56" s="571" t="s">
        <v>684</v>
      </c>
      <c r="C56" s="575">
        <f>C55/C51</f>
        <v>9.9207224111645356E-2</v>
      </c>
      <c r="D56" s="575">
        <f>D55/D51</f>
        <v>0.13198195130257109</v>
      </c>
      <c r="E56" s="575">
        <f>E55/E51</f>
        <v>0.18544955436720145</v>
      </c>
      <c r="F56" s="576">
        <f>AVERAGE(C56:E56)</f>
        <v>0.13887957659380598</v>
      </c>
      <c r="G56" s="623">
        <v>0.30091614654253024</v>
      </c>
      <c r="H56" s="632">
        <v>0.30869586145005434</v>
      </c>
      <c r="I56" s="633">
        <v>0.32794702111230833</v>
      </c>
      <c r="J56" s="634">
        <v>0.35</v>
      </c>
      <c r="K56" s="635">
        <v>0.35</v>
      </c>
      <c r="L56" s="635">
        <v>0.35</v>
      </c>
      <c r="M56" s="636">
        <v>0.35</v>
      </c>
      <c r="N56" s="636">
        <v>0.35</v>
      </c>
      <c r="O56" s="636">
        <v>0.35</v>
      </c>
      <c r="P56" s="637">
        <v>0.35</v>
      </c>
    </row>
    <row r="57" spans="1:21" ht="12.75" customHeight="1">
      <c r="A57" s="498"/>
      <c r="B57"/>
      <c r="C57"/>
      <c r="D57"/>
      <c r="E57"/>
      <c r="F57"/>
      <c r="G57"/>
      <c r="H57"/>
      <c r="I57"/>
      <c r="J57"/>
      <c r="K57"/>
      <c r="L57"/>
      <c r="M57"/>
      <c r="N57"/>
      <c r="O57"/>
      <c r="P57"/>
    </row>
    <row r="58" spans="1:21" ht="12.75" customHeight="1">
      <c r="A58" s="498"/>
      <c r="B58" s="487" t="s">
        <v>697</v>
      </c>
      <c r="C58"/>
      <c r="D58"/>
      <c r="E58"/>
      <c r="F58"/>
      <c r="G58"/>
      <c r="H58"/>
      <c r="I58"/>
      <c r="J58"/>
      <c r="K58"/>
      <c r="L58"/>
      <c r="M58"/>
      <c r="N58"/>
      <c r="O58"/>
      <c r="P58"/>
    </row>
    <row r="59" spans="1:21" ht="12.75" customHeight="1">
      <c r="A59"/>
      <c r="B59" s="487" t="s">
        <v>698</v>
      </c>
      <c r="C59"/>
      <c r="D59"/>
      <c r="E59"/>
      <c r="Q59"/>
      <c r="R59"/>
      <c r="S59"/>
      <c r="T59"/>
      <c r="U59"/>
    </row>
    <row r="61" spans="1:21" s="1087" customFormat="1" ht="12.75" customHeight="1">
      <c r="A61" s="1087" t="s">
        <v>699</v>
      </c>
      <c r="B61" s="1086" t="s">
        <v>308</v>
      </c>
    </row>
    <row r="64" spans="1:21" ht="12.75" customHeight="1" thickBot="1">
      <c r="E64"/>
      <c r="F64"/>
      <c r="G64"/>
      <c r="R64" s="487" t="s">
        <v>700</v>
      </c>
    </row>
    <row r="65" spans="2:18" ht="12.75" customHeight="1" thickBot="1">
      <c r="C65" s="641">
        <v>2021</v>
      </c>
      <c r="D65" s="642">
        <v>2022</v>
      </c>
      <c r="E65" s="642">
        <v>2023</v>
      </c>
      <c r="F65" s="645">
        <v>2024</v>
      </c>
      <c r="G65" s="646">
        <v>2025</v>
      </c>
      <c r="H65" s="646">
        <v>2026</v>
      </c>
      <c r="I65" s="646">
        <v>2027</v>
      </c>
      <c r="J65" s="646">
        <v>2028</v>
      </c>
      <c r="K65" s="647">
        <v>2029</v>
      </c>
      <c r="L65" s="647">
        <v>2030</v>
      </c>
      <c r="M65" s="647">
        <v>2031</v>
      </c>
      <c r="N65" s="647">
        <v>2032</v>
      </c>
      <c r="O65" s="647">
        <v>2033</v>
      </c>
      <c r="P65" s="648">
        <v>2034</v>
      </c>
      <c r="Q65"/>
      <c r="R65" s="487" t="s">
        <v>701</v>
      </c>
    </row>
    <row r="66" spans="2:18" ht="12.75" customHeight="1">
      <c r="B66" s="1211" t="s">
        <v>123</v>
      </c>
      <c r="C66" s="1212">
        <v>635.6</v>
      </c>
      <c r="D66" s="1213">
        <v>852.7</v>
      </c>
      <c r="E66" s="1214">
        <v>1174.5999999999999</v>
      </c>
      <c r="F66" s="1214">
        <v>1402.5</v>
      </c>
      <c r="G66" s="1214">
        <f>(1527+1512)/2</f>
        <v>1519.5</v>
      </c>
      <c r="H66" s="1213">
        <f t="shared" ref="H66:P66" si="13">G66*(1+H67)</f>
        <v>1701.8400000000001</v>
      </c>
      <c r="I66" s="1213">
        <f t="shared" si="13"/>
        <v>1940.0976000000003</v>
      </c>
      <c r="J66" s="1213">
        <f t="shared" si="13"/>
        <v>2269.9141920000002</v>
      </c>
      <c r="K66" s="1213">
        <f t="shared" si="13"/>
        <v>2723.8970303999999</v>
      </c>
      <c r="L66" s="1213">
        <f t="shared" si="13"/>
        <v>3268.6764364799997</v>
      </c>
      <c r="M66" s="1213">
        <f t="shared" si="13"/>
        <v>3922.4117237759992</v>
      </c>
      <c r="N66" s="1213">
        <f t="shared" si="13"/>
        <v>4589.2217168179186</v>
      </c>
      <c r="O66" s="1213">
        <f t="shared" si="13"/>
        <v>5277.6049743406056</v>
      </c>
      <c r="P66" s="1215">
        <f t="shared" si="13"/>
        <v>6069.2457204916964</v>
      </c>
      <c r="R66" s="487" t="s">
        <v>702</v>
      </c>
    </row>
    <row r="67" spans="2:18" ht="12.75" customHeight="1">
      <c r="B67" s="570" t="s">
        <v>168</v>
      </c>
      <c r="C67" s="660"/>
      <c r="D67" s="661">
        <f>D66/C66-1</f>
        <v>0.34156702328508493</v>
      </c>
      <c r="E67" s="661">
        <f>E66/D66-1</f>
        <v>0.3775067432860324</v>
      </c>
      <c r="F67" s="661">
        <f>F66/E66-1</f>
        <v>0.19402349736080371</v>
      </c>
      <c r="G67" s="662">
        <f>G66/F66-1</f>
        <v>8.3422459893048195E-2</v>
      </c>
      <c r="H67" s="662">
        <v>0.12</v>
      </c>
      <c r="I67" s="662">
        <v>0.14000000000000001</v>
      </c>
      <c r="J67" s="662">
        <v>0.17</v>
      </c>
      <c r="K67" s="663">
        <v>0.2</v>
      </c>
      <c r="L67" s="663">
        <v>0.2</v>
      </c>
      <c r="M67" s="663">
        <v>0.2</v>
      </c>
      <c r="N67" s="663">
        <v>0.17</v>
      </c>
      <c r="O67" s="663">
        <v>0.15</v>
      </c>
      <c r="P67" s="664">
        <v>0.15</v>
      </c>
      <c r="R67" s="487" t="s">
        <v>703</v>
      </c>
    </row>
    <row r="68" spans="2:18" ht="12.75" customHeight="1">
      <c r="B68" s="570" t="s">
        <v>704</v>
      </c>
      <c r="C68" s="665">
        <v>631.70000000000005</v>
      </c>
      <c r="D68" s="529">
        <v>847.7</v>
      </c>
      <c r="E68" s="329">
        <v>1098</v>
      </c>
      <c r="F68" s="666">
        <v>1281.7</v>
      </c>
      <c r="G68" s="667">
        <f>G66*G70</f>
        <v>1412.5</v>
      </c>
      <c r="H68" s="659">
        <f t="shared" ref="H68:P68" si="14">H66*H70</f>
        <v>1565.6928000000003</v>
      </c>
      <c r="I68" s="659">
        <f t="shared" si="14"/>
        <v>1823.6917440000002</v>
      </c>
      <c r="J68" s="659">
        <f t="shared" si="14"/>
        <v>2224.51590816</v>
      </c>
      <c r="K68" s="668">
        <f t="shared" si="14"/>
        <v>2669.4190897919998</v>
      </c>
      <c r="L68" s="668">
        <f t="shared" si="14"/>
        <v>3203.3029077503998</v>
      </c>
      <c r="M68" s="668">
        <f t="shared" si="14"/>
        <v>3726.291137587199</v>
      </c>
      <c r="N68" s="668">
        <f t="shared" si="14"/>
        <v>4359.7606309770226</v>
      </c>
      <c r="O68" s="668">
        <f t="shared" si="14"/>
        <v>5013.7247256235751</v>
      </c>
      <c r="P68" s="669">
        <f t="shared" si="14"/>
        <v>5765.783434467111</v>
      </c>
      <c r="R68" s="487" t="s">
        <v>705</v>
      </c>
    </row>
    <row r="69" spans="2:18" ht="12.75" customHeight="1">
      <c r="B69" s="570" t="s">
        <v>168</v>
      </c>
      <c r="C69" s="660"/>
      <c r="D69" s="670">
        <f t="shared" ref="D69:P69" si="15">D68/C68-1</f>
        <v>0.3419344625613423</v>
      </c>
      <c r="E69" s="670">
        <f t="shared" si="15"/>
        <v>0.29526955290786838</v>
      </c>
      <c r="F69" s="670">
        <f t="shared" si="15"/>
        <v>0.16730418943533709</v>
      </c>
      <c r="G69" s="671">
        <f t="shared" si="15"/>
        <v>0.102051962237653</v>
      </c>
      <c r="H69" s="671">
        <f t="shared" si="15"/>
        <v>0.10845507964601797</v>
      </c>
      <c r="I69" s="671">
        <f t="shared" si="15"/>
        <v>0.16478260869565209</v>
      </c>
      <c r="J69" s="671">
        <f t="shared" si="15"/>
        <v>0.21978723404255307</v>
      </c>
      <c r="K69" s="672">
        <f t="shared" si="15"/>
        <v>0.19999999999999996</v>
      </c>
      <c r="L69" s="672">
        <f t="shared" si="15"/>
        <v>0.19999999999999996</v>
      </c>
      <c r="M69" s="672">
        <f t="shared" si="15"/>
        <v>0.16326530612244872</v>
      </c>
      <c r="N69" s="672">
        <f t="shared" si="15"/>
        <v>0.16999999999999993</v>
      </c>
      <c r="O69" s="672">
        <f t="shared" si="15"/>
        <v>0.14999999999999969</v>
      </c>
      <c r="P69" s="673">
        <f t="shared" si="15"/>
        <v>0.14999999999999991</v>
      </c>
      <c r="R69" s="487" t="s">
        <v>706</v>
      </c>
    </row>
    <row r="70" spans="2:18" ht="12.75" customHeight="1">
      <c r="B70" s="570" t="s">
        <v>684</v>
      </c>
      <c r="C70" s="660">
        <v>0.99386406544996853</v>
      </c>
      <c r="D70" s="670">
        <v>0.99413627301512841</v>
      </c>
      <c r="E70" s="670">
        <v>0.93478631023327097</v>
      </c>
      <c r="F70" s="670">
        <v>0.91386809269162217</v>
      </c>
      <c r="G70" s="671">
        <v>0.9295820993747943</v>
      </c>
      <c r="H70" s="671">
        <v>0.92</v>
      </c>
      <c r="I70" s="671">
        <v>0.94</v>
      </c>
      <c r="J70" s="671">
        <v>0.98</v>
      </c>
      <c r="K70" s="672">
        <v>0.98</v>
      </c>
      <c r="L70" s="672">
        <v>0.98</v>
      </c>
      <c r="M70" s="672">
        <v>0.95</v>
      </c>
      <c r="N70" s="672">
        <v>0.95</v>
      </c>
      <c r="O70" s="672">
        <v>0.95</v>
      </c>
      <c r="P70" s="673">
        <v>0.95</v>
      </c>
      <c r="R70" s="487" t="s">
        <v>707</v>
      </c>
    </row>
    <row r="71" spans="2:18" ht="12.75" customHeight="1">
      <c r="B71" s="570" t="s">
        <v>708</v>
      </c>
      <c r="C71" s="660"/>
      <c r="D71" s="670"/>
      <c r="E71" s="670"/>
      <c r="F71" s="670">
        <f t="shared" ref="F71:P71" si="16">F66/F76</f>
        <v>0.21857540266965894</v>
      </c>
      <c r="G71" s="671">
        <f t="shared" si="16"/>
        <v>0.21106016081325799</v>
      </c>
      <c r="H71" s="671">
        <f t="shared" si="16"/>
        <v>0.20483160784015927</v>
      </c>
      <c r="I71" s="671">
        <f t="shared" si="16"/>
        <v>0.20249287434986121</v>
      </c>
      <c r="J71" s="671">
        <f t="shared" si="16"/>
        <v>0.19531899577997974</v>
      </c>
      <c r="K71" s="672">
        <f t="shared" si="16"/>
        <v>0.19432308994401667</v>
      </c>
      <c r="L71" s="672">
        <f t="shared" si="16"/>
        <v>0.20310872308198147</v>
      </c>
      <c r="M71" s="672">
        <f t="shared" si="16"/>
        <v>0.21664930462078019</v>
      </c>
      <c r="N71" s="672">
        <f t="shared" si="16"/>
        <v>0.23043607855119344</v>
      </c>
      <c r="O71" s="672">
        <f t="shared" si="16"/>
        <v>0.24091044575806583</v>
      </c>
      <c r="P71" s="673">
        <f t="shared" si="16"/>
        <v>0.25186092056525061</v>
      </c>
      <c r="R71" s="487" t="s">
        <v>709</v>
      </c>
    </row>
    <row r="72" spans="2:18" s="489" customFormat="1" ht="12.75" customHeight="1">
      <c r="B72" s="640" t="s">
        <v>710</v>
      </c>
      <c r="C72" s="682"/>
      <c r="D72" s="683"/>
      <c r="E72" s="683"/>
      <c r="F72" s="683">
        <f t="shared" ref="F72:P72" si="17">F66/F73</f>
        <v>7.6501390934380631E-2</v>
      </c>
      <c r="G72" s="649">
        <f t="shared" si="17"/>
        <v>7.3871056284640288E-2</v>
      </c>
      <c r="H72" s="649">
        <f t="shared" si="17"/>
        <v>7.3739378822457347E-2</v>
      </c>
      <c r="I72" s="649">
        <f t="shared" si="17"/>
        <v>7.4922363509448642E-2</v>
      </c>
      <c r="J72" s="649">
        <f t="shared" si="17"/>
        <v>7.8127598311991911E-2</v>
      </c>
      <c r="K72" s="650">
        <f t="shared" si="17"/>
        <v>8.355892867592718E-2</v>
      </c>
      <c r="L72" s="650">
        <f t="shared" si="17"/>
        <v>8.9367838156071841E-2</v>
      </c>
      <c r="M72" s="650">
        <f t="shared" si="17"/>
        <v>9.7492187079351089E-2</v>
      </c>
      <c r="N72" s="650">
        <f t="shared" si="17"/>
        <v>0.10369623534803706</v>
      </c>
      <c r="O72" s="650">
        <f t="shared" si="17"/>
        <v>0.10840970059112963</v>
      </c>
      <c r="P72" s="651">
        <f t="shared" si="17"/>
        <v>0.11333741425436278</v>
      </c>
      <c r="R72" s="487" t="s">
        <v>711</v>
      </c>
    </row>
    <row r="73" spans="2:18" ht="12.75" customHeight="1">
      <c r="B73" s="610" t="s">
        <v>712</v>
      </c>
      <c r="C73" s="681">
        <v>13300</v>
      </c>
      <c r="D73" s="652">
        <v>14920</v>
      </c>
      <c r="E73" s="652">
        <f>D73*(1+E74)</f>
        <v>16710.400000000001</v>
      </c>
      <c r="F73" s="652">
        <v>18333</v>
      </c>
      <c r="G73" s="652">
        <f t="shared" ref="G73:P73" si="18">F73*(1+G74)</f>
        <v>20569.625999999997</v>
      </c>
      <c r="H73" s="652">
        <f t="shared" si="18"/>
        <v>23079.120371999994</v>
      </c>
      <c r="I73" s="652">
        <f t="shared" si="18"/>
        <v>25894.773057383991</v>
      </c>
      <c r="J73" s="652">
        <f t="shared" si="18"/>
        <v>29053.935370384836</v>
      </c>
      <c r="K73" s="652">
        <f t="shared" si="18"/>
        <v>32598.515485571781</v>
      </c>
      <c r="L73" s="652">
        <f t="shared" si="18"/>
        <v>36575.534374811534</v>
      </c>
      <c r="M73" s="652">
        <f t="shared" si="18"/>
        <v>40233.087812292688</v>
      </c>
      <c r="N73" s="652">
        <f t="shared" si="18"/>
        <v>44256.39659352196</v>
      </c>
      <c r="O73" s="652">
        <f t="shared" si="18"/>
        <v>48682.036252874161</v>
      </c>
      <c r="P73" s="653">
        <f t="shared" si="18"/>
        <v>53550.239878161578</v>
      </c>
    </row>
    <row r="74" spans="2:18" ht="12.75" customHeight="1">
      <c r="B74" s="608" t="s">
        <v>168</v>
      </c>
      <c r="C74" s="674"/>
      <c r="D74" s="674">
        <f>D73/C73-1</f>
        <v>0.12180451127819558</v>
      </c>
      <c r="E74" s="674">
        <v>0.12</v>
      </c>
      <c r="F74" s="675">
        <v>0.122</v>
      </c>
      <c r="G74" s="675">
        <v>0.122</v>
      </c>
      <c r="H74" s="675">
        <v>0.122</v>
      </c>
      <c r="I74" s="675">
        <v>0.122</v>
      </c>
      <c r="J74" s="675">
        <v>0.122</v>
      </c>
      <c r="K74" s="675">
        <v>0.122</v>
      </c>
      <c r="L74" s="675">
        <v>0.122</v>
      </c>
      <c r="M74" s="674">
        <v>0.1</v>
      </c>
      <c r="N74" s="674">
        <v>0.1</v>
      </c>
      <c r="O74" s="674">
        <v>0.1</v>
      </c>
      <c r="P74" s="676">
        <v>0.1</v>
      </c>
      <c r="R74" s="487" t="s">
        <v>713</v>
      </c>
    </row>
    <row r="75" spans="2:18" ht="12.75" customHeight="1">
      <c r="B75" s="608" t="s">
        <v>714</v>
      </c>
      <c r="C75" s="677"/>
      <c r="D75" s="674"/>
      <c r="E75" s="674"/>
      <c r="F75" s="674">
        <v>0.35</v>
      </c>
      <c r="G75" s="674">
        <v>0.35</v>
      </c>
      <c r="H75" s="674">
        <v>0.36</v>
      </c>
      <c r="I75" s="674">
        <v>0.37</v>
      </c>
      <c r="J75" s="674">
        <v>0.4</v>
      </c>
      <c r="K75" s="674">
        <v>0.43</v>
      </c>
      <c r="L75" s="674">
        <v>0.44</v>
      </c>
      <c r="M75" s="674">
        <v>0.45</v>
      </c>
      <c r="N75" s="674">
        <v>0.45</v>
      </c>
      <c r="O75" s="674">
        <v>0.45</v>
      </c>
      <c r="P75" s="676">
        <v>0.45</v>
      </c>
      <c r="R75" s="487" t="s">
        <v>715</v>
      </c>
    </row>
    <row r="76" spans="2:18" ht="12.75" customHeight="1">
      <c r="B76" s="610" t="s">
        <v>716</v>
      </c>
      <c r="C76" s="681"/>
      <c r="D76" s="652"/>
      <c r="E76" s="652"/>
      <c r="F76" s="652">
        <f t="shared" ref="F76:P76" si="19">F73*F75</f>
        <v>6416.5499999999993</v>
      </c>
      <c r="G76" s="652">
        <f t="shared" si="19"/>
        <v>7199.3690999999981</v>
      </c>
      <c r="H76" s="652">
        <f t="shared" si="19"/>
        <v>8308.4833339199977</v>
      </c>
      <c r="I76" s="652">
        <f t="shared" si="19"/>
        <v>9581.0660312320761</v>
      </c>
      <c r="J76" s="652">
        <f t="shared" si="19"/>
        <v>11621.574148153935</v>
      </c>
      <c r="K76" s="652">
        <f t="shared" si="19"/>
        <v>14017.361658795866</v>
      </c>
      <c r="L76" s="652">
        <f t="shared" si="19"/>
        <v>16093.235124917075</v>
      </c>
      <c r="M76" s="652">
        <f t="shared" si="19"/>
        <v>18104.889515531711</v>
      </c>
      <c r="N76" s="652">
        <f t="shared" si="19"/>
        <v>19915.378467084884</v>
      </c>
      <c r="O76" s="652">
        <f t="shared" si="19"/>
        <v>21906.916313793372</v>
      </c>
      <c r="P76" s="653">
        <f t="shared" si="19"/>
        <v>24097.607945172709</v>
      </c>
    </row>
    <row r="77" spans="2:18" ht="12.75" customHeight="1" thickBot="1">
      <c r="B77" s="609" t="s">
        <v>168</v>
      </c>
      <c r="C77" s="678"/>
      <c r="D77" s="679" t="s">
        <v>444</v>
      </c>
      <c r="E77" s="679"/>
      <c r="F77" s="679"/>
      <c r="G77" s="679">
        <f t="shared" ref="G77:P77" si="20">G76/F76-1</f>
        <v>0.12199999999999989</v>
      </c>
      <c r="H77" s="679">
        <f t="shared" si="20"/>
        <v>0.15405714285714289</v>
      </c>
      <c r="I77" s="679">
        <f t="shared" si="20"/>
        <v>0.15316666666666645</v>
      </c>
      <c r="J77" s="679">
        <f t="shared" si="20"/>
        <v>0.21297297297297302</v>
      </c>
      <c r="K77" s="679">
        <f t="shared" si="20"/>
        <v>0.20614999999999983</v>
      </c>
      <c r="L77" s="679">
        <f t="shared" si="20"/>
        <v>0.14809302325581375</v>
      </c>
      <c r="M77" s="679">
        <f t="shared" si="20"/>
        <v>0.12500000000000022</v>
      </c>
      <c r="N77" s="679">
        <f t="shared" si="20"/>
        <v>0.10000000000000009</v>
      </c>
      <c r="O77" s="679">
        <f t="shared" si="20"/>
        <v>0.10000000000000009</v>
      </c>
      <c r="P77" s="680">
        <f t="shared" si="20"/>
        <v>0.10000000000000009</v>
      </c>
      <c r="R77" s="487" t="s">
        <v>717</v>
      </c>
    </row>
    <row r="78" spans="2:18" ht="12.75" customHeight="1">
      <c r="E78"/>
      <c r="F78"/>
      <c r="G78"/>
    </row>
    <row r="79" spans="2:18" ht="12.75" customHeight="1" thickBot="1">
      <c r="E79"/>
      <c r="F79"/>
      <c r="G79"/>
    </row>
    <row r="80" spans="2:18" ht="12.75" customHeight="1" thickBot="1">
      <c r="C80" s="641">
        <v>2019</v>
      </c>
      <c r="D80" s="642">
        <v>2020</v>
      </c>
      <c r="E80" s="642">
        <v>2021</v>
      </c>
      <c r="F80" s="642">
        <v>2022</v>
      </c>
      <c r="G80" s="642">
        <v>2023</v>
      </c>
      <c r="H80" s="643">
        <v>2024</v>
      </c>
    </row>
    <row r="81" spans="2:15" ht="12.75" customHeight="1">
      <c r="B81" s="867" t="s">
        <v>308</v>
      </c>
      <c r="C81" s="869">
        <f>'Fin. Data'!G5*1000</f>
        <v>467633000</v>
      </c>
      <c r="D81" s="870">
        <f>'Fin. Data'!F5*1000</f>
        <v>561329000</v>
      </c>
      <c r="E81" s="871">
        <f>C66*1000000</f>
        <v>635600000</v>
      </c>
      <c r="F81" s="871">
        <f>D66*1000000</f>
        <v>852700000</v>
      </c>
      <c r="G81" s="872">
        <f>E66*1000000</f>
        <v>1174600000</v>
      </c>
      <c r="H81" s="873">
        <f>F66*1000000</f>
        <v>1402500000</v>
      </c>
    </row>
    <row r="82" spans="2:15" ht="12.75" customHeight="1">
      <c r="B82" s="570" t="s">
        <v>309</v>
      </c>
      <c r="C82" s="874"/>
      <c r="D82" s="875">
        <f>D81/C81-1</f>
        <v>0.20036224988399032</v>
      </c>
      <c r="E82" s="876">
        <f>E81/D81-1</f>
        <v>0.13231277913665607</v>
      </c>
      <c r="F82" s="876">
        <f>F81/E81-1</f>
        <v>0.34156702328508493</v>
      </c>
      <c r="G82" s="876">
        <f>G81/F81-1</f>
        <v>0.37750674328603262</v>
      </c>
      <c r="H82" s="877">
        <f>H81/G81-1</f>
        <v>0.19402349736080371</v>
      </c>
      <c r="O82" s="487" t="s">
        <v>718</v>
      </c>
    </row>
    <row r="83" spans="2:15" ht="12.75" customHeight="1">
      <c r="B83" s="787" t="s">
        <v>322</v>
      </c>
      <c r="C83" s="878">
        <v>20200</v>
      </c>
      <c r="D83" s="879">
        <v>24450</v>
      </c>
      <c r="E83" s="879">
        <v>28750</v>
      </c>
      <c r="F83" s="879">
        <v>33300</v>
      </c>
      <c r="G83" s="879">
        <v>36200</v>
      </c>
      <c r="H83" s="880">
        <v>39050</v>
      </c>
    </row>
    <row r="84" spans="2:15" ht="12.75" customHeight="1">
      <c r="B84" s="570" t="s">
        <v>309</v>
      </c>
      <c r="C84" s="881"/>
      <c r="D84" s="875">
        <f>D83/C83-1</f>
        <v>0.21039603960396036</v>
      </c>
      <c r="E84" s="875">
        <f>E83/D83-1</f>
        <v>0.17586912065439675</v>
      </c>
      <c r="F84" s="875">
        <f>F83/E83-1</f>
        <v>0.15826086956521745</v>
      </c>
      <c r="G84" s="875">
        <f>G83/F83-1</f>
        <v>8.7087087087087012E-2</v>
      </c>
      <c r="H84" s="882">
        <f>H83/G83-1</f>
        <v>7.8729281767955905E-2</v>
      </c>
      <c r="O84" s="487" t="s">
        <v>719</v>
      </c>
    </row>
    <row r="85" spans="2:15" ht="12.75" customHeight="1">
      <c r="B85" s="787" t="s">
        <v>312</v>
      </c>
      <c r="C85" s="883">
        <f t="shared" ref="C85:H85" si="21">C81/C83</f>
        <v>23150.148514851484</v>
      </c>
      <c r="D85" s="884">
        <f t="shared" si="21"/>
        <v>22958.241308793455</v>
      </c>
      <c r="E85" s="884">
        <f t="shared" si="21"/>
        <v>22107.82608695652</v>
      </c>
      <c r="F85" s="884">
        <f t="shared" si="21"/>
        <v>25606.606606606605</v>
      </c>
      <c r="G85" s="884">
        <f t="shared" si="21"/>
        <v>32447.513812154695</v>
      </c>
      <c r="H85" s="885">
        <f t="shared" si="21"/>
        <v>35915.492957746479</v>
      </c>
    </row>
    <row r="86" spans="2:15" ht="12.75" customHeight="1">
      <c r="B86" s="570" t="s">
        <v>309</v>
      </c>
      <c r="C86" s="886"/>
      <c r="D86" s="875">
        <f>D85/C85-1</f>
        <v>-8.2896749424702376E-3</v>
      </c>
      <c r="E86" s="887">
        <f>E85/D85-1</f>
        <v>-3.7041827829869867E-2</v>
      </c>
      <c r="F86" s="887">
        <f>F85/E85-1</f>
        <v>0.15825981740078654</v>
      </c>
      <c r="G86" s="887">
        <f>G85/F85-1</f>
        <v>0.26715399313328425</v>
      </c>
      <c r="H86" s="888">
        <f>H85/G85-1</f>
        <v>0.10687965696443258</v>
      </c>
      <c r="O86" s="487" t="s">
        <v>720</v>
      </c>
    </row>
    <row r="87" spans="2:15" ht="12.75" customHeight="1">
      <c r="B87" s="787" t="s">
        <v>313</v>
      </c>
      <c r="C87" s="883">
        <f t="shared" ref="C87:H87" si="22">C85*7</f>
        <v>162051.03960396038</v>
      </c>
      <c r="D87" s="889">
        <f t="shared" si="22"/>
        <v>160707.68916155418</v>
      </c>
      <c r="E87" s="884">
        <f t="shared" si="22"/>
        <v>154754.78260869565</v>
      </c>
      <c r="F87" s="884">
        <f t="shared" si="22"/>
        <v>179246.24624624624</v>
      </c>
      <c r="G87" s="884">
        <f t="shared" si="22"/>
        <v>227132.59668508286</v>
      </c>
      <c r="H87" s="885">
        <f t="shared" si="22"/>
        <v>251408.45070422534</v>
      </c>
    </row>
    <row r="88" spans="2:15" ht="12.75" customHeight="1">
      <c r="B88" s="570" t="s">
        <v>314</v>
      </c>
      <c r="C88" s="890">
        <f>112599*1000</f>
        <v>112599000</v>
      </c>
      <c r="D88" s="887">
        <f>145134*1000</f>
        <v>145134000</v>
      </c>
      <c r="E88" s="887">
        <f>161808*1000</f>
        <v>161808000</v>
      </c>
      <c r="F88" s="887">
        <f>214455*1000</f>
        <v>214455000</v>
      </c>
      <c r="G88" s="887">
        <f>296716*1000</f>
        <v>296716000</v>
      </c>
      <c r="H88" s="888">
        <f>334954*1000</f>
        <v>334954000</v>
      </c>
      <c r="O88" s="487" t="s">
        <v>721</v>
      </c>
    </row>
    <row r="89" spans="2:15" ht="12.75" customHeight="1">
      <c r="B89" s="787" t="s">
        <v>315</v>
      </c>
      <c r="C89" s="883"/>
      <c r="D89" s="891">
        <f>D88/(D83-C83)</f>
        <v>34149.176470588238</v>
      </c>
      <c r="E89" s="891">
        <f>E88/(E83-D83)</f>
        <v>37629.767441860466</v>
      </c>
      <c r="F89" s="891">
        <f>F88/(F83-E83)</f>
        <v>47132.967032967033</v>
      </c>
      <c r="G89" s="891">
        <f>G88/(G83-F83)</f>
        <v>102315.86206896552</v>
      </c>
      <c r="H89" s="892">
        <f>H88/(H83-G83)</f>
        <v>117527.71929824562</v>
      </c>
      <c r="O89" s="487" t="s">
        <v>722</v>
      </c>
    </row>
    <row r="90" spans="2:15" ht="12.75" customHeight="1" thickBot="1">
      <c r="B90" s="570" t="s">
        <v>316</v>
      </c>
      <c r="C90" s="886">
        <f t="shared" ref="C90:H90" si="23">C85*7/((1+$C$242)^7)</f>
        <v>85686.115398547889</v>
      </c>
      <c r="D90" s="893">
        <f t="shared" si="23"/>
        <v>84975.805354810931</v>
      </c>
      <c r="E90" s="887">
        <f t="shared" si="23"/>
        <v>81828.14620315349</v>
      </c>
      <c r="F90" s="887">
        <f t="shared" si="23"/>
        <v>94778.253679509435</v>
      </c>
      <c r="G90" s="887">
        <f t="shared" si="23"/>
        <v>120098.64261218975</v>
      </c>
      <c r="H90" s="888">
        <f t="shared" si="23"/>
        <v>132934.74433647457</v>
      </c>
    </row>
    <row r="91" spans="2:15" ht="12.75" customHeight="1" thickBot="1">
      <c r="B91" s="894" t="s">
        <v>317</v>
      </c>
      <c r="C91" s="895"/>
      <c r="D91" s="896">
        <f>D90-D89</f>
        <v>50826.628884222693</v>
      </c>
      <c r="E91" s="896">
        <f>E90-E89</f>
        <v>44198.378761293025</v>
      </c>
      <c r="F91" s="896">
        <f>F90-F89</f>
        <v>47645.286646542401</v>
      </c>
      <c r="G91" s="896">
        <f>G90-G89</f>
        <v>17782.780543224231</v>
      </c>
      <c r="H91" s="897">
        <f>H90-H89</f>
        <v>15407.025038228952</v>
      </c>
      <c r="O91" s="487" t="s">
        <v>723</v>
      </c>
    </row>
    <row r="92" spans="2:15" ht="12.75" customHeight="1">
      <c r="O92" s="487" t="s">
        <v>724</v>
      </c>
    </row>
    <row r="94" spans="2:15" ht="12.75" customHeight="1">
      <c r="B94" s="856" t="s">
        <v>725</v>
      </c>
    </row>
    <row r="95" spans="2:15" ht="12.75" customHeight="1">
      <c r="B95" s="489" t="s">
        <v>726</v>
      </c>
    </row>
    <row r="97" spans="1:11" s="1087" customFormat="1" ht="12.75" hidden="1" customHeight="1">
      <c r="A97" s="1089"/>
      <c r="B97" s="1086" t="s">
        <v>134</v>
      </c>
    </row>
    <row r="98" spans="1:11" ht="12.75" hidden="1" customHeight="1"/>
    <row r="99" spans="1:11" ht="12.75" hidden="1" customHeight="1">
      <c r="B99" s="487" t="s">
        <v>727</v>
      </c>
      <c r="E99" s="1113" t="s">
        <v>688</v>
      </c>
      <c r="F99" s="654">
        <v>0</v>
      </c>
    </row>
    <row r="100" spans="1:11" ht="12.75" hidden="1" customHeight="1"/>
    <row r="101" spans="1:11" ht="12.75" hidden="1" customHeight="1"/>
    <row r="102" spans="1:11" s="1087" customFormat="1" ht="12.75" customHeight="1">
      <c r="A102" s="1086"/>
      <c r="B102" s="1086" t="s">
        <v>728</v>
      </c>
    </row>
    <row r="103" spans="1:11" ht="12.75" customHeight="1" thickBot="1"/>
    <row r="104" spans="1:11" ht="12.75" customHeight="1" thickBot="1">
      <c r="C104" s="641">
        <v>2021</v>
      </c>
      <c r="D104" s="642">
        <v>2022</v>
      </c>
      <c r="E104" s="642">
        <v>2023</v>
      </c>
      <c r="F104" s="642">
        <v>2024</v>
      </c>
      <c r="G104" s="643" t="s">
        <v>729</v>
      </c>
    </row>
    <row r="105" spans="1:11" ht="12.75" customHeight="1" thickBot="1">
      <c r="B105" s="1108" t="s">
        <v>730</v>
      </c>
      <c r="C105" s="1105"/>
      <c r="D105" s="1105">
        <f>D66*1000</f>
        <v>852700</v>
      </c>
      <c r="E105" s="1105">
        <f>E66*1000</f>
        <v>1174600</v>
      </c>
      <c r="F105" s="1105">
        <f>F66*1000</f>
        <v>1402500</v>
      </c>
      <c r="G105" s="840"/>
      <c r="J105" s="746" t="s">
        <v>731</v>
      </c>
      <c r="K105" s="824" t="s">
        <v>732</v>
      </c>
    </row>
    <row r="106" spans="1:11" ht="12.75" customHeight="1" thickBot="1">
      <c r="B106" s="1109" t="s">
        <v>733</v>
      </c>
      <c r="D106" s="487">
        <v>-96202</v>
      </c>
      <c r="E106" s="487">
        <v>-147300</v>
      </c>
      <c r="F106" s="487">
        <v>-146032</v>
      </c>
      <c r="G106" s="626"/>
      <c r="I106" s="759" t="s">
        <v>660</v>
      </c>
      <c r="J106" s="1111">
        <f>G107</f>
        <v>-0.11411582793691223</v>
      </c>
      <c r="K106" s="1112">
        <v>-0.1</v>
      </c>
    </row>
    <row r="107" spans="1:11" ht="12.75" customHeight="1" thickBot="1">
      <c r="B107" s="1110" t="s">
        <v>734</v>
      </c>
      <c r="C107" s="918"/>
      <c r="D107" s="1106">
        <f>D106/D105</f>
        <v>-0.11282045267972324</v>
      </c>
      <c r="E107" s="1106">
        <f t="shared" ref="E107:F107" si="24">E106/E105</f>
        <v>-0.1254043929848459</v>
      </c>
      <c r="F107" s="1106">
        <f t="shared" si="24"/>
        <v>-0.10412263814616755</v>
      </c>
      <c r="G107" s="1107">
        <f>AVERAGE(D107:F107)</f>
        <v>-0.11411582793691223</v>
      </c>
    </row>
    <row r="109" spans="1:11" s="1087" customFormat="1" ht="12.75" customHeight="1" thickBot="1">
      <c r="A109" s="1086"/>
      <c r="B109" s="1086" t="s">
        <v>735</v>
      </c>
    </row>
    <row r="110" spans="1:11" ht="12.75" hidden="1" customHeight="1" thickBot="1"/>
    <row r="111" spans="1:11" ht="12.75" hidden="1" customHeight="1" thickBot="1">
      <c r="A111" s="489"/>
      <c r="B111" s="739">
        <v>2024</v>
      </c>
      <c r="C111" s="1124">
        <v>2023</v>
      </c>
      <c r="D111" s="1124">
        <v>2022</v>
      </c>
      <c r="E111" s="1082" t="s">
        <v>194</v>
      </c>
      <c r="G111" s="489"/>
      <c r="H111" s="487" t="s">
        <v>736</v>
      </c>
    </row>
    <row r="112" spans="1:11" ht="12.75" hidden="1" customHeight="1">
      <c r="A112" s="639" t="s">
        <v>737</v>
      </c>
      <c r="B112" s="1116">
        <f>Inputs!B12</f>
        <v>206766</v>
      </c>
      <c r="C112" s="1116">
        <f>Inputs!C12</f>
        <v>140822</v>
      </c>
      <c r="D112" s="1116">
        <f>Inputs!D12</f>
        <v>90777</v>
      </c>
      <c r="E112" s="1117">
        <f>AVERAGE(B112:D112)</f>
        <v>146121.66666666666</v>
      </c>
      <c r="H112" s="487" t="s">
        <v>738</v>
      </c>
    </row>
    <row r="113" spans="1:10" ht="12.75" hidden="1" customHeight="1">
      <c r="A113" s="640" t="s">
        <v>739</v>
      </c>
      <c r="B113" s="487">
        <f>B112*0.21</f>
        <v>43420.86</v>
      </c>
      <c r="C113" s="487">
        <f>C112*0.21</f>
        <v>29572.62</v>
      </c>
      <c r="D113" s="487">
        <f>D112*0.21</f>
        <v>19063.169999999998</v>
      </c>
      <c r="E113" s="838">
        <f>AVERAGE(B113:D113)</f>
        <v>30685.55</v>
      </c>
      <c r="H113" s="487" t="s">
        <v>740</v>
      </c>
    </row>
    <row r="114" spans="1:10" ht="12.75" hidden="1" customHeight="1">
      <c r="A114" s="640" t="s">
        <v>741</v>
      </c>
      <c r="B114" s="1118">
        <v>21</v>
      </c>
      <c r="C114" s="1118">
        <v>21</v>
      </c>
      <c r="D114" s="1118">
        <v>21</v>
      </c>
      <c r="E114" s="1119"/>
      <c r="H114" s="487" t="s">
        <v>742</v>
      </c>
    </row>
    <row r="115" spans="1:10" ht="12.75" hidden="1" customHeight="1">
      <c r="A115" s="640" t="s">
        <v>743</v>
      </c>
      <c r="B115" s="1118">
        <v>-2.9</v>
      </c>
      <c r="C115" s="1118">
        <v>-3.1</v>
      </c>
      <c r="D115" s="1118">
        <v>-5.3</v>
      </c>
      <c r="E115" s="1119">
        <f t="shared" ref="E115:E120" si="25">AVERAGE(B115:D115)</f>
        <v>-3.7666666666666671</v>
      </c>
      <c r="H115" s="487" t="s">
        <v>744</v>
      </c>
    </row>
    <row r="116" spans="1:10" ht="12.75" hidden="1" customHeight="1">
      <c r="A116" s="640" t="s">
        <v>745</v>
      </c>
      <c r="B116" s="1118">
        <v>2.7</v>
      </c>
      <c r="C116" s="1118">
        <v>-6.1</v>
      </c>
      <c r="D116" s="1120">
        <v>-21.9</v>
      </c>
      <c r="E116" s="1119">
        <f t="shared" si="25"/>
        <v>-8.4333333333333318</v>
      </c>
      <c r="H116" s="487" t="s">
        <v>746</v>
      </c>
    </row>
    <row r="117" spans="1:10" ht="12.75" hidden="1" customHeight="1">
      <c r="A117" s="640" t="s">
        <v>747</v>
      </c>
      <c r="B117" s="1118">
        <v>0.7</v>
      </c>
      <c r="C117" s="1118">
        <v>1</v>
      </c>
      <c r="D117" s="1118">
        <v>1.5</v>
      </c>
      <c r="E117" s="1119">
        <f t="shared" si="25"/>
        <v>1.0666666666666667</v>
      </c>
    </row>
    <row r="118" spans="1:10" ht="12.75" hidden="1" customHeight="1">
      <c r="A118" s="640" t="s">
        <v>748</v>
      </c>
      <c r="B118" s="1118">
        <v>-0.5</v>
      </c>
      <c r="C118" s="1118">
        <v>-2.8</v>
      </c>
      <c r="D118" s="1118">
        <v>0.4</v>
      </c>
      <c r="E118" s="1119">
        <f t="shared" si="25"/>
        <v>-0.96666666666666667</v>
      </c>
      <c r="H118" s="487" t="s">
        <v>749</v>
      </c>
    </row>
    <row r="119" spans="1:10" ht="12.75" hidden="1" customHeight="1" thickBot="1">
      <c r="A119" s="640" t="s">
        <v>750</v>
      </c>
      <c r="B119" s="1118">
        <v>4.3</v>
      </c>
      <c r="C119" s="1118">
        <v>1.3</v>
      </c>
      <c r="D119" s="1118">
        <v>-4</v>
      </c>
      <c r="E119" s="1119">
        <f t="shared" si="25"/>
        <v>0.53333333333333321</v>
      </c>
    </row>
    <row r="120" spans="1:10" ht="12.75" customHeight="1" thickBot="1">
      <c r="A120" s="640" t="s">
        <v>751</v>
      </c>
      <c r="B120" s="1118">
        <v>0.1</v>
      </c>
      <c r="C120" s="1118">
        <v>-0.1</v>
      </c>
      <c r="D120" s="1118">
        <v>-0.3</v>
      </c>
      <c r="E120" s="1119">
        <f t="shared" si="25"/>
        <v>-9.9999999999999992E-2</v>
      </c>
      <c r="I120" s="746" t="s">
        <v>731</v>
      </c>
      <c r="J120" s="824" t="s">
        <v>732</v>
      </c>
    </row>
    <row r="121" spans="1:10" ht="12.75" customHeight="1" thickBot="1">
      <c r="A121" s="760" t="s">
        <v>752</v>
      </c>
      <c r="B121" s="1121">
        <f>SUM(B114:B120)</f>
        <v>25.400000000000002</v>
      </c>
      <c r="C121" s="1121">
        <f>SUM(C114:C120)</f>
        <v>11.200000000000001</v>
      </c>
      <c r="D121" s="1122">
        <f>SUM(D114:D120)</f>
        <v>-8.6</v>
      </c>
      <c r="E121" s="1123">
        <f ca="1">AVERAGE(B121:E121)</f>
        <v>9.3333333333333321</v>
      </c>
      <c r="H121" s="759" t="s">
        <v>753</v>
      </c>
      <c r="I121" s="1115">
        <v>0.19</v>
      </c>
      <c r="J121" s="1112">
        <v>0.21</v>
      </c>
    </row>
    <row r="122" spans="1:10" ht="12.75" customHeight="1">
      <c r="B122" s="617"/>
      <c r="C122" s="658"/>
      <c r="D122" s="658"/>
      <c r="E122" s="658"/>
    </row>
    <row r="123" spans="1:10" s="1087" customFormat="1" ht="12.75" customHeight="1">
      <c r="A123" s="1086"/>
      <c r="B123" s="1086" t="s">
        <v>754</v>
      </c>
    </row>
    <row r="124" spans="1:10" s="490" customFormat="1" ht="12.75" hidden="1" customHeight="1">
      <c r="A124" s="1185"/>
    </row>
    <row r="125" spans="1:10" ht="12.75" hidden="1" customHeight="1">
      <c r="B125" s="489">
        <v>2024</v>
      </c>
      <c r="C125" s="489">
        <v>2023</v>
      </c>
      <c r="D125" s="489">
        <v>2022</v>
      </c>
      <c r="E125" s="489">
        <v>2021</v>
      </c>
      <c r="F125" s="489">
        <v>2020</v>
      </c>
      <c r="G125" s="489"/>
    </row>
    <row r="126" spans="1:10" ht="12.75" hidden="1" customHeight="1">
      <c r="A126" s="489" t="s">
        <v>755</v>
      </c>
      <c r="B126" s="789">
        <v>7634</v>
      </c>
      <c r="C126" s="487">
        <v>7800</v>
      </c>
      <c r="D126" s="789">
        <v>8399</v>
      </c>
      <c r="E126" s="789">
        <v>7549</v>
      </c>
      <c r="F126" s="789">
        <v>8083</v>
      </c>
      <c r="I126" s="487" t="s">
        <v>756</v>
      </c>
    </row>
    <row r="127" spans="1:10" ht="12.75" hidden="1" customHeight="1">
      <c r="A127" s="489" t="s">
        <v>757</v>
      </c>
      <c r="B127" s="487">
        <v>46814</v>
      </c>
      <c r="C127" s="487">
        <v>62471</v>
      </c>
      <c r="D127" s="487">
        <v>69119</v>
      </c>
      <c r="E127" s="487">
        <v>67202</v>
      </c>
      <c r="F127" s="487">
        <v>73299</v>
      </c>
      <c r="I127" s="487" t="s">
        <v>758</v>
      </c>
    </row>
    <row r="128" spans="1:10" ht="12.75" hidden="1" customHeight="1">
      <c r="A128" s="489" t="s">
        <v>759</v>
      </c>
      <c r="B128" s="487">
        <f>SUM(B126:B127)</f>
        <v>54448</v>
      </c>
      <c r="C128" s="487">
        <f t="shared" ref="C128:F128" si="26">SUM(C126:C127)</f>
        <v>70271</v>
      </c>
      <c r="D128" s="487">
        <f t="shared" si="26"/>
        <v>77518</v>
      </c>
      <c r="E128" s="487">
        <f t="shared" si="26"/>
        <v>74751</v>
      </c>
      <c r="F128" s="487">
        <f t="shared" si="26"/>
        <v>81382</v>
      </c>
    </row>
    <row r="129" spans="1:16" ht="12.75" hidden="1" customHeight="1">
      <c r="A129" s="487" t="s">
        <v>760</v>
      </c>
      <c r="B129" s="656">
        <f>'Fin. Data'!B19</f>
        <v>319597</v>
      </c>
      <c r="C129" s="656">
        <f>'Fin. Data'!C19</f>
        <v>212304</v>
      </c>
      <c r="D129" s="656">
        <f>'Fin. Data'!D19</f>
        <v>135809</v>
      </c>
      <c r="E129" s="656">
        <f>'Fin. Data'!E19</f>
        <v>101954</v>
      </c>
      <c r="F129" s="656">
        <f>'Fin. Data'!F19</f>
        <v>103137</v>
      </c>
      <c r="I129" s="487" t="s">
        <v>761</v>
      </c>
    </row>
    <row r="130" spans="1:16" ht="12.75" hidden="1" customHeight="1">
      <c r="B130" s="742">
        <f>B128/B129</f>
        <v>0.17036455285875649</v>
      </c>
      <c r="C130" s="742">
        <f t="shared" ref="C130:F130" si="27">C128/C129</f>
        <v>0.33099235059160448</v>
      </c>
      <c r="D130" s="742">
        <f t="shared" si="27"/>
        <v>0.57078691397477344</v>
      </c>
      <c r="E130" s="742">
        <f t="shared" si="27"/>
        <v>0.73318359260058463</v>
      </c>
      <c r="F130" s="742">
        <f t="shared" si="27"/>
        <v>0.78906696917691999</v>
      </c>
      <c r="I130" s="487" t="s">
        <v>762</v>
      </c>
    </row>
    <row r="131" spans="1:16" ht="12.75" hidden="1" customHeight="1">
      <c r="B131" s="790">
        <f t="shared" ref="B131:D131" si="28">(B128/C128)-1</f>
        <v>-0.22517112322295119</v>
      </c>
      <c r="C131" s="790">
        <f t="shared" si="28"/>
        <v>-9.3487964085760766E-2</v>
      </c>
      <c r="D131" s="790">
        <f t="shared" si="28"/>
        <v>3.7016227207662844E-2</v>
      </c>
      <c r="E131" s="790">
        <f>(E128/F128)-1</f>
        <v>-8.1479934137769994E-2</v>
      </c>
      <c r="I131" s="487" t="s">
        <v>763</v>
      </c>
    </row>
    <row r="132" spans="1:16" ht="12.75" hidden="1" customHeight="1">
      <c r="B132" s="790"/>
      <c r="C132" s="790"/>
      <c r="D132" s="790"/>
      <c r="E132" s="790"/>
      <c r="I132" s="487" t="s">
        <v>764</v>
      </c>
    </row>
    <row r="133" spans="1:16" ht="12.75" hidden="1" customHeight="1">
      <c r="A133" s="487" t="s">
        <v>765</v>
      </c>
      <c r="B133" s="489">
        <v>2025</v>
      </c>
      <c r="C133" s="489">
        <v>2026</v>
      </c>
      <c r="D133" s="489">
        <v>2027</v>
      </c>
      <c r="E133" s="489">
        <v>2028</v>
      </c>
      <c r="F133" s="489">
        <v>2029</v>
      </c>
      <c r="G133" s="657" t="s">
        <v>766</v>
      </c>
      <c r="I133" s="487" t="s">
        <v>767</v>
      </c>
    </row>
    <row r="134" spans="1:16" ht="12.75" hidden="1" customHeight="1">
      <c r="A134" s="489" t="s">
        <v>768</v>
      </c>
      <c r="B134" s="487">
        <v>9838</v>
      </c>
      <c r="C134" s="487">
        <v>9262</v>
      </c>
      <c r="D134" s="487">
        <v>8855</v>
      </c>
      <c r="E134" s="487">
        <v>8655</v>
      </c>
      <c r="F134" s="487">
        <v>7698</v>
      </c>
      <c r="G134" s="487">
        <v>19821</v>
      </c>
      <c r="I134" s="487" t="s">
        <v>769</v>
      </c>
    </row>
    <row r="135" spans="1:16" ht="12.75" hidden="1" customHeight="1">
      <c r="A135" s="489" t="s">
        <v>770</v>
      </c>
      <c r="B135" s="487">
        <v>54448</v>
      </c>
      <c r="G135" s="487">
        <f>G134/3</f>
        <v>6607</v>
      </c>
      <c r="I135" s="487" t="s">
        <v>771</v>
      </c>
    </row>
    <row r="136" spans="1:16" ht="12.75" hidden="1" customHeight="1">
      <c r="B136" s="489">
        <f>B125</f>
        <v>2024</v>
      </c>
      <c r="C136" s="489">
        <f>C125</f>
        <v>2023</v>
      </c>
      <c r="D136" s="489">
        <f>D125</f>
        <v>2022</v>
      </c>
      <c r="E136" s="489"/>
      <c r="F136" s="489"/>
    </row>
    <row r="137" spans="1:16" ht="12.75" hidden="1" customHeight="1">
      <c r="A137" s="489" t="s">
        <v>772</v>
      </c>
      <c r="B137" s="655">
        <f>((Inputs!B44+Inputs!B45+Inputs!B48+Inputs!B49)-Inputs!B28)/(Inputs!B8+Inputs!B3)</f>
        <v>-0.58447219919231896</v>
      </c>
      <c r="C137" s="655">
        <f>((Inputs!C44+Inputs!C45+Inputs!C48+Inputs!C49)-Inputs!C28)/(Inputs!C8+Inputs!C3)</f>
        <v>-0.53545211770928747</v>
      </c>
      <c r="D137" s="655">
        <f>((Inputs!D44+Inputs!D45+Inputs!D48+Inputs!D49)-Inputs!D28)/(Inputs!D8+Inputs!D3)</f>
        <v>0.6353523890583257</v>
      </c>
      <c r="I137" s="487" t="s">
        <v>773</v>
      </c>
    </row>
    <row r="138" spans="1:16" ht="12.75" customHeight="1" thickBot="1"/>
    <row r="139" spans="1:16" ht="12.75" customHeight="1" thickBot="1">
      <c r="J139" s="1084" t="s">
        <v>685</v>
      </c>
      <c r="K139" s="1085" t="s">
        <v>774</v>
      </c>
    </row>
    <row r="140" spans="1:16" ht="12.75" customHeight="1" thickBot="1">
      <c r="D140" s="611"/>
      <c r="I140" s="740" t="s">
        <v>775</v>
      </c>
      <c r="J140" s="1083">
        <v>-4.1000000000000002E-2</v>
      </c>
      <c r="K140" s="576">
        <f>(0.042+0.00875)*(-1)</f>
        <v>-5.0750000000000003E-2</v>
      </c>
      <c r="L140"/>
      <c r="M140"/>
      <c r="N140"/>
      <c r="O140"/>
      <c r="P140"/>
    </row>
    <row r="141" spans="1:16" ht="12.75" customHeight="1">
      <c r="A141" s="489" t="s">
        <v>776</v>
      </c>
      <c r="C141" s="657" t="s">
        <v>777</v>
      </c>
      <c r="D141" s="611"/>
      <c r="I141"/>
      <c r="J141"/>
      <c r="K141"/>
      <c r="L141"/>
      <c r="M141"/>
      <c r="N141"/>
      <c r="O141"/>
      <c r="P141"/>
    </row>
    <row r="142" spans="1:16" ht="12.75" hidden="1" customHeight="1">
      <c r="A142" s="721">
        <v>45658</v>
      </c>
      <c r="B142" s="741">
        <v>3.6499999999999998E-2</v>
      </c>
      <c r="C142" s="742">
        <f>B142+0.00875</f>
        <v>4.5249999999999999E-2</v>
      </c>
      <c r="D142" s="611"/>
      <c r="I142"/>
      <c r="J142"/>
      <c r="K142"/>
      <c r="L142"/>
      <c r="M142"/>
      <c r="N142"/>
      <c r="O142"/>
      <c r="P142"/>
    </row>
    <row r="143" spans="1:16" ht="12.75" hidden="1" customHeight="1">
      <c r="A143" s="721">
        <v>45689</v>
      </c>
      <c r="B143" s="743">
        <v>3.4599999999999999E-2</v>
      </c>
      <c r="C143" s="742">
        <f>B143+0.00875</f>
        <v>4.335E-2</v>
      </c>
      <c r="D143" s="611"/>
    </row>
    <row r="144" spans="1:16" ht="12.75" hidden="1" customHeight="1">
      <c r="A144" s="721">
        <v>45717</v>
      </c>
      <c r="B144" s="743">
        <v>3.3300000000000003E-2</v>
      </c>
      <c r="C144" s="742">
        <f t="shared" ref="C144:C147" si="29">B144+0.00875</f>
        <v>4.2050000000000004E-2</v>
      </c>
      <c r="D144" s="611"/>
    </row>
    <row r="145" spans="1:12" ht="12.75" hidden="1" customHeight="1">
      <c r="A145" s="721">
        <v>45748</v>
      </c>
      <c r="B145" s="743">
        <v>3.2099999999999997E-2</v>
      </c>
      <c r="C145" s="742">
        <f t="shared" si="29"/>
        <v>4.0849999999999997E-2</v>
      </c>
      <c r="D145" s="611"/>
    </row>
    <row r="146" spans="1:12" ht="12.75" hidden="1" customHeight="1">
      <c r="A146" s="721">
        <v>45778</v>
      </c>
      <c r="B146" s="743">
        <v>3.1E-2</v>
      </c>
      <c r="C146" s="742">
        <f t="shared" si="29"/>
        <v>3.9750000000000001E-2</v>
      </c>
      <c r="D146" s="611"/>
    </row>
    <row r="147" spans="1:12" ht="12.75" hidden="1" customHeight="1">
      <c r="A147" s="721">
        <v>45809</v>
      </c>
      <c r="B147" s="743">
        <v>2.9899999999999999E-2</v>
      </c>
      <c r="C147" s="742">
        <f t="shared" si="29"/>
        <v>3.8650000000000004E-2</v>
      </c>
    </row>
    <row r="148" spans="1:12" ht="12.75" customHeight="1">
      <c r="A148" s="721"/>
      <c r="B148" s="487" t="s">
        <v>778</v>
      </c>
      <c r="C148" s="730">
        <f>AVERAGE(C142:C147)</f>
        <v>4.165E-2</v>
      </c>
    </row>
    <row r="150" spans="1:12" s="1087" customFormat="1" ht="12.75" customHeight="1">
      <c r="A150" s="1088"/>
      <c r="B150" s="1088" t="s">
        <v>676</v>
      </c>
    </row>
    <row r="152" spans="1:12" ht="12.75" customHeight="1" thickBot="1"/>
    <row r="153" spans="1:12" ht="12.75" customHeight="1" thickBot="1">
      <c r="A153"/>
      <c r="B153" s="722">
        <v>2024</v>
      </c>
      <c r="C153" s="722">
        <v>2023</v>
      </c>
      <c r="D153" s="723">
        <v>2022</v>
      </c>
      <c r="E153" s="723">
        <v>2021</v>
      </c>
      <c r="F153" s="723">
        <v>2020</v>
      </c>
      <c r="G153" s="724" t="s">
        <v>194</v>
      </c>
      <c r="I153" s="1198" t="s">
        <v>779</v>
      </c>
      <c r="J153" s="770">
        <f>G156</f>
        <v>-3.7621318881502573E-2</v>
      </c>
    </row>
    <row r="154" spans="1:12" ht="12.75" customHeight="1">
      <c r="A154" s="684" t="s">
        <v>123</v>
      </c>
      <c r="B154" s="274">
        <f>Inputs!B6</f>
        <v>1402515</v>
      </c>
      <c r="C154" s="274">
        <f>Inputs!C6</f>
        <v>1174598</v>
      </c>
      <c r="D154" s="274">
        <f>Inputs!D6</f>
        <v>852651</v>
      </c>
      <c r="E154" s="274">
        <f>Inputs!E6</f>
        <v>635627</v>
      </c>
      <c r="F154" s="274">
        <f>Inputs!F6</f>
        <v>561329</v>
      </c>
      <c r="G154" s="685"/>
      <c r="I154" s="1198" t="s">
        <v>780</v>
      </c>
      <c r="J154" s="654">
        <v>-0.04</v>
      </c>
    </row>
    <row r="155" spans="1:12" ht="12.75" customHeight="1">
      <c r="A155" s="686" t="s">
        <v>781</v>
      </c>
      <c r="B155">
        <v>-12031</v>
      </c>
      <c r="C155">
        <v>0</v>
      </c>
      <c r="D155">
        <v>-107576</v>
      </c>
      <c r="E155" s="487">
        <v>-14992</v>
      </c>
      <c r="F155" s="487">
        <v>-16714</v>
      </c>
      <c r="G155" s="685"/>
    </row>
    <row r="156" spans="1:12" ht="12.75" customHeight="1" thickBot="1">
      <c r="A156" s="687" t="s">
        <v>684</v>
      </c>
      <c r="B156" s="725">
        <f>B155/B154</f>
        <v>-8.5781613743881532E-3</v>
      </c>
      <c r="C156" s="725">
        <f t="shared" ref="C156:F156" si="30">C155/C154</f>
        <v>0</v>
      </c>
      <c r="D156" s="725">
        <f t="shared" si="30"/>
        <v>-0.12616650892334613</v>
      </c>
      <c r="E156" s="725">
        <f t="shared" si="30"/>
        <v>-2.3586159807560094E-2</v>
      </c>
      <c r="F156" s="725">
        <f t="shared" si="30"/>
        <v>-2.9775764302218486E-2</v>
      </c>
      <c r="G156" s="726">
        <f>AVERAGE(B156:F156)</f>
        <v>-3.7621318881502573E-2</v>
      </c>
      <c r="I156" s="487" t="s">
        <v>782</v>
      </c>
    </row>
    <row r="158" spans="1:12" ht="12.75" customHeight="1">
      <c r="A158" s="487" t="s">
        <v>783</v>
      </c>
      <c r="G158" s="720"/>
      <c r="L158" s="611"/>
    </row>
    <row r="160" spans="1:12" s="1087" customFormat="1" ht="12.75" customHeight="1">
      <c r="B160" s="1086" t="s">
        <v>338</v>
      </c>
    </row>
    <row r="161" spans="2:25" customFormat="1" ht="12.75" customHeight="1" thickBot="1"/>
    <row r="162" spans="2:25" customFormat="1" ht="12.75" customHeight="1" thickBot="1">
      <c r="C162" s="707">
        <v>2024</v>
      </c>
      <c r="D162" s="708">
        <v>2023</v>
      </c>
      <c r="E162" s="708">
        <v>2022</v>
      </c>
      <c r="F162" s="708">
        <v>2021</v>
      </c>
      <c r="G162" s="708">
        <v>2020</v>
      </c>
      <c r="H162" s="708">
        <v>2019</v>
      </c>
      <c r="I162" s="709" t="s">
        <v>325</v>
      </c>
      <c r="J162" s="709" t="s">
        <v>784</v>
      </c>
      <c r="K162" s="487"/>
      <c r="L162" s="487"/>
      <c r="M162" s="487"/>
      <c r="N162" s="831">
        <v>2024</v>
      </c>
      <c r="O162" s="1162">
        <v>2023</v>
      </c>
      <c r="P162" s="1162">
        <v>2022</v>
      </c>
      <c r="Q162" s="1162">
        <v>2021</v>
      </c>
      <c r="R162" s="1162">
        <v>2020</v>
      </c>
      <c r="S162" s="1162">
        <v>2019</v>
      </c>
      <c r="T162" s="1189" t="s">
        <v>194</v>
      </c>
      <c r="U162" s="1187" t="s">
        <v>785</v>
      </c>
      <c r="V162" s="487"/>
      <c r="W162" s="487"/>
      <c r="X162" s="487"/>
    </row>
    <row r="163" spans="2:25" customFormat="1" ht="12.75" customHeight="1">
      <c r="B163" s="863" t="s">
        <v>730</v>
      </c>
      <c r="C163" s="710">
        <v>1402515</v>
      </c>
      <c r="D163" s="711">
        <v>1174598</v>
      </c>
      <c r="E163" s="711">
        <v>852651</v>
      </c>
      <c r="F163" s="711">
        <v>635627</v>
      </c>
      <c r="G163" s="711">
        <v>561329</v>
      </c>
      <c r="H163" s="711"/>
      <c r="I163" s="712"/>
      <c r="J163" s="712"/>
      <c r="K163" s="487"/>
      <c r="L163" s="835" t="s">
        <v>730</v>
      </c>
      <c r="M163" s="840"/>
      <c r="N163" s="1157">
        <v>1402515</v>
      </c>
      <c r="O163" s="1157">
        <v>1174598</v>
      </c>
      <c r="P163" s="1157">
        <v>852651</v>
      </c>
      <c r="Q163" s="1157">
        <v>635627</v>
      </c>
      <c r="R163" s="1157">
        <v>561329</v>
      </c>
      <c r="S163" s="1157">
        <v>467633</v>
      </c>
      <c r="T163" s="1190"/>
      <c r="U163" s="569"/>
      <c r="V163" s="487"/>
      <c r="W163" s="487"/>
      <c r="X163" s="487"/>
    </row>
    <row r="164" spans="2:25" customFormat="1" ht="12.75" customHeight="1">
      <c r="B164" s="736" t="s">
        <v>786</v>
      </c>
      <c r="C164" s="713">
        <v>28291</v>
      </c>
      <c r="D164" s="310">
        <v>34527</v>
      </c>
      <c r="E164" s="310">
        <v>45475</v>
      </c>
      <c r="F164" s="310"/>
      <c r="G164" s="310"/>
      <c r="H164" s="310"/>
      <c r="I164" s="714"/>
      <c r="J164" s="714"/>
      <c r="K164" s="487"/>
      <c r="L164" s="782" t="s">
        <v>787</v>
      </c>
      <c r="M164" s="626"/>
      <c r="N164" s="487">
        <v>178333</v>
      </c>
      <c r="O164" s="487">
        <v>163994</v>
      </c>
      <c r="P164" s="487">
        <v>102908</v>
      </c>
      <c r="Q164" s="487">
        <v>76707</v>
      </c>
      <c r="R164" s="487">
        <v>62766</v>
      </c>
      <c r="S164" s="487">
        <v>50329</v>
      </c>
      <c r="T164" s="1191"/>
      <c r="U164" s="570"/>
      <c r="V164" s="487"/>
      <c r="W164" s="487"/>
      <c r="X164" s="487"/>
    </row>
    <row r="165" spans="2:25" customFormat="1" ht="12.75" customHeight="1">
      <c r="B165" s="738" t="s">
        <v>788</v>
      </c>
      <c r="C165" s="713">
        <v>44478</v>
      </c>
      <c r="D165" s="310">
        <v>34042</v>
      </c>
      <c r="E165" s="310">
        <v>23094</v>
      </c>
      <c r="F165" s="310"/>
      <c r="G165" s="310"/>
      <c r="H165" s="310"/>
      <c r="I165" s="714"/>
      <c r="J165" s="714"/>
      <c r="K165" s="487"/>
      <c r="L165" s="837" t="s">
        <v>734</v>
      </c>
      <c r="M165" s="626"/>
      <c r="N165" s="629">
        <f>N164/N163</f>
        <v>0.12715229427136251</v>
      </c>
      <c r="O165" s="629">
        <f t="shared" ref="O165:S165" si="31">O164/O163</f>
        <v>0.13961712858356645</v>
      </c>
      <c r="P165" s="629">
        <f t="shared" si="31"/>
        <v>0.12069181880980612</v>
      </c>
      <c r="Q165" s="629">
        <f t="shared" si="31"/>
        <v>0.12067926629926042</v>
      </c>
      <c r="R165" s="629">
        <f t="shared" si="31"/>
        <v>0.11181677768296311</v>
      </c>
      <c r="S165" s="629">
        <f t="shared" si="31"/>
        <v>0.10762499652505277</v>
      </c>
      <c r="T165" s="1192">
        <f>AVERAGE(N165:S165)</f>
        <v>0.12126371369533523</v>
      </c>
      <c r="U165" s="620">
        <f t="shared" ref="U165" si="32">_xlfn.STDEV.S(N165:S165)</f>
        <v>1.1379376677582981E-2</v>
      </c>
      <c r="V165" s="487"/>
      <c r="W165" s="487"/>
      <c r="X165" s="487"/>
    </row>
    <row r="166" spans="2:25" customFormat="1" ht="12.75" customHeight="1" thickBot="1">
      <c r="B166" s="736" t="s">
        <v>789</v>
      </c>
      <c r="C166" s="713">
        <v>72769</v>
      </c>
      <c r="D166" s="310">
        <v>68569</v>
      </c>
      <c r="E166" s="310">
        <f>E164+E165</f>
        <v>68569</v>
      </c>
      <c r="F166" s="310"/>
      <c r="G166" s="310"/>
      <c r="H166" s="310"/>
      <c r="I166" s="714"/>
      <c r="J166" s="714"/>
      <c r="K166" s="487"/>
      <c r="L166" s="1158" t="s">
        <v>790</v>
      </c>
      <c r="M166" s="1161"/>
      <c r="N166" s="919">
        <f>N164/N170</f>
        <v>0.70247455330413133</v>
      </c>
      <c r="O166" s="919">
        <f t="shared" ref="O166:S166" si="33">O164/O170</f>
        <v>0.74686668852697924</v>
      </c>
      <c r="P166" s="919">
        <f t="shared" si="33"/>
        <v>0.70901599812597316</v>
      </c>
      <c r="Q166" s="919">
        <f t="shared" si="33"/>
        <v>0.70729638269817707</v>
      </c>
      <c r="R166" s="919">
        <f t="shared" si="33"/>
        <v>0.69009268523303247</v>
      </c>
      <c r="S166" s="919">
        <f t="shared" si="33"/>
        <v>0.68342793514570488</v>
      </c>
      <c r="T166" s="1177">
        <f>AVERAGE(N166:S166)</f>
        <v>0.70652904050566645</v>
      </c>
      <c r="U166" s="620">
        <f>_xlfn.STDEV.S(N166:S166)</f>
        <v>2.2154698508915115E-2</v>
      </c>
      <c r="V166" s="487"/>
      <c r="W166" s="487"/>
      <c r="X166" s="487"/>
    </row>
    <row r="167" spans="2:25" customFormat="1" ht="12.75" customHeight="1">
      <c r="B167" s="738" t="s">
        <v>791</v>
      </c>
      <c r="C167" s="728">
        <f>C166/D166-1</f>
        <v>6.125216934766442E-2</v>
      </c>
      <c r="D167" s="729">
        <f t="shared" ref="D167:H167" si="34">D166/E166-1</f>
        <v>0</v>
      </c>
      <c r="E167" s="729" t="e">
        <f t="shared" si="34"/>
        <v>#DIV/0!</v>
      </c>
      <c r="F167" s="729" t="e">
        <f t="shared" si="34"/>
        <v>#DIV/0!</v>
      </c>
      <c r="G167" s="729" t="e">
        <f t="shared" si="34"/>
        <v>#DIV/0!</v>
      </c>
      <c r="H167" s="729" t="e">
        <f t="shared" si="34"/>
        <v>#DIV/0!</v>
      </c>
      <c r="I167" s="714"/>
      <c r="J167" s="714"/>
      <c r="K167" s="487"/>
      <c r="L167" s="782" t="s">
        <v>792</v>
      </c>
      <c r="M167" s="626"/>
      <c r="N167" s="487">
        <v>75531</v>
      </c>
      <c r="O167" s="487">
        <v>55582</v>
      </c>
      <c r="P167" s="487">
        <v>42234</v>
      </c>
      <c r="Q167" s="487">
        <v>31744</v>
      </c>
      <c r="R167" s="487">
        <v>28187</v>
      </c>
      <c r="S167" s="487">
        <v>23313</v>
      </c>
      <c r="T167" s="1191"/>
      <c r="U167" s="620"/>
      <c r="V167" s="487"/>
      <c r="W167" s="487"/>
      <c r="X167" s="487"/>
    </row>
    <row r="168" spans="2:25" customFormat="1" ht="12.75" customHeight="1">
      <c r="B168" s="736" t="s">
        <v>793</v>
      </c>
      <c r="C168" s="713">
        <v>20744</v>
      </c>
      <c r="D168" s="310">
        <v>18478</v>
      </c>
      <c r="E168" s="310">
        <v>16199</v>
      </c>
      <c r="F168" s="852">
        <v>15905</v>
      </c>
      <c r="G168" s="854">
        <v>16129</v>
      </c>
      <c r="H168" s="851">
        <v>15329</v>
      </c>
      <c r="I168" s="714"/>
      <c r="J168" s="714"/>
      <c r="K168" s="487"/>
      <c r="L168" s="837" t="s">
        <v>734</v>
      </c>
      <c r="M168" s="626"/>
      <c r="N168" s="629">
        <f>N167/N163</f>
        <v>5.3853969476262288E-2</v>
      </c>
      <c r="O168" s="629">
        <f t="shared" ref="O168:S168" si="35">O167/O163</f>
        <v>4.7320019274679506E-2</v>
      </c>
      <c r="P168" s="629">
        <f t="shared" si="35"/>
        <v>4.9532575461707078E-2</v>
      </c>
      <c r="Q168" s="629">
        <f t="shared" si="35"/>
        <v>4.9941239122944743E-2</v>
      </c>
      <c r="R168" s="629">
        <f t="shared" si="35"/>
        <v>5.0214758189938521E-2</v>
      </c>
      <c r="S168" s="629">
        <f t="shared" si="35"/>
        <v>4.985319684453407E-2</v>
      </c>
      <c r="T168" s="1192">
        <f>AVERAGE(N168:S168)</f>
        <v>5.0119293061677707E-2</v>
      </c>
      <c r="U168" s="620"/>
      <c r="V168" s="487"/>
      <c r="W168" s="487"/>
      <c r="X168" s="487"/>
    </row>
    <row r="169" spans="2:25" customFormat="1" ht="12.75" customHeight="1">
      <c r="B169" s="1155" t="s">
        <v>794</v>
      </c>
      <c r="C169" s="920">
        <v>45246</v>
      </c>
      <c r="D169" s="921">
        <v>31440</v>
      </c>
      <c r="E169" s="921">
        <v>25267</v>
      </c>
      <c r="F169" s="922">
        <v>23227</v>
      </c>
      <c r="G169" s="923">
        <v>19261</v>
      </c>
      <c r="H169" s="924">
        <v>16921</v>
      </c>
      <c r="I169" s="714"/>
      <c r="J169" s="714"/>
      <c r="K169" s="487"/>
      <c r="L169" s="837" t="s">
        <v>790</v>
      </c>
      <c r="M169" s="626"/>
      <c r="N169" s="629">
        <f>N167/N170</f>
        <v>0.29752544669586867</v>
      </c>
      <c r="O169" s="629">
        <f t="shared" ref="O169:S169" si="36">O167/O170</f>
        <v>0.25313331147302071</v>
      </c>
      <c r="P169" s="629">
        <f t="shared" si="36"/>
        <v>0.29098400187402679</v>
      </c>
      <c r="Q169" s="629">
        <f t="shared" si="36"/>
        <v>0.29270361730182293</v>
      </c>
      <c r="R169" s="629">
        <f t="shared" si="36"/>
        <v>0.30990731476696753</v>
      </c>
      <c r="S169" s="629">
        <f t="shared" si="36"/>
        <v>0.31657206485429512</v>
      </c>
      <c r="T169" s="1193">
        <f>AVERAGE(N169:S169)</f>
        <v>0.29347095949433361</v>
      </c>
      <c r="U169" s="620">
        <f>_xlfn.STDEV.S(N169:S169)</f>
        <v>2.215469850891514E-2</v>
      </c>
      <c r="V169" s="487"/>
      <c r="W169" s="487"/>
      <c r="X169" s="487"/>
      <c r="Y169" t="s">
        <v>795</v>
      </c>
    </row>
    <row r="170" spans="2:25" customFormat="1" ht="12.75" customHeight="1" thickBot="1">
      <c r="B170" s="736" t="s">
        <v>796</v>
      </c>
      <c r="C170" s="713">
        <v>7907</v>
      </c>
      <c r="D170" s="310">
        <v>7414</v>
      </c>
      <c r="E170" s="310">
        <v>1853</v>
      </c>
      <c r="F170" s="852"/>
      <c r="G170" s="854"/>
      <c r="H170" s="851"/>
      <c r="I170" s="714"/>
      <c r="J170" s="714"/>
      <c r="K170" s="487"/>
      <c r="L170" s="1159" t="s">
        <v>797</v>
      </c>
      <c r="M170" s="1164"/>
      <c r="N170" s="1160">
        <f>N164+N167</f>
        <v>253864</v>
      </c>
      <c r="O170" s="1160">
        <f t="shared" ref="O170:S170" si="37">O164+O167</f>
        <v>219576</v>
      </c>
      <c r="P170" s="1160">
        <f t="shared" si="37"/>
        <v>145142</v>
      </c>
      <c r="Q170" s="1160">
        <f t="shared" si="37"/>
        <v>108451</v>
      </c>
      <c r="R170" s="1160">
        <f t="shared" si="37"/>
        <v>90953</v>
      </c>
      <c r="S170" s="1160">
        <f t="shared" si="37"/>
        <v>73642</v>
      </c>
      <c r="T170" s="1194"/>
      <c r="U170" s="571"/>
      <c r="V170" s="487"/>
      <c r="W170" s="487"/>
      <c r="X170" s="487"/>
    </row>
    <row r="171" spans="2:25" customFormat="1" ht="12.75" customHeight="1">
      <c r="B171" s="736"/>
      <c r="C171" s="713"/>
      <c r="D171" s="310"/>
      <c r="E171" s="310"/>
      <c r="F171" s="852"/>
      <c r="G171" s="854"/>
      <c r="H171" s="851"/>
      <c r="I171" s="714"/>
      <c r="J171" s="714"/>
      <c r="K171" s="487"/>
      <c r="L171" s="839" t="s">
        <v>798</v>
      </c>
      <c r="M171" s="840"/>
      <c r="N171" s="1157">
        <v>45246</v>
      </c>
      <c r="O171" s="1157">
        <v>31440</v>
      </c>
      <c r="P171" s="1157">
        <v>25267</v>
      </c>
      <c r="Q171" s="1157">
        <v>23227</v>
      </c>
      <c r="R171" s="1157">
        <v>19261</v>
      </c>
      <c r="S171" s="1157">
        <v>16921</v>
      </c>
      <c r="T171" s="569"/>
      <c r="U171" s="569"/>
      <c r="V171" s="487"/>
      <c r="W171" s="487"/>
      <c r="X171" s="487"/>
    </row>
    <row r="172" spans="2:25" customFormat="1" ht="12.75" customHeight="1" thickBot="1">
      <c r="B172" s="1156" t="s">
        <v>799</v>
      </c>
      <c r="C172" s="934">
        <f>C177-C168</f>
        <v>55682</v>
      </c>
      <c r="D172" s="935">
        <f t="shared" ref="D172:H172" si="38">D177-D168</f>
        <v>42388</v>
      </c>
      <c r="E172" s="935">
        <f t="shared" si="38"/>
        <v>34019</v>
      </c>
      <c r="F172" s="935">
        <f t="shared" si="38"/>
        <v>27067</v>
      </c>
      <c r="G172" s="935">
        <f t="shared" si="38"/>
        <v>21784</v>
      </c>
      <c r="H172" s="935">
        <f t="shared" si="38"/>
        <v>19235</v>
      </c>
      <c r="I172" s="714"/>
      <c r="J172" s="714"/>
      <c r="K172" s="487"/>
      <c r="L172" s="1158" t="s">
        <v>800</v>
      </c>
      <c r="M172" s="1161"/>
      <c r="N172" s="575"/>
      <c r="O172" s="575">
        <f>O171/O163</f>
        <v>2.6766604404230215E-2</v>
      </c>
      <c r="P172" s="575">
        <f>P171/P163</f>
        <v>2.9633460818083834E-2</v>
      </c>
      <c r="Q172" s="575">
        <f>Q171/Q163</f>
        <v>3.6541871254682383E-2</v>
      </c>
      <c r="R172" s="575">
        <f>R171/R163</f>
        <v>3.4313210256373711E-2</v>
      </c>
      <c r="S172" s="575">
        <f>S171/S163</f>
        <v>3.6184358246744777E-2</v>
      </c>
      <c r="T172" s="1195">
        <f>AVERAGE(N172:S172)</f>
        <v>3.2687900996022978E-2</v>
      </c>
      <c r="U172" s="1188">
        <f>_xlfn.STDEV.S(N172:S172)</f>
        <v>4.304395671320297E-3</v>
      </c>
      <c r="V172" s="487"/>
      <c r="W172" s="487"/>
      <c r="X172" s="487"/>
    </row>
    <row r="173" spans="2:25" customFormat="1" ht="12.75" customHeight="1">
      <c r="B173" s="736" t="s">
        <v>801</v>
      </c>
      <c r="C173" s="732">
        <f>C172/C163</f>
        <v>3.9701536168953631E-2</v>
      </c>
      <c r="D173" s="733">
        <f>D172/D163</f>
        <v>3.6087240060003509E-2</v>
      </c>
      <c r="E173" s="733">
        <f>E172/E163</f>
        <v>3.9897918374575292E-2</v>
      </c>
      <c r="F173" s="733">
        <f t="shared" ref="F173:G173" si="39">F172/F163</f>
        <v>4.2583150180845054E-2</v>
      </c>
      <c r="G173" s="733">
        <f t="shared" si="39"/>
        <v>3.8807900536049267E-2</v>
      </c>
      <c r="H173" s="733"/>
      <c r="I173" s="1196">
        <f>AVERAGE(C173:E173)</f>
        <v>3.8562231534510806E-2</v>
      </c>
      <c r="J173" s="1196">
        <f>_xlfn.STDEV.S(C173:G173)</f>
        <v>2.3342580818660288E-3</v>
      </c>
      <c r="K173" s="487"/>
      <c r="L173" s="487"/>
      <c r="M173" s="487"/>
      <c r="N173" s="487"/>
      <c r="O173" s="487"/>
      <c r="P173" s="487"/>
      <c r="Q173" s="487"/>
      <c r="R173" s="487"/>
      <c r="S173" s="487"/>
      <c r="T173" s="487"/>
      <c r="U173" s="487"/>
      <c r="V173" s="487"/>
      <c r="W173" s="487"/>
      <c r="X173" s="487"/>
    </row>
    <row r="174" spans="2:25" ht="12.75" customHeight="1" thickBot="1">
      <c r="B174" s="736" t="s">
        <v>802</v>
      </c>
      <c r="C174" s="855">
        <f>C172/C166</f>
        <v>0.76518847311355109</v>
      </c>
      <c r="D174" s="853">
        <f t="shared" ref="D174:H174" si="40">D172/D166</f>
        <v>0.61818022721638055</v>
      </c>
      <c r="E174" s="853">
        <f t="shared" si="40"/>
        <v>0.49612798786623691</v>
      </c>
      <c r="F174" s="853" t="e">
        <f t="shared" si="40"/>
        <v>#DIV/0!</v>
      </c>
      <c r="G174" s="853" t="e">
        <f t="shared" si="40"/>
        <v>#DIV/0!</v>
      </c>
      <c r="H174" s="853" t="e">
        <f t="shared" si="40"/>
        <v>#DIV/0!</v>
      </c>
      <c r="I174" s="734"/>
      <c r="J174" s="734"/>
      <c r="L174" s="487" t="s">
        <v>803</v>
      </c>
      <c r="N174" s="487">
        <v>324269</v>
      </c>
      <c r="O174" s="487">
        <v>248738</v>
      </c>
      <c r="V174"/>
      <c r="W174"/>
      <c r="X174"/>
    </row>
    <row r="175" spans="2:25" ht="12.75" customHeight="1" thickBot="1">
      <c r="B175" s="737" t="s">
        <v>804</v>
      </c>
      <c r="C175" s="717">
        <f>C172/C164</f>
        <v>1.9681877628927928</v>
      </c>
      <c r="D175" s="718">
        <f>D172/D164</f>
        <v>1.2276768905494251</v>
      </c>
      <c r="E175" s="718"/>
      <c r="F175" s="718"/>
      <c r="G175" s="718"/>
      <c r="H175" s="718"/>
      <c r="I175" s="719"/>
      <c r="J175" s="719"/>
      <c r="L175" s="487" t="s">
        <v>805</v>
      </c>
      <c r="N175" s="487">
        <v>207857</v>
      </c>
      <c r="O175" s="487">
        <v>162611</v>
      </c>
      <c r="V175"/>
      <c r="W175"/>
      <c r="X175"/>
    </row>
    <row r="176" spans="2:25" ht="12.75" customHeight="1" thickBot="1"/>
    <row r="177" spans="2:26" ht="12.75" customHeight="1" thickBot="1">
      <c r="B177" s="737" t="s">
        <v>338</v>
      </c>
      <c r="C177" s="1168">
        <v>76426</v>
      </c>
      <c r="D177" s="727">
        <v>60866</v>
      </c>
      <c r="E177" s="727">
        <v>50218</v>
      </c>
      <c r="F177" s="573">
        <v>42972</v>
      </c>
      <c r="G177" s="573">
        <v>37913</v>
      </c>
      <c r="H177" s="1163">
        <v>34564</v>
      </c>
    </row>
    <row r="178" spans="2:26" ht="12.75" customHeight="1" thickBot="1">
      <c r="P178"/>
      <c r="Q178"/>
      <c r="R178"/>
      <c r="S178"/>
      <c r="T178"/>
      <c r="U178"/>
      <c r="V178"/>
      <c r="W178"/>
      <c r="X178"/>
      <c r="Y178"/>
      <c r="Z178"/>
    </row>
    <row r="179" spans="2:26" ht="12.75" customHeight="1" thickBot="1">
      <c r="B179"/>
      <c r="C179" s="707">
        <v>2024</v>
      </c>
      <c r="D179" s="708">
        <v>2023</v>
      </c>
      <c r="E179" s="708">
        <v>2022</v>
      </c>
      <c r="F179" s="709" t="s">
        <v>325</v>
      </c>
      <c r="L179"/>
      <c r="M179"/>
      <c r="N179"/>
      <c r="O179"/>
      <c r="P179"/>
      <c r="Q179"/>
      <c r="R179"/>
      <c r="S179"/>
      <c r="T179"/>
      <c r="U179"/>
      <c r="V179"/>
      <c r="W179"/>
      <c r="X179"/>
      <c r="Y179"/>
      <c r="Z179"/>
    </row>
    <row r="180" spans="2:26" ht="12.75" customHeight="1">
      <c r="B180" s="863" t="s">
        <v>730</v>
      </c>
      <c r="C180" s="710">
        <v>1402515</v>
      </c>
      <c r="D180" s="711">
        <v>1174598</v>
      </c>
      <c r="E180" s="711">
        <v>852651</v>
      </c>
      <c r="F180" s="712"/>
      <c r="H180" s="487" t="s">
        <v>806</v>
      </c>
      <c r="L180"/>
      <c r="M180"/>
      <c r="N180"/>
      <c r="O180"/>
      <c r="P180"/>
      <c r="Q180"/>
      <c r="R180"/>
      <c r="S180"/>
      <c r="T180"/>
      <c r="U180"/>
      <c r="V180"/>
      <c r="W180"/>
      <c r="X180"/>
      <c r="Y180"/>
      <c r="Z180"/>
    </row>
    <row r="181" spans="2:26" ht="12.75" customHeight="1">
      <c r="B181" s="736" t="s">
        <v>807</v>
      </c>
      <c r="C181" s="713">
        <v>60640</v>
      </c>
      <c r="D181" s="310">
        <v>64069</v>
      </c>
      <c r="E181" s="310">
        <v>62839</v>
      </c>
      <c r="F181" s="714"/>
      <c r="L181"/>
      <c r="M181"/>
      <c r="N181"/>
      <c r="O181"/>
      <c r="P181"/>
      <c r="Q181"/>
      <c r="R181"/>
      <c r="S181"/>
      <c r="T181"/>
      <c r="U181"/>
      <c r="V181"/>
      <c r="W181"/>
      <c r="X181"/>
      <c r="Y181"/>
      <c r="Z181"/>
    </row>
    <row r="182" spans="2:26" ht="12.75" customHeight="1">
      <c r="B182" s="735" t="s">
        <v>808</v>
      </c>
      <c r="C182" s="713">
        <v>90582</v>
      </c>
      <c r="D182" s="310">
        <v>77886</v>
      </c>
      <c r="E182" s="310">
        <v>72829</v>
      </c>
      <c r="F182" s="714"/>
      <c r="L182"/>
      <c r="M182"/>
      <c r="N182"/>
      <c r="O182"/>
      <c r="P182"/>
      <c r="Q182"/>
      <c r="R182"/>
      <c r="S182"/>
      <c r="T182"/>
      <c r="U182"/>
      <c r="V182"/>
      <c r="W182"/>
      <c r="X182"/>
      <c r="Y182"/>
      <c r="Z182"/>
    </row>
    <row r="183" spans="2:26" ht="12.75" customHeight="1">
      <c r="B183" s="736" t="s">
        <v>809</v>
      </c>
      <c r="C183" s="713">
        <f>C181+C182</f>
        <v>151222</v>
      </c>
      <c r="D183" s="310">
        <f>D181+D182</f>
        <v>141955</v>
      </c>
      <c r="E183" s="310">
        <f>E181+E182</f>
        <v>135668</v>
      </c>
      <c r="F183" s="714"/>
      <c r="H183" s="487" t="s">
        <v>810</v>
      </c>
      <c r="L183"/>
      <c r="M183"/>
      <c r="N183"/>
      <c r="O183"/>
      <c r="P183"/>
      <c r="Q183"/>
      <c r="R183"/>
      <c r="S183"/>
      <c r="T183"/>
      <c r="U183"/>
      <c r="V183"/>
      <c r="W183"/>
      <c r="X183"/>
      <c r="Y183"/>
      <c r="Z183"/>
    </row>
    <row r="184" spans="2:26" ht="12.75" customHeight="1">
      <c r="B184" s="738" t="s">
        <v>791</v>
      </c>
      <c r="C184" s="728">
        <f>C183/D183-1</f>
        <v>6.5281251100700821E-2</v>
      </c>
      <c r="D184" s="729">
        <f t="shared" ref="D184" si="41">D183/E183-1</f>
        <v>4.6341067901052524E-2</v>
      </c>
      <c r="E184" s="729">
        <f>E183/122589-1</f>
        <v>0.10668983350871608</v>
      </c>
      <c r="F184" s="716">
        <f>AVERAGE(C184:E184)</f>
        <v>7.2770717503489804E-2</v>
      </c>
      <c r="H184" s="487" t="s">
        <v>811</v>
      </c>
    </row>
    <row r="185" spans="2:26" ht="12.75" customHeight="1">
      <c r="B185" s="736" t="s">
        <v>793</v>
      </c>
      <c r="C185" s="713">
        <v>20744</v>
      </c>
      <c r="D185" s="310">
        <v>18478</v>
      </c>
      <c r="E185" s="310">
        <v>16199</v>
      </c>
      <c r="F185" s="714"/>
      <c r="H185" s="487" t="s">
        <v>812</v>
      </c>
    </row>
    <row r="186" spans="2:26" ht="12.75" customHeight="1" thickBot="1">
      <c r="B186" s="735" t="s">
        <v>801</v>
      </c>
      <c r="C186" s="715">
        <f>C185/C180</f>
        <v>1.4790572649846883E-2</v>
      </c>
      <c r="D186" s="698">
        <f>D185/D180</f>
        <v>1.5731339573198659E-2</v>
      </c>
      <c r="E186" s="698">
        <f>E185/E180</f>
        <v>1.899839441928761E-2</v>
      </c>
      <c r="F186" s="716"/>
    </row>
    <row r="187" spans="2:26" ht="12.75" customHeight="1" thickBot="1">
      <c r="B187" s="910" t="s">
        <v>813</v>
      </c>
      <c r="C187" s="911">
        <f>C185/C183</f>
        <v>0.13717580775284019</v>
      </c>
      <c r="D187" s="912">
        <f>D185/D183</f>
        <v>0.13016801098939804</v>
      </c>
      <c r="E187" s="912">
        <f>E185/E183</f>
        <v>0.11940177492113099</v>
      </c>
      <c r="F187" s="913">
        <f>AVERAGE(C187:E187)</f>
        <v>0.12891519788778974</v>
      </c>
      <c r="H187" s="1091" t="s">
        <v>814</v>
      </c>
      <c r="M187" s="487" t="s">
        <v>815</v>
      </c>
    </row>
    <row r="188" spans="2:26" ht="12.75" customHeight="1" thickBot="1">
      <c r="B188"/>
      <c r="C188"/>
      <c r="D188"/>
      <c r="E188"/>
      <c r="F188"/>
    </row>
    <row r="189" spans="2:26" ht="12.75" customHeight="1" thickBot="1">
      <c r="B189" s="740" t="s">
        <v>816</v>
      </c>
      <c r="C189" s="745">
        <v>-0.13</v>
      </c>
      <c r="E189" s="740" t="s">
        <v>817</v>
      </c>
      <c r="F189" s="1197">
        <v>-3.9E-2</v>
      </c>
    </row>
    <row r="190" spans="2:26" ht="12.75" customHeight="1">
      <c r="B190"/>
      <c r="C190"/>
      <c r="D190"/>
      <c r="E190"/>
      <c r="F190"/>
    </row>
    <row r="191" spans="2:26" s="1153" customFormat="1" ht="12.75" customHeight="1">
      <c r="B191" s="1176" t="s">
        <v>818</v>
      </c>
    </row>
    <row r="192" spans="2:26" ht="12.75" customHeight="1" thickBot="1">
      <c r="B192"/>
    </row>
    <row r="193" spans="2:11" ht="12.75" customHeight="1" thickBot="1">
      <c r="B193"/>
      <c r="C193" s="907" t="s">
        <v>819</v>
      </c>
      <c r="D193" s="908"/>
      <c r="E193" s="908"/>
      <c r="F193" s="688" t="s">
        <v>729</v>
      </c>
      <c r="G193" s="688" t="s">
        <v>820</v>
      </c>
    </row>
    <row r="194" spans="2:11" ht="12.75" customHeight="1" thickBot="1">
      <c r="B194"/>
      <c r="C194" s="689">
        <v>2024</v>
      </c>
      <c r="D194" s="690">
        <v>2023</v>
      </c>
      <c r="E194" s="690">
        <v>2022</v>
      </c>
      <c r="F194" s="691" t="s">
        <v>821</v>
      </c>
      <c r="G194" s="691" t="s">
        <v>821</v>
      </c>
    </row>
    <row r="195" spans="2:11" ht="12.75" customHeight="1" thickBot="1">
      <c r="B195" s="692" t="s">
        <v>308</v>
      </c>
      <c r="C195" s="693">
        <v>1402515</v>
      </c>
      <c r="D195" s="693">
        <v>1174598</v>
      </c>
      <c r="E195" s="693">
        <v>852651</v>
      </c>
      <c r="F195" s="694"/>
      <c r="G195" s="694"/>
    </row>
    <row r="196" spans="2:11" ht="12.75" customHeight="1" thickBot="1">
      <c r="B196" s="695" t="s">
        <v>822</v>
      </c>
      <c r="C196" s="696">
        <f>C195-D195</f>
        <v>227917</v>
      </c>
      <c r="D196" s="696">
        <f t="shared" ref="D196" si="42">D195-E195</f>
        <v>321947</v>
      </c>
      <c r="E196" s="696">
        <v>217024</v>
      </c>
      <c r="F196" s="697"/>
      <c r="G196" s="697"/>
      <c r="I196"/>
      <c r="J196" s="832" t="s">
        <v>685</v>
      </c>
      <c r="K196" s="833" t="s">
        <v>687</v>
      </c>
    </row>
    <row r="197" spans="2:11" ht="12.75" customHeight="1" thickBot="1">
      <c r="B197" s="685" t="s">
        <v>823</v>
      </c>
      <c r="C197" s="698">
        <f t="shared" ref="C197" si="43">C195/D195-1</f>
        <v>0.19403830076332507</v>
      </c>
      <c r="D197" s="698">
        <f>D195/E195-1</f>
        <v>0.37758355997940551</v>
      </c>
      <c r="E197" s="698">
        <v>0.34143294731029372</v>
      </c>
      <c r="F197" s="699">
        <f>AVERAGE(C197:E197)</f>
        <v>0.30435160268434142</v>
      </c>
      <c r="G197" s="699">
        <f>_xlfn.STDEV.S(C197:E197)</f>
        <v>9.7229034421956573E-2</v>
      </c>
      <c r="I197" s="831" t="s">
        <v>824</v>
      </c>
      <c r="J197" s="830">
        <v>-0.06</v>
      </c>
      <c r="K197" s="834">
        <v>-0.05</v>
      </c>
    </row>
    <row r="198" spans="2:11" ht="12.75" customHeight="1">
      <c r="B198" s="700" t="s">
        <v>825</v>
      </c>
      <c r="C198" s="310"/>
      <c r="D198" s="310"/>
      <c r="E198" s="310"/>
      <c r="F198" s="701"/>
      <c r="G198" s="701"/>
    </row>
    <row r="199" spans="2:11" ht="12.75" customHeight="1">
      <c r="B199" s="702" t="s">
        <v>826</v>
      </c>
      <c r="C199" s="696">
        <v>-8186</v>
      </c>
      <c r="D199" s="696">
        <v>-9407</v>
      </c>
      <c r="E199" s="703">
        <v>-7605</v>
      </c>
      <c r="F199" s="697"/>
      <c r="G199" s="697"/>
    </row>
    <row r="200" spans="2:11" ht="12.75" customHeight="1">
      <c r="B200" s="685" t="s">
        <v>827</v>
      </c>
      <c r="C200" s="698">
        <f>C199/C195</f>
        <v>-5.8366577184557743E-3</v>
      </c>
      <c r="D200" s="698">
        <f t="shared" ref="D200:E200" si="44">D199/D195</f>
        <v>-8.0086974437211713E-3</v>
      </c>
      <c r="E200" s="698">
        <f t="shared" si="44"/>
        <v>-8.9192412839485327E-3</v>
      </c>
      <c r="F200" s="699">
        <f>AVERAGE(C200:E200)</f>
        <v>-7.5881988153751597E-3</v>
      </c>
      <c r="G200" s="699">
        <f>_xlfn.STDEV.S(C200:E200)</f>
        <v>1.5837280959470821E-3</v>
      </c>
    </row>
    <row r="201" spans="2:11" ht="12.75" customHeight="1">
      <c r="B201" s="744" t="s">
        <v>420</v>
      </c>
      <c r="C201" s="703">
        <v>-70337</v>
      </c>
      <c r="D201" s="703">
        <v>-80781</v>
      </c>
      <c r="E201" s="703">
        <v>-73263</v>
      </c>
      <c r="F201" s="697"/>
      <c r="G201" s="697"/>
    </row>
    <row r="202" spans="2:11" ht="12.75" customHeight="1">
      <c r="B202" s="685" t="s">
        <v>827</v>
      </c>
      <c r="C202" s="698">
        <f>C201/C195</f>
        <v>-5.0150622274984583E-2</v>
      </c>
      <c r="D202" s="698">
        <f t="shared" ref="D202:E202" si="45">D201/D195</f>
        <v>-6.8773316487853717E-2</v>
      </c>
      <c r="E202" s="698">
        <f t="shared" si="45"/>
        <v>-8.5923783587892349E-2</v>
      </c>
      <c r="F202" s="699">
        <f>AVERAGE(C202:E202)</f>
        <v>-6.8282574116910216E-2</v>
      </c>
      <c r="G202" s="699">
        <f>_xlfn.STDEV.S(C202:E202)</f>
        <v>1.789162901012117E-2</v>
      </c>
    </row>
    <row r="203" spans="2:11" ht="12.75" customHeight="1">
      <c r="B203" s="702" t="s">
        <v>828</v>
      </c>
      <c r="C203" s="703">
        <v>-5829</v>
      </c>
      <c r="D203" s="703">
        <v>-3994</v>
      </c>
      <c r="E203" s="703">
        <v>-14767</v>
      </c>
      <c r="F203" s="704"/>
      <c r="G203" s="704"/>
    </row>
    <row r="204" spans="2:11" ht="12.75" customHeight="1">
      <c r="B204" s="685" t="s">
        <v>827</v>
      </c>
      <c r="C204" s="698">
        <f>C203/C195</f>
        <v>-4.156105282296446E-3</v>
      </c>
      <c r="D204" s="698">
        <f t="shared" ref="D204:E204" si="46">D203/D195</f>
        <v>-3.4003122770513827E-3</v>
      </c>
      <c r="E204" s="698">
        <f t="shared" si="46"/>
        <v>-1.7318926500995133E-2</v>
      </c>
      <c r="F204" s="699">
        <f>AVERAGE(C204:E204)</f>
        <v>-8.2917813534476529E-3</v>
      </c>
      <c r="G204" s="699">
        <f>_xlfn.STDEV.S(C204:E204)</f>
        <v>7.8268651389213177E-3</v>
      </c>
    </row>
    <row r="205" spans="2:11" ht="12.75" customHeight="1">
      <c r="B205" s="702" t="s">
        <v>829</v>
      </c>
      <c r="C205" s="703">
        <v>2423</v>
      </c>
      <c r="D205" s="703">
        <v>-1554</v>
      </c>
      <c r="E205" s="703">
        <v>2553</v>
      </c>
      <c r="F205" s="704"/>
      <c r="G205" s="704"/>
    </row>
    <row r="206" spans="2:11" ht="12.75" customHeight="1">
      <c r="B206" s="685" t="s">
        <v>827</v>
      </c>
      <c r="C206" s="698">
        <f>C205/C195</f>
        <v>1.7276107563911972E-3</v>
      </c>
      <c r="D206" s="698">
        <f t="shared" ref="D206:E206" si="47">D205/D195</f>
        <v>-1.3230058283770277E-3</v>
      </c>
      <c r="E206" s="698">
        <f t="shared" si="47"/>
        <v>2.9941910582407106E-3</v>
      </c>
      <c r="F206" s="699">
        <f>AVERAGE(C206:E206)</f>
        <v>1.1329319954182934E-3</v>
      </c>
      <c r="G206" s="699">
        <f>_xlfn.STDEV.S(C206:E206)</f>
        <v>2.2191843909462939E-3</v>
      </c>
    </row>
    <row r="207" spans="2:11" ht="12.75" customHeight="1">
      <c r="B207" s="702" t="s">
        <v>830</v>
      </c>
      <c r="C207" s="703">
        <v>13315</v>
      </c>
      <c r="D207" s="703">
        <v>18416</v>
      </c>
      <c r="E207" s="703">
        <v>16923</v>
      </c>
      <c r="F207" s="704"/>
      <c r="G207" s="704"/>
    </row>
    <row r="208" spans="2:11" ht="12.75" customHeight="1" thickBot="1">
      <c r="B208" s="685" t="s">
        <v>827</v>
      </c>
      <c r="C208" s="698">
        <f>C207/C195</f>
        <v>9.4936596043536069E-3</v>
      </c>
      <c r="D208" s="698">
        <f t="shared" ref="D208:E208" si="48">D207/D195</f>
        <v>1.5678555556879886E-2</v>
      </c>
      <c r="E208" s="698">
        <f t="shared" si="48"/>
        <v>1.9847510880770677E-2</v>
      </c>
      <c r="F208" s="699">
        <f>AVERAGE(C208:E208)</f>
        <v>1.5006575347334725E-2</v>
      </c>
      <c r="G208" s="699">
        <f>_xlfn.STDEV.S(C208:E208)</f>
        <v>5.2095323317027332E-3</v>
      </c>
    </row>
    <row r="209" spans="1:7" ht="12.75" customHeight="1" thickBot="1">
      <c r="B209" s="1093" t="s">
        <v>831</v>
      </c>
      <c r="C209" s="1094">
        <f>C199+C201+C203+C205+C207</f>
        <v>-68614</v>
      </c>
      <c r="D209" s="1094">
        <f t="shared" ref="D209:E209" si="49">D199+D201+D203+D205+D207</f>
        <v>-77320</v>
      </c>
      <c r="E209" s="1095">
        <f t="shared" si="49"/>
        <v>-76159</v>
      </c>
      <c r="F209" s="1096">
        <f>AVERAGE(C209:E209)</f>
        <v>-74031</v>
      </c>
      <c r="G209" s="1096"/>
    </row>
    <row r="210" spans="1:7" ht="12.75" customHeight="1">
      <c r="B210" s="1097" t="s">
        <v>832</v>
      </c>
      <c r="C210" s="1098">
        <f>C209/C196</f>
        <v>-0.30104818859497096</v>
      </c>
      <c r="D210" s="1098">
        <f t="shared" ref="D210:E210" si="50">D209/D196</f>
        <v>-0.24016375366131693</v>
      </c>
      <c r="E210" s="1099">
        <f t="shared" si="50"/>
        <v>-0.35092432173400179</v>
      </c>
      <c r="F210" s="1100">
        <f t="shared" ref="F210" si="51">AVERAGE(C210:E210)</f>
        <v>-0.29737875466342989</v>
      </c>
      <c r="G210" s="1100">
        <f t="shared" ref="G210:G211" si="52">_xlfn.STDEV.S(C210:E210)</f>
        <v>5.5471383784609335E-2</v>
      </c>
    </row>
    <row r="211" spans="1:7" ht="12.75" customHeight="1" thickBot="1">
      <c r="B211" s="1101" t="s">
        <v>827</v>
      </c>
      <c r="C211" s="1102">
        <f>C209/C195</f>
        <v>-4.8922114914991995E-2</v>
      </c>
      <c r="D211" s="1102">
        <f t="shared" ref="D211:E211" si="53">D209/D195</f>
        <v>-6.5826776480123417E-2</v>
      </c>
      <c r="E211" s="1102">
        <f t="shared" si="53"/>
        <v>-8.9320249433824619E-2</v>
      </c>
      <c r="F211" s="705">
        <f>AVERAGE(C211:E211)</f>
        <v>-6.8023046942980003E-2</v>
      </c>
      <c r="G211" s="705">
        <f t="shared" si="52"/>
        <v>2.0288420862894611E-2</v>
      </c>
    </row>
    <row r="213" spans="1:7" s="1087" customFormat="1" ht="12.75" customHeight="1">
      <c r="A213" s="1153"/>
      <c r="B213" s="1176" t="s">
        <v>833</v>
      </c>
      <c r="C213" s="1153"/>
      <c r="D213" s="1153"/>
      <c r="E213" s="1153"/>
      <c r="F213" s="1153"/>
      <c r="G213" s="1153"/>
    </row>
    <row r="214" spans="1:7" ht="12.75" customHeight="1" thickBot="1">
      <c r="A214"/>
      <c r="B214"/>
      <c r="C214"/>
      <c r="D214"/>
      <c r="E214"/>
      <c r="F214"/>
      <c r="G214"/>
    </row>
    <row r="215" spans="1:7" ht="12.75" customHeight="1" thickBot="1">
      <c r="A215"/>
      <c r="B215"/>
      <c r="C215" s="755">
        <v>2024</v>
      </c>
      <c r="D215" s="756">
        <v>2023</v>
      </c>
      <c r="E215" s="756">
        <v>2022</v>
      </c>
      <c r="F215" s="757" t="s">
        <v>194</v>
      </c>
    </row>
    <row r="216" spans="1:7" ht="12.75" customHeight="1">
      <c r="B216" s="684" t="s">
        <v>834</v>
      </c>
      <c r="C216" s="2">
        <v>120835</v>
      </c>
      <c r="D216" s="2">
        <v>76562</v>
      </c>
      <c r="E216" s="2">
        <v>4957</v>
      </c>
      <c r="F216" s="752"/>
    </row>
    <row r="217" spans="1:7" ht="12.75" customHeight="1">
      <c r="B217" s="686" t="s">
        <v>835</v>
      </c>
      <c r="C217" s="2">
        <v>2952060</v>
      </c>
      <c r="D217" s="2">
        <v>2621415</v>
      </c>
      <c r="E217" s="2">
        <v>3987776</v>
      </c>
      <c r="F217" s="752"/>
    </row>
    <row r="218" spans="1:7" ht="12.75" customHeight="1">
      <c r="B218" s="686" t="s">
        <v>836</v>
      </c>
      <c r="C218" s="2">
        <v>401811</v>
      </c>
      <c r="D218" s="2">
        <v>288767</v>
      </c>
      <c r="E218" s="2">
        <v>139756</v>
      </c>
      <c r="F218" s="752"/>
    </row>
    <row r="219" spans="1:7" ht="12.75" customHeight="1">
      <c r="B219" s="686" t="s">
        <v>837</v>
      </c>
      <c r="C219" s="2">
        <f>C218+C217</f>
        <v>3353871</v>
      </c>
      <c r="D219" s="2">
        <f t="shared" ref="D219:E219" si="54">D218+D217</f>
        <v>2910182</v>
      </c>
      <c r="E219" s="2">
        <f t="shared" si="54"/>
        <v>4127532</v>
      </c>
      <c r="F219" s="752"/>
    </row>
    <row r="220" spans="1:7" ht="12.75" customHeight="1" thickBot="1">
      <c r="B220" s="687" t="s">
        <v>838</v>
      </c>
      <c r="C220" s="753">
        <f>C216/C217</f>
        <v>4.0932433622622846E-2</v>
      </c>
      <c r="D220" s="753">
        <f t="shared" ref="D220:E220" si="55">D216/D217</f>
        <v>2.9206363738667859E-2</v>
      </c>
      <c r="E220" s="753">
        <f t="shared" si="55"/>
        <v>1.2430487570013963E-3</v>
      </c>
      <c r="F220" s="754">
        <f>AVERAGE(C220:E220)</f>
        <v>2.379394870609737E-2</v>
      </c>
    </row>
    <row r="221" spans="1:7" ht="12.75" customHeight="1" thickBot="1">
      <c r="B221" s="13"/>
      <c r="C221" s="706"/>
      <c r="D221" s="706"/>
      <c r="E221" s="706"/>
      <c r="F221" s="706"/>
    </row>
    <row r="222" spans="1:7" ht="12.75" customHeight="1" thickBot="1">
      <c r="C222" s="746" t="s">
        <v>839</v>
      </c>
      <c r="D222" s="747" t="s">
        <v>840</v>
      </c>
    </row>
    <row r="223" spans="1:7" ht="12.75" customHeight="1" thickBot="1">
      <c r="B223" s="739" t="s">
        <v>841</v>
      </c>
      <c r="C223" s="748">
        <v>0.03</v>
      </c>
      <c r="D223" s="749">
        <v>2.5000000000000001E-2</v>
      </c>
      <c r="F223" s="487" t="s">
        <v>842</v>
      </c>
    </row>
    <row r="225" spans="2:11" s="1087" customFormat="1" ht="12.75" customHeight="1">
      <c r="B225" s="1176" t="s">
        <v>843</v>
      </c>
      <c r="C225" s="1153"/>
    </row>
    <row r="226" spans="2:11" ht="12.75" customHeight="1" thickBot="1"/>
    <row r="227" spans="2:11" ht="12.75" customHeight="1" thickBot="1">
      <c r="C227" s="740">
        <v>2023</v>
      </c>
      <c r="D227" s="758">
        <v>2022</v>
      </c>
      <c r="E227" s="758">
        <v>2021</v>
      </c>
      <c r="F227" s="759" t="s">
        <v>325</v>
      </c>
      <c r="H227" s="487" t="s">
        <v>844</v>
      </c>
    </row>
    <row r="228" spans="2:11" ht="12.75" customHeight="1" thickBot="1">
      <c r="B228" s="569" t="s">
        <v>123</v>
      </c>
      <c r="C228" s="487">
        <v>1402515</v>
      </c>
      <c r="D228" s="487">
        <v>1174598</v>
      </c>
      <c r="E228" s="487">
        <v>852651</v>
      </c>
      <c r="F228" s="570"/>
    </row>
    <row r="229" spans="2:11" ht="12.75" customHeight="1" thickBot="1">
      <c r="B229" s="640" t="s">
        <v>845</v>
      </c>
      <c r="C229" s="487">
        <v>-13772</v>
      </c>
      <c r="D229" s="487">
        <v>-14527</v>
      </c>
      <c r="E229" s="487">
        <v>-12433</v>
      </c>
      <c r="F229" s="570"/>
      <c r="I229" s="746" t="s">
        <v>839</v>
      </c>
      <c r="J229" s="747" t="s">
        <v>840</v>
      </c>
    </row>
    <row r="230" spans="2:11" ht="12.75" customHeight="1" thickBot="1">
      <c r="B230" s="760" t="s">
        <v>684</v>
      </c>
      <c r="C230" s="750">
        <f>C229/C228</f>
        <v>-9.8195028217167024E-3</v>
      </c>
      <c r="D230" s="750">
        <f t="shared" ref="D230:E230" si="56">D229/D228</f>
        <v>-1.2367635565529653E-2</v>
      </c>
      <c r="E230" s="750">
        <f t="shared" si="56"/>
        <v>-1.4581581444225129E-2</v>
      </c>
      <c r="F230" s="751">
        <f>AVERAGE(C230:E230)</f>
        <v>-1.2256239943823827E-2</v>
      </c>
      <c r="H230" s="739" t="s">
        <v>841</v>
      </c>
      <c r="I230" s="1178">
        <v>-1.2E-2</v>
      </c>
      <c r="J230" s="749">
        <v>-0.01</v>
      </c>
    </row>
    <row r="232" spans="2:11" s="1087" customFormat="1" ht="12.75" customHeight="1">
      <c r="B232" s="1086" t="s">
        <v>846</v>
      </c>
    </row>
    <row r="233" spans="2:11" ht="12.75" hidden="1" customHeight="1" thickBot="1"/>
    <row r="234" spans="2:11" ht="12.75" hidden="1" customHeight="1">
      <c r="B234" s="835" t="s">
        <v>847</v>
      </c>
      <c r="C234" s="836">
        <v>0.03</v>
      </c>
      <c r="E234" s="839" t="s">
        <v>848</v>
      </c>
      <c r="F234" s="840">
        <v>0.95</v>
      </c>
      <c r="H234" s="569" t="s">
        <v>849</v>
      </c>
      <c r="I234" s="836">
        <v>4.4999999999999998E-2</v>
      </c>
    </row>
    <row r="235" spans="2:11" ht="12.75" hidden="1" customHeight="1">
      <c r="B235" s="837" t="s">
        <v>850</v>
      </c>
      <c r="C235" s="783">
        <f>F238</f>
        <v>9.6899999999999986E-2</v>
      </c>
      <c r="E235" s="782" t="s">
        <v>851</v>
      </c>
      <c r="F235" s="783">
        <v>5.1999999999999998E-2</v>
      </c>
      <c r="H235" s="570" t="s">
        <v>852</v>
      </c>
      <c r="I235" s="783">
        <v>4.5999999999999999E-2</v>
      </c>
    </row>
    <row r="236" spans="2:11" ht="12.75" hidden="1" customHeight="1" thickBot="1">
      <c r="B236" s="837" t="s">
        <v>234</v>
      </c>
      <c r="C236" s="838">
        <v>9200000</v>
      </c>
      <c r="E236" s="782" t="s">
        <v>853</v>
      </c>
      <c r="F236" s="783">
        <v>3.7499999999999999E-2</v>
      </c>
      <c r="H236" s="570" t="s">
        <v>854</v>
      </c>
      <c r="I236" s="784">
        <v>5.0000000000000001E-3</v>
      </c>
    </row>
    <row r="237" spans="2:11" ht="12.75" hidden="1" customHeight="1" thickBot="1">
      <c r="B237" s="837"/>
      <c r="C237" s="838"/>
      <c r="E237" s="782" t="s">
        <v>855</v>
      </c>
      <c r="F237" s="783">
        <v>0.01</v>
      </c>
      <c r="H237" s="841" t="s">
        <v>111</v>
      </c>
      <c r="I237" s="1186">
        <f>SUM(I234:I236)</f>
        <v>9.6000000000000002E-2</v>
      </c>
    </row>
    <row r="238" spans="2:11" ht="12.75" hidden="1" customHeight="1" thickBot="1">
      <c r="B238" s="837" t="s">
        <v>856</v>
      </c>
      <c r="C238" s="838">
        <v>205125</v>
      </c>
      <c r="E238" s="841" t="s">
        <v>857</v>
      </c>
      <c r="F238" s="842">
        <f>F236+F235*F234+F237</f>
        <v>9.6899999999999986E-2</v>
      </c>
      <c r="J238"/>
      <c r="K238"/>
    </row>
    <row r="239" spans="2:11" ht="12.75" hidden="1" customHeight="1" thickBot="1">
      <c r="B239" s="837" t="s">
        <v>858</v>
      </c>
      <c r="C239" s="630">
        <f>C236/(C236+C238)</f>
        <v>0.97819008253478823</v>
      </c>
    </row>
    <row r="240" spans="2:11" ht="12.75" hidden="1" customHeight="1" thickBot="1">
      <c r="B240" s="837" t="s">
        <v>859</v>
      </c>
      <c r="C240" s="630">
        <f>1-C239</f>
        <v>2.180991746521177E-2</v>
      </c>
      <c r="E240" s="1485" t="s">
        <v>860</v>
      </c>
      <c r="F240" s="1486"/>
      <c r="H240" s="487" t="s">
        <v>861</v>
      </c>
    </row>
    <row r="241" spans="2:17" ht="12.75" hidden="1" customHeight="1" thickBot="1">
      <c r="B241" s="837" t="s">
        <v>862</v>
      </c>
      <c r="C241" s="630">
        <v>0.21</v>
      </c>
      <c r="E241" s="782" t="s">
        <v>302</v>
      </c>
      <c r="F241" s="783">
        <v>8.5000000000000006E-2</v>
      </c>
      <c r="H241" s="487" t="s">
        <v>863</v>
      </c>
    </row>
    <row r="242" spans="2:17" ht="12.75" hidden="1" customHeight="1" thickBot="1">
      <c r="B242" s="841" t="s">
        <v>319</v>
      </c>
      <c r="C242" s="1186">
        <f>C239*C235+C240*C234*(1-C241)</f>
        <v>9.530351404154648E-2</v>
      </c>
      <c r="E242" s="782" t="s">
        <v>303</v>
      </c>
      <c r="F242" s="783">
        <v>8.7999999999999995E-2</v>
      </c>
    </row>
    <row r="243" spans="2:17" ht="12.75" hidden="1" customHeight="1">
      <c r="E243" s="782" t="s">
        <v>304</v>
      </c>
      <c r="F243" s="784">
        <v>0.09</v>
      </c>
      <c r="H243" s="487" t="s">
        <v>864</v>
      </c>
    </row>
    <row r="244" spans="2:17" ht="12.75" hidden="1" customHeight="1" thickBot="1">
      <c r="E244" s="785" t="s">
        <v>305</v>
      </c>
      <c r="F244" s="786">
        <v>9.2999999999999999E-2</v>
      </c>
    </row>
    <row r="245" spans="2:17" ht="12.75" hidden="1" customHeight="1">
      <c r="H245" s="489"/>
      <c r="I245" s="494"/>
    </row>
    <row r="246" spans="2:17" s="1087" customFormat="1" ht="12.75" customHeight="1">
      <c r="B246" s="1086" t="s">
        <v>865</v>
      </c>
    </row>
    <row r="249" spans="2:17" ht="12.75" customHeight="1">
      <c r="B249" s="487" t="s">
        <v>866</v>
      </c>
    </row>
    <row r="251" spans="2:17" ht="12.75" customHeight="1">
      <c r="B251" s="487" t="s">
        <v>867</v>
      </c>
    </row>
    <row r="253" spans="2:17" ht="12.75" customHeight="1" thickBot="1"/>
    <row r="254" spans="2:17" ht="12.75" customHeight="1" thickBot="1">
      <c r="H254" s="1090" t="s">
        <v>868</v>
      </c>
      <c r="I254" s="1092"/>
      <c r="L254"/>
      <c r="M254" s="746">
        <v>2024</v>
      </c>
      <c r="N254" s="847">
        <v>2025</v>
      </c>
      <c r="O254" s="847">
        <v>2026</v>
      </c>
      <c r="P254" s="847">
        <v>2027</v>
      </c>
      <c r="Q254" s="824">
        <v>2028</v>
      </c>
    </row>
    <row r="255" spans="2:17" ht="12.75" customHeight="1" thickBot="1">
      <c r="L255" s="639" t="s">
        <v>730</v>
      </c>
      <c r="M255" s="864">
        <v>1402515</v>
      </c>
      <c r="N255" s="864">
        <f>1519.5*1000</f>
        <v>1519500</v>
      </c>
      <c r="O255" s="864">
        <f>1701.84*1000</f>
        <v>1701840</v>
      </c>
      <c r="P255" s="843">
        <f>1940.0976*1000</f>
        <v>1940097.6</v>
      </c>
      <c r="Q255" s="844">
        <f>2269.914192*1000</f>
        <v>2269914.1920000003</v>
      </c>
    </row>
    <row r="256" spans="2:17" ht="12.75" customHeight="1" thickBot="1">
      <c r="C256" s="740">
        <v>2023</v>
      </c>
      <c r="D256" s="758">
        <v>2022</v>
      </c>
      <c r="E256" s="758">
        <v>2021</v>
      </c>
      <c r="F256" s="759" t="s">
        <v>325</v>
      </c>
      <c r="H256" s="487" t="s">
        <v>869</v>
      </c>
      <c r="L256" s="640" t="s">
        <v>510</v>
      </c>
      <c r="M256" s="865">
        <v>-150000</v>
      </c>
      <c r="N256" s="865">
        <v>-150000</v>
      </c>
      <c r="O256" s="865">
        <v>-200000</v>
      </c>
      <c r="P256" s="529">
        <v>-200000</v>
      </c>
      <c r="Q256" s="644">
        <v>-250000</v>
      </c>
    </row>
    <row r="257" spans="1:17" ht="12.75" customHeight="1" thickBot="1">
      <c r="B257" s="569" t="s">
        <v>123</v>
      </c>
      <c r="C257" s="487">
        <v>1402515</v>
      </c>
      <c r="D257" s="487">
        <v>1174598</v>
      </c>
      <c r="E257" s="487">
        <v>852651</v>
      </c>
      <c r="F257" s="570"/>
      <c r="H257" s="1091" t="s">
        <v>870</v>
      </c>
      <c r="L257" s="571" t="s">
        <v>734</v>
      </c>
      <c r="M257" s="866">
        <f>M256/M255</f>
        <v>-0.10695072779970267</v>
      </c>
      <c r="N257" s="866">
        <f t="shared" ref="N257:Q257" si="57">N256/N255</f>
        <v>-9.8716683119447188E-2</v>
      </c>
      <c r="O257" s="866">
        <f t="shared" si="57"/>
        <v>-0.11751986085648475</v>
      </c>
      <c r="P257" s="845">
        <f t="shared" si="57"/>
        <v>-0.10308759724253047</v>
      </c>
      <c r="Q257" s="846">
        <f t="shared" si="57"/>
        <v>-0.11013632184031033</v>
      </c>
    </row>
    <row r="258" spans="1:17" ht="12.75" customHeight="1">
      <c r="B258" s="640" t="s">
        <v>865</v>
      </c>
      <c r="C258" s="487">
        <v>-150000</v>
      </c>
      <c r="D258" s="487">
        <v>0</v>
      </c>
      <c r="E258" s="487">
        <v>0</v>
      </c>
      <c r="F258" s="570"/>
      <c r="H258" s="487" t="s">
        <v>871</v>
      </c>
    </row>
    <row r="259" spans="1:17" ht="12.75" customHeight="1" thickBot="1">
      <c r="B259" s="760" t="s">
        <v>684</v>
      </c>
      <c r="C259" s="750">
        <f>C258/C257</f>
        <v>-0.10695072779970267</v>
      </c>
      <c r="D259" s="750">
        <f t="shared" ref="D259:E259" si="58">D258/D257</f>
        <v>0</v>
      </c>
      <c r="E259" s="750">
        <f t="shared" si="58"/>
        <v>0</v>
      </c>
      <c r="F259" s="751">
        <f>AVERAGE(C259:E259)</f>
        <v>-3.5650242599900892E-2</v>
      </c>
      <c r="H259" s="487" t="s">
        <v>872</v>
      </c>
    </row>
    <row r="260" spans="1:17" ht="12.75" customHeight="1">
      <c r="H260" s="487" t="s">
        <v>873</v>
      </c>
    </row>
    <row r="262" spans="1:17" s="1087" customFormat="1" ht="12.75" customHeight="1">
      <c r="A262" s="1086"/>
      <c r="B262" s="1086" t="s">
        <v>874</v>
      </c>
    </row>
    <row r="265" spans="1:17" ht="12.75" customHeight="1">
      <c r="B265" s="799" t="s">
        <v>122</v>
      </c>
      <c r="C265" s="800" t="s">
        <v>875</v>
      </c>
      <c r="D265" s="799" t="s">
        <v>876</v>
      </c>
      <c r="E265" s="799" t="s">
        <v>877</v>
      </c>
      <c r="F265" s="800" t="s">
        <v>878</v>
      </c>
      <c r="G265" s="799" t="s">
        <v>879</v>
      </c>
      <c r="I265" s="487" t="s">
        <v>880</v>
      </c>
    </row>
    <row r="266" spans="1:17" ht="12.75" customHeight="1">
      <c r="B266" s="795">
        <v>0</v>
      </c>
      <c r="C266" s="794"/>
      <c r="D266" s="795"/>
      <c r="E266" s="797"/>
      <c r="F266" s="801">
        <v>325000</v>
      </c>
      <c r="G266" s="1179">
        <f>F266+'Fin. Data'!$B$58-B134</f>
        <v>369610</v>
      </c>
      <c r="I266" s="487" t="s">
        <v>881</v>
      </c>
    </row>
    <row r="267" spans="1:17" ht="12.75" customHeight="1">
      <c r="B267" s="795">
        <v>1</v>
      </c>
      <c r="C267" s="792">
        <f t="shared" ref="C267:C276" si="59">PPMT($F$142,B267,$B$276,$F$266)</f>
        <v>-32500</v>
      </c>
      <c r="D267" s="797">
        <f t="shared" ref="D267:D276" si="60">IPMT($F$142,B267,$B$276,$F$266)</f>
        <v>0</v>
      </c>
      <c r="E267" s="797">
        <f>SUM(C267:D267)</f>
        <v>-32500</v>
      </c>
      <c r="F267" s="801">
        <f>F266+C267</f>
        <v>292500</v>
      </c>
      <c r="G267" s="1179">
        <f>F267+'Fin. Data'!$B$58-B134-C134</f>
        <v>327848</v>
      </c>
    </row>
    <row r="268" spans="1:17" ht="12.75" customHeight="1">
      <c r="B268" s="795">
        <v>2</v>
      </c>
      <c r="C268" s="792">
        <f t="shared" si="59"/>
        <v>-32500</v>
      </c>
      <c r="D268" s="797">
        <f t="shared" si="60"/>
        <v>0</v>
      </c>
      <c r="E268" s="797">
        <f t="shared" ref="E268:E276" si="61">SUM(C268:D268)</f>
        <v>-32500</v>
      </c>
      <c r="F268" s="801">
        <f t="shared" ref="F268:F276" si="62">F267+C268</f>
        <v>260000</v>
      </c>
      <c r="G268" s="1179">
        <f>F268+'Fin. Data'!$B$58-B134-C134-D134</f>
        <v>286493</v>
      </c>
      <c r="I268" s="487" t="s">
        <v>882</v>
      </c>
    </row>
    <row r="269" spans="1:17" ht="12.75" customHeight="1">
      <c r="B269" s="795">
        <v>3</v>
      </c>
      <c r="C269" s="792">
        <f t="shared" si="59"/>
        <v>-32500</v>
      </c>
      <c r="D269" s="797">
        <f t="shared" si="60"/>
        <v>0</v>
      </c>
      <c r="E269" s="797">
        <f t="shared" si="61"/>
        <v>-32500</v>
      </c>
      <c r="F269" s="801">
        <f t="shared" si="62"/>
        <v>227500</v>
      </c>
      <c r="G269" s="1179">
        <f>F269+'Fin. Data'!$B$58-B134-C134-D134-E134</f>
        <v>245338</v>
      </c>
      <c r="I269" s="487" t="s">
        <v>883</v>
      </c>
    </row>
    <row r="270" spans="1:17" ht="12.75" customHeight="1">
      <c r="B270" s="795">
        <v>4</v>
      </c>
      <c r="C270" s="792">
        <f t="shared" si="59"/>
        <v>-32500</v>
      </c>
      <c r="D270" s="797">
        <f t="shared" si="60"/>
        <v>0</v>
      </c>
      <c r="E270" s="797">
        <f t="shared" si="61"/>
        <v>-32500</v>
      </c>
      <c r="F270" s="801">
        <f t="shared" si="62"/>
        <v>195000</v>
      </c>
      <c r="G270" s="1179">
        <f>F270+'Fin. Data'!$B$58-B134-C134-D134-E134-$F$134</f>
        <v>205140</v>
      </c>
    </row>
    <row r="271" spans="1:17" ht="12.75" customHeight="1">
      <c r="B271" s="795">
        <v>5</v>
      </c>
      <c r="C271" s="792">
        <f t="shared" si="59"/>
        <v>-32500</v>
      </c>
      <c r="D271" s="797">
        <f t="shared" si="60"/>
        <v>0</v>
      </c>
      <c r="E271" s="797">
        <f t="shared" si="61"/>
        <v>-32500</v>
      </c>
      <c r="F271" s="801">
        <f t="shared" si="62"/>
        <v>162500</v>
      </c>
      <c r="G271" s="1179">
        <f>F271+'Fin. Data'!$B$58-B134-C134-D134-E134-G135</f>
        <v>173731</v>
      </c>
    </row>
    <row r="272" spans="1:17" ht="12.75" customHeight="1">
      <c r="B272" s="795">
        <v>6</v>
      </c>
      <c r="C272" s="792">
        <f t="shared" si="59"/>
        <v>-32500</v>
      </c>
      <c r="D272" s="797">
        <f t="shared" si="60"/>
        <v>0</v>
      </c>
      <c r="E272" s="797">
        <f t="shared" si="61"/>
        <v>-32500</v>
      </c>
      <c r="F272" s="801">
        <f t="shared" si="62"/>
        <v>130000</v>
      </c>
      <c r="G272" s="1179">
        <f>F272+'Fin. Data'!$B$58-B134-C134-D134-E134-G135</f>
        <v>141231</v>
      </c>
    </row>
    <row r="273" spans="2:17" ht="12.75" customHeight="1">
      <c r="B273" s="795">
        <v>7</v>
      </c>
      <c r="C273" s="792">
        <f t="shared" si="59"/>
        <v>-32500</v>
      </c>
      <c r="D273" s="797">
        <f t="shared" si="60"/>
        <v>0</v>
      </c>
      <c r="E273" s="797">
        <f t="shared" si="61"/>
        <v>-32500</v>
      </c>
      <c r="F273" s="801">
        <f t="shared" si="62"/>
        <v>97500</v>
      </c>
      <c r="G273" s="1179">
        <f>F273+'Fin. Data'!$B$58-B134-C134-D134-E134-G135</f>
        <v>108731</v>
      </c>
    </row>
    <row r="274" spans="2:17" ht="12.75" customHeight="1">
      <c r="B274" s="795">
        <v>8</v>
      </c>
      <c r="C274" s="792">
        <f t="shared" si="59"/>
        <v>-32500</v>
      </c>
      <c r="D274" s="797">
        <f t="shared" si="60"/>
        <v>0</v>
      </c>
      <c r="E274" s="797">
        <f t="shared" si="61"/>
        <v>-32500</v>
      </c>
      <c r="F274" s="801">
        <f t="shared" si="62"/>
        <v>65000</v>
      </c>
      <c r="G274" s="1179">
        <f>F274+'Fin. Data'!$B$58-B134-C134-D134-E134-G135</f>
        <v>76231</v>
      </c>
    </row>
    <row r="275" spans="2:17" ht="12.75" customHeight="1">
      <c r="B275" s="795">
        <v>9</v>
      </c>
      <c r="C275" s="792">
        <f t="shared" si="59"/>
        <v>-32500</v>
      </c>
      <c r="D275" s="797">
        <f t="shared" si="60"/>
        <v>0</v>
      </c>
      <c r="E275" s="797">
        <f t="shared" si="61"/>
        <v>-32500</v>
      </c>
      <c r="F275" s="801">
        <f t="shared" si="62"/>
        <v>32500</v>
      </c>
      <c r="G275" s="1179">
        <f>F275+'Fin. Data'!$B$58-B134-C134-D134-E134-G135</f>
        <v>43731</v>
      </c>
    </row>
    <row r="276" spans="2:17" ht="12.75" customHeight="1">
      <c r="B276" s="796">
        <v>10</v>
      </c>
      <c r="C276" s="793">
        <f t="shared" si="59"/>
        <v>-32500</v>
      </c>
      <c r="D276" s="798">
        <f t="shared" si="60"/>
        <v>0</v>
      </c>
      <c r="E276" s="798">
        <f t="shared" si="61"/>
        <v>-32500</v>
      </c>
      <c r="F276" s="802">
        <f t="shared" si="62"/>
        <v>0</v>
      </c>
      <c r="G276" s="1180">
        <f>F276+'Fin. Data'!$B$58-B134-C134-D134-E134-G135</f>
        <v>11231</v>
      </c>
    </row>
    <row r="278" spans="2:17" s="1087" customFormat="1" ht="12.75" customHeight="1">
      <c r="B278" s="1184" t="s">
        <v>884</v>
      </c>
    </row>
    <row r="280" spans="2:17" ht="12.75" customHeight="1">
      <c r="B280" s="487" t="s">
        <v>885</v>
      </c>
    </row>
    <row r="281" spans="2:17" ht="12.75" customHeight="1" thickBot="1"/>
    <row r="282" spans="2:17" ht="12.75" customHeight="1" thickBot="1">
      <c r="C282" s="1218">
        <v>2024</v>
      </c>
      <c r="D282" s="1219">
        <f>C282-1</f>
        <v>2023</v>
      </c>
      <c r="E282" s="1219">
        <f t="shared" ref="E282:N282" si="63">D282-1</f>
        <v>2022</v>
      </c>
      <c r="F282" s="1219">
        <f t="shared" si="63"/>
        <v>2021</v>
      </c>
      <c r="G282" s="1219">
        <f t="shared" si="63"/>
        <v>2020</v>
      </c>
      <c r="H282" s="1219">
        <f t="shared" si="63"/>
        <v>2019</v>
      </c>
      <c r="I282" s="1219">
        <f t="shared" si="63"/>
        <v>2018</v>
      </c>
      <c r="J282" s="1219">
        <f t="shared" si="63"/>
        <v>2017</v>
      </c>
      <c r="K282" s="1219">
        <f t="shared" si="63"/>
        <v>2016</v>
      </c>
      <c r="L282" s="1219">
        <f t="shared" si="63"/>
        <v>2015</v>
      </c>
      <c r="M282" s="1219">
        <f t="shared" si="63"/>
        <v>2014</v>
      </c>
      <c r="N282" s="1219">
        <f t="shared" si="63"/>
        <v>2013</v>
      </c>
      <c r="O282" s="860" t="s">
        <v>194</v>
      </c>
      <c r="P282" s="643" t="s">
        <v>886</v>
      </c>
      <c r="Q282"/>
    </row>
    <row r="283" spans="2:17" ht="12.75" customHeight="1" thickBot="1">
      <c r="B283" s="572" t="s">
        <v>887</v>
      </c>
      <c r="C283" s="1220">
        <f>Inputs!B28/(Inputs!B6-Inputs!B8)</f>
        <v>0.35171854183480361</v>
      </c>
      <c r="D283" s="1221">
        <f>Inputs!C28/(Inputs!C6-Inputs!C8)</f>
        <v>0.28322374486549257</v>
      </c>
      <c r="E283" s="1221">
        <f>Inputs!D28/(Inputs!D6-Inputs!D8)</f>
        <v>0.1819604534559284</v>
      </c>
      <c r="F283" s="1221">
        <f>Inputs!E28/(Inputs!E6-Inputs!E8)</f>
        <v>0.35022957699659268</v>
      </c>
      <c r="G283" s="1221">
        <f>Inputs!F28/(Inputs!F6-Inputs!F8)</f>
        <v>0.5066079917925187</v>
      </c>
      <c r="H283" s="1221">
        <f>Inputs!G28/(Inputs!G6-Inputs!G8)</f>
        <v>0.32200559540505919</v>
      </c>
      <c r="I283" s="1221">
        <f>Inputs!H28/(Inputs!H6-Inputs!H8)</f>
        <v>0.37942850505285169</v>
      </c>
      <c r="J283" s="1221">
        <f>Inputs!I28/(Inputs!I6-Inputs!I8)</f>
        <v>0.35347813907090198</v>
      </c>
      <c r="K283" s="1221">
        <f>Inputs!J28/(Inputs!J6-Inputs!J8)</f>
        <v>0.3692449551976299</v>
      </c>
      <c r="L283" s="1221">
        <f>Inputs!K28/(Inputs!K6-Inputs!K8)</f>
        <v>0.48768747861888501</v>
      </c>
      <c r="M283" s="1221">
        <f>Inputs!L28/(Inputs!L6-Inputs!L8)</f>
        <v>0.68145715396914563</v>
      </c>
      <c r="N283" s="1221">
        <f>Inputs!M28/(Inputs!M6-Inputs!M8)</f>
        <v>9.8287666800408999E-2</v>
      </c>
      <c r="O283" s="1177">
        <f>AVERAGE(C283:N283)</f>
        <v>0.36377748358835155</v>
      </c>
      <c r="P283" s="749">
        <f>MEDIAN(C283:M283)</f>
        <v>0.35347813907090198</v>
      </c>
      <c r="Q283"/>
    </row>
    <row r="284" spans="2:17" ht="12.75" customHeight="1">
      <c r="C284" s="1227"/>
      <c r="D284" s="1227"/>
      <c r="E284" s="1227"/>
      <c r="F284" s="1227"/>
      <c r="G284" s="1227"/>
      <c r="H284" s="1227"/>
      <c r="I284" s="1227"/>
      <c r="J284" s="1227"/>
      <c r="K284" s="1227"/>
      <c r="L284" s="1227"/>
      <c r="M284" s="1227"/>
      <c r="N284" s="1227"/>
      <c r="O284" s="1228"/>
      <c r="P284" s="1228"/>
      <c r="Q284"/>
    </row>
    <row r="285" spans="2:17" ht="12.75" customHeight="1">
      <c r="C285" s="487" t="s">
        <v>888</v>
      </c>
    </row>
    <row r="287" spans="2:17" s="1087" customFormat="1" ht="12.75" customHeight="1"/>
    <row r="293" spans="2:14" ht="12.75" customHeight="1">
      <c r="B293"/>
      <c r="C293"/>
      <c r="D293"/>
      <c r="E293"/>
      <c r="F293"/>
      <c r="G293"/>
      <c r="H293"/>
      <c r="I293"/>
      <c r="J293"/>
      <c r="K293"/>
      <c r="L293"/>
      <c r="M293"/>
      <c r="N293"/>
    </row>
    <row r="310" spans="2:20" ht="12.75" customHeight="1">
      <c r="B310"/>
      <c r="T310" s="529"/>
    </row>
    <row r="311" spans="2:20" ht="12.75" customHeight="1">
      <c r="B311"/>
    </row>
    <row r="338" spans="1:7" ht="12.75" customHeight="1">
      <c r="B338"/>
      <c r="C338"/>
      <c r="D338"/>
      <c r="E338"/>
      <c r="F338"/>
      <c r="G338"/>
    </row>
    <row r="339" spans="1:7" ht="12.75" customHeight="1">
      <c r="E339" s="706"/>
      <c r="F339"/>
      <c r="G339"/>
    </row>
    <row r="340" spans="1:7" ht="12.75" customHeight="1">
      <c r="A340"/>
      <c r="E340"/>
      <c r="F340"/>
      <c r="G340"/>
    </row>
    <row r="341" spans="1:7" ht="12.75" customHeight="1">
      <c r="A341"/>
      <c r="B341"/>
      <c r="C341"/>
      <c r="D341"/>
      <c r="E341"/>
      <c r="F341"/>
      <c r="G341"/>
    </row>
    <row r="342" spans="1:7" ht="12.75" customHeight="1">
      <c r="A342"/>
      <c r="B342"/>
      <c r="C342"/>
      <c r="D342"/>
      <c r="E342"/>
      <c r="F342"/>
      <c r="G342"/>
    </row>
    <row r="343" spans="1:7" ht="12.75" customHeight="1">
      <c r="A343"/>
      <c r="B343"/>
      <c r="C343"/>
      <c r="D343"/>
      <c r="E343"/>
      <c r="F343"/>
      <c r="G343"/>
    </row>
    <row r="344" spans="1:7" ht="12.75" customHeight="1">
      <c r="A344"/>
      <c r="B344"/>
      <c r="C344"/>
      <c r="D344"/>
      <c r="E344"/>
      <c r="F344"/>
      <c r="G344"/>
    </row>
    <row r="345" spans="1:7" ht="12.75" customHeight="1">
      <c r="A345"/>
      <c r="B345"/>
      <c r="C345"/>
      <c r="D345"/>
      <c r="E345"/>
      <c r="F345"/>
      <c r="G345"/>
    </row>
    <row r="346" spans="1:7" ht="12.75" customHeight="1">
      <c r="A346"/>
      <c r="B346"/>
      <c r="C346"/>
      <c r="D346"/>
      <c r="E346"/>
      <c r="F346"/>
      <c r="G346"/>
    </row>
    <row r="364" spans="2:3" ht="12.75" customHeight="1">
      <c r="B364"/>
      <c r="C364"/>
    </row>
    <row r="365" spans="2:3" ht="12.75" customHeight="1">
      <c r="B365"/>
      <c r="C365"/>
    </row>
    <row r="406" spans="2:2" ht="12.75" customHeight="1">
      <c r="B406"/>
    </row>
    <row r="407" spans="2:2" ht="12.75" customHeight="1">
      <c r="B407"/>
    </row>
    <row r="434" spans="2:6" ht="12.75" customHeight="1">
      <c r="B434"/>
      <c r="C434"/>
      <c r="D434"/>
      <c r="E434"/>
      <c r="F434"/>
    </row>
    <row r="435" spans="2:6" ht="12.75" customHeight="1">
      <c r="B435"/>
      <c r="C435"/>
      <c r="D435"/>
      <c r="E435"/>
      <c r="F435"/>
    </row>
    <row r="436" spans="2:6" ht="12.75" customHeight="1">
      <c r="B436"/>
      <c r="C436"/>
      <c r="D436"/>
      <c r="E436"/>
      <c r="F436"/>
    </row>
    <row r="437" spans="2:6" ht="12.75" customHeight="1">
      <c r="B437"/>
      <c r="C437"/>
      <c r="D437"/>
      <c r="E437"/>
      <c r="F437"/>
    </row>
    <row r="464" spans="2:2" ht="12.75" customHeight="1">
      <c r="B464" s="791"/>
    </row>
    <row r="465" spans="5:5" ht="12.75" customHeight="1">
      <c r="E465" s="791"/>
    </row>
    <row r="466" spans="5:5" ht="12.75" customHeight="1">
      <c r="E466" s="791"/>
    </row>
    <row r="467" spans="5:5" ht="12.75" customHeight="1">
      <c r="E467" s="791"/>
    </row>
  </sheetData>
  <mergeCells count="2">
    <mergeCell ref="C15:M15"/>
    <mergeCell ref="E240:F240"/>
  </mergeCells>
  <phoneticPr fontId="92"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ABA30-6885-454C-933C-3C840706DCE6}">
  <sheetPr>
    <tabColor rgb="FF0070C0"/>
  </sheetPr>
  <dimension ref="A1:AN87"/>
  <sheetViews>
    <sheetView showGridLines="0" zoomScale="73" zoomScaleNormal="80" workbookViewId="0">
      <selection activeCell="F64" sqref="F64"/>
    </sheetView>
  </sheetViews>
  <sheetFormatPr defaultColWidth="11.265625" defaultRowHeight="12.75" outlineLevelCol="1"/>
  <cols>
    <col min="1" max="1" width="24.265625" bestFit="1" customWidth="1"/>
    <col min="2" max="2" width="11.265625" customWidth="1" outlineLevel="1"/>
    <col min="3" max="3" width="32" customWidth="1" outlineLevel="1"/>
    <col min="4" max="4" width="20" customWidth="1" outlineLevel="1"/>
    <col min="5" max="5" width="24" customWidth="1"/>
    <col min="6" max="6" width="27.265625" customWidth="1"/>
    <col min="7" max="7" width="12.265625" style="2" customWidth="1"/>
    <col min="8" max="8" width="20.59765625" style="2" customWidth="1"/>
    <col min="9" max="9" width="11" style="2" customWidth="1"/>
    <col min="10" max="10" width="14.86328125" style="2" bestFit="1" customWidth="1"/>
    <col min="11" max="32" width="11" style="2" customWidth="1"/>
    <col min="33" max="33" width="14.265625" customWidth="1"/>
  </cols>
  <sheetData>
    <row r="1" spans="1:40" ht="21" customHeight="1">
      <c r="A1" s="1521" t="s">
        <v>889</v>
      </c>
      <c r="B1" s="1521"/>
      <c r="C1" s="1521"/>
      <c r="D1" s="1521"/>
      <c r="E1" s="1521"/>
      <c r="F1" s="1521"/>
      <c r="G1" s="1521"/>
      <c r="H1" s="1521"/>
      <c r="I1" s="1521"/>
      <c r="J1" s="1521"/>
      <c r="K1" s="1521"/>
      <c r="L1" s="1521"/>
      <c r="M1" s="1521"/>
      <c r="N1" s="1521"/>
      <c r="O1" s="1521"/>
      <c r="P1" s="1521"/>
      <c r="Q1" s="1521"/>
      <c r="R1" s="1521"/>
      <c r="S1" s="1521"/>
      <c r="T1" s="1521"/>
      <c r="U1" s="1521"/>
      <c r="V1" s="1521"/>
      <c r="W1" s="1521"/>
      <c r="X1" s="1521"/>
      <c r="Y1" s="1521"/>
      <c r="Z1" s="1521"/>
      <c r="AA1" s="1521"/>
      <c r="AB1" s="1521"/>
      <c r="AC1" s="1521"/>
      <c r="AD1" s="1521"/>
      <c r="AE1" s="1521"/>
      <c r="AF1" s="1521"/>
      <c r="AG1" s="10"/>
      <c r="AH1" s="10"/>
      <c r="AI1" s="10"/>
      <c r="AJ1" s="10"/>
      <c r="AK1" s="10"/>
      <c r="AL1" s="10"/>
      <c r="AM1" s="10"/>
      <c r="AN1" s="10"/>
    </row>
    <row r="2" spans="1:40" ht="3.75" customHeight="1" thickBot="1">
      <c r="A2" s="1522"/>
      <c r="B2" s="1522"/>
      <c r="C2" s="1522"/>
      <c r="D2" s="1522"/>
      <c r="E2" s="1522"/>
      <c r="F2" s="1522"/>
      <c r="G2" s="1522"/>
      <c r="H2" s="1522"/>
      <c r="I2" s="1522"/>
      <c r="J2" s="1522"/>
      <c r="K2" s="1522"/>
      <c r="L2" s="1522"/>
      <c r="M2" s="1522"/>
      <c r="N2" s="1522"/>
      <c r="O2" s="1522"/>
      <c r="P2" s="1522"/>
      <c r="Q2" s="1522"/>
      <c r="R2" s="1522"/>
      <c r="S2" s="1522"/>
      <c r="T2" s="1522"/>
      <c r="U2" s="1522"/>
      <c r="V2" s="1522"/>
      <c r="W2" s="1522"/>
      <c r="X2" s="1522"/>
      <c r="Y2" s="1522"/>
      <c r="Z2" s="1522"/>
      <c r="AA2" s="1522"/>
      <c r="AB2" s="1522"/>
      <c r="AC2" s="1522"/>
      <c r="AD2" s="1522"/>
      <c r="AE2" s="1522"/>
      <c r="AF2" s="1522"/>
      <c r="AG2" s="373"/>
      <c r="AH2" s="10"/>
      <c r="AI2" s="10"/>
      <c r="AJ2" s="10"/>
      <c r="AK2" s="10"/>
      <c r="AL2" s="10"/>
      <c r="AM2" s="10"/>
      <c r="AN2" s="10"/>
    </row>
    <row r="3" spans="1:40" ht="18.399999999999999" thickBot="1">
      <c r="A3" s="232" t="s">
        <v>890</v>
      </c>
      <c r="B3" s="231"/>
      <c r="C3" s="231"/>
      <c r="D3" s="231"/>
      <c r="E3" s="231"/>
      <c r="F3" s="231"/>
      <c r="G3" s="1523" t="s">
        <v>891</v>
      </c>
      <c r="H3" s="1524"/>
      <c r="I3" s="1524"/>
      <c r="J3" s="1524"/>
      <c r="K3" s="1525" t="s">
        <v>892</v>
      </c>
      <c r="L3" s="1526"/>
      <c r="M3" s="1526"/>
      <c r="N3" s="1526"/>
      <c r="O3" s="1526"/>
      <c r="P3" s="1526"/>
      <c r="Q3" s="1526"/>
      <c r="R3" s="1526"/>
      <c r="S3" s="1526"/>
      <c r="T3" s="1526"/>
      <c r="U3" s="1526"/>
      <c r="V3" s="1526"/>
      <c r="W3" s="1526"/>
      <c r="X3" s="1526"/>
      <c r="Y3" s="1526"/>
      <c r="Z3" s="1526"/>
      <c r="AA3" s="1526"/>
      <c r="AB3" s="1526"/>
      <c r="AC3" s="1526"/>
      <c r="AD3" s="1526"/>
      <c r="AE3" s="1526"/>
      <c r="AF3" s="1527"/>
      <c r="AG3" s="373"/>
      <c r="AH3" s="10"/>
      <c r="AI3" s="10"/>
      <c r="AJ3" s="10"/>
      <c r="AK3" s="10"/>
      <c r="AL3" s="10"/>
      <c r="AM3" s="10"/>
      <c r="AN3" s="10"/>
    </row>
    <row r="4" spans="1:40" ht="14.65" thickBot="1">
      <c r="A4" s="253" t="s">
        <v>893</v>
      </c>
      <c r="B4" s="825" t="s">
        <v>894</v>
      </c>
      <c r="C4" s="826" t="s">
        <v>895</v>
      </c>
      <c r="D4" s="260" t="s">
        <v>896</v>
      </c>
      <c r="E4" s="260" t="s">
        <v>897</v>
      </c>
      <c r="F4" s="261" t="s">
        <v>898</v>
      </c>
      <c r="G4" s="260">
        <v>2025</v>
      </c>
      <c r="H4" s="260">
        <v>2026</v>
      </c>
      <c r="I4" s="260">
        <v>2027</v>
      </c>
      <c r="J4" s="261">
        <v>2028</v>
      </c>
      <c r="K4" s="260">
        <v>2029</v>
      </c>
      <c r="L4" s="260">
        <v>2030</v>
      </c>
      <c r="M4" s="260">
        <v>2031</v>
      </c>
      <c r="N4" s="260">
        <v>2032</v>
      </c>
      <c r="O4" s="260">
        <v>2033</v>
      </c>
      <c r="P4" s="260">
        <v>2034</v>
      </c>
      <c r="Q4" s="260">
        <v>2035</v>
      </c>
      <c r="R4" s="260">
        <v>2036</v>
      </c>
      <c r="S4" s="260">
        <v>2037</v>
      </c>
      <c r="T4" s="260">
        <v>2038</v>
      </c>
      <c r="U4" s="260">
        <v>2039</v>
      </c>
      <c r="V4" s="260">
        <v>2040</v>
      </c>
      <c r="W4" s="260">
        <v>2041</v>
      </c>
      <c r="X4" s="260">
        <v>2042</v>
      </c>
      <c r="Y4" s="260">
        <v>2043</v>
      </c>
      <c r="Z4" s="260">
        <v>2044</v>
      </c>
      <c r="AA4" s="260">
        <v>2045</v>
      </c>
      <c r="AB4" s="260">
        <v>2046</v>
      </c>
      <c r="AC4" s="260">
        <v>2047</v>
      </c>
      <c r="AD4" s="260">
        <v>2048</v>
      </c>
      <c r="AE4" s="260">
        <v>2049</v>
      </c>
      <c r="AF4" s="261">
        <f t="shared" ref="AF4" si="0">AE4+1</f>
        <v>2050</v>
      </c>
      <c r="AG4" s="373"/>
      <c r="AH4" s="10"/>
      <c r="AI4" s="10"/>
      <c r="AJ4" s="10"/>
      <c r="AK4" s="10"/>
      <c r="AL4" s="10"/>
      <c r="AM4" s="10"/>
      <c r="AN4" s="10"/>
    </row>
    <row r="5" spans="1:40" ht="13.15">
      <c r="A5" s="1389" t="s">
        <v>899</v>
      </c>
      <c r="B5" s="827">
        <v>1</v>
      </c>
      <c r="C5" s="548" t="s">
        <v>823</v>
      </c>
      <c r="D5" s="546">
        <f>'Fin. Data'!D6</f>
        <v>0.34143294731029372</v>
      </c>
      <c r="E5" s="266">
        <f t="shared" ref="E5:F5" si="1">+E6/D6-1</f>
        <v>0.37758355997940551</v>
      </c>
      <c r="F5" s="289">
        <f t="shared" si="1"/>
        <v>0.19403830076332507</v>
      </c>
      <c r="G5" s="291">
        <f>Assumptions!G67</f>
        <v>8.3422459893048195E-2</v>
      </c>
      <c r="H5" s="292">
        <f>Assumptions!H67</f>
        <v>0.12</v>
      </c>
      <c r="I5" s="292">
        <f>Assumptions!I67</f>
        <v>0.14000000000000001</v>
      </c>
      <c r="J5" s="293">
        <f>Assumptions!J67</f>
        <v>0.17</v>
      </c>
      <c r="K5" s="291">
        <f>Assumptions!K67</f>
        <v>0.2</v>
      </c>
      <c r="L5" s="292">
        <f>Assumptions!L67</f>
        <v>0.2</v>
      </c>
      <c r="M5" s="292">
        <f>Assumptions!M67</f>
        <v>0.2</v>
      </c>
      <c r="N5" s="292">
        <f>Assumptions!N67</f>
        <v>0.17</v>
      </c>
      <c r="O5" s="292">
        <f>Assumptions!O67</f>
        <v>0.15</v>
      </c>
      <c r="P5" s="292">
        <f>Assumptions!P67</f>
        <v>0.15</v>
      </c>
      <c r="Q5" s="292">
        <v>0.1</v>
      </c>
      <c r="R5" s="292">
        <v>0.1</v>
      </c>
      <c r="S5" s="292">
        <v>0.08</v>
      </c>
      <c r="T5" s="292">
        <v>0.06</v>
      </c>
      <c r="U5" s="292">
        <v>0.06</v>
      </c>
      <c r="V5" s="292">
        <v>0.06</v>
      </c>
      <c r="W5" s="292">
        <v>0.06</v>
      </c>
      <c r="X5" s="292">
        <v>0.06</v>
      </c>
      <c r="Y5" s="292">
        <v>0.06</v>
      </c>
      <c r="Z5" s="292">
        <v>0.06</v>
      </c>
      <c r="AA5" s="292">
        <v>0.05</v>
      </c>
      <c r="AB5" s="292">
        <v>0.05</v>
      </c>
      <c r="AC5" s="292">
        <v>0.05</v>
      </c>
      <c r="AD5" s="292">
        <v>0.04</v>
      </c>
      <c r="AE5" s="292">
        <v>0.04</v>
      </c>
      <c r="AF5" s="293">
        <v>2.5000000000000001E-2</v>
      </c>
      <c r="AG5" s="329"/>
      <c r="AH5" s="10"/>
      <c r="AI5" s="10"/>
      <c r="AJ5" s="10"/>
      <c r="AK5" s="10"/>
      <c r="AL5" s="10"/>
      <c r="AM5" s="10"/>
      <c r="AN5" s="10"/>
    </row>
    <row r="6" spans="1:40" ht="14.25">
      <c r="A6" s="1389"/>
      <c r="B6" s="827">
        <v>2</v>
      </c>
      <c r="C6" s="543" t="s">
        <v>900</v>
      </c>
      <c r="D6" s="1010">
        <f>Inputs!D6</f>
        <v>852651</v>
      </c>
      <c r="E6" s="1011">
        <f>Inputs!C6</f>
        <v>1174598</v>
      </c>
      <c r="F6" s="1012">
        <f>Inputs!B6</f>
        <v>1402515</v>
      </c>
      <c r="G6" s="1030">
        <f>Assumptions!G66*1000</f>
        <v>1519500</v>
      </c>
      <c r="H6" s="1031">
        <f>Assumptions!H66*1000</f>
        <v>1701840.0000000002</v>
      </c>
      <c r="I6" s="1031">
        <f>Assumptions!I66*1000</f>
        <v>1940097.6000000003</v>
      </c>
      <c r="J6" s="1032">
        <f>Assumptions!J66*1000</f>
        <v>2269914.1920000003</v>
      </c>
      <c r="K6" s="1030">
        <f>Assumptions!K66*1000</f>
        <v>2723897.0304</v>
      </c>
      <c r="L6" s="1031">
        <f>Assumptions!L66*1000</f>
        <v>3268676.4364799997</v>
      </c>
      <c r="M6" s="1031">
        <f>Assumptions!M66*1000</f>
        <v>3922411.7237759992</v>
      </c>
      <c r="N6" s="1031">
        <f>Assumptions!N66*1000</f>
        <v>4589221.7168179182</v>
      </c>
      <c r="O6" s="1031">
        <f>Assumptions!O66*1000</f>
        <v>5277604.9743406055</v>
      </c>
      <c r="P6" s="1031">
        <f>Assumptions!P66*1000</f>
        <v>6069245.7204916961</v>
      </c>
      <c r="Q6" s="1031">
        <f>P6*(1+Q5)</f>
        <v>6676170.292540866</v>
      </c>
      <c r="R6" s="1031">
        <f t="shared" ref="R6:AF6" si="2">Q6*(1+R5)</f>
        <v>7343787.3217949532</v>
      </c>
      <c r="S6" s="1031">
        <f t="shared" si="2"/>
        <v>7931290.3075385503</v>
      </c>
      <c r="T6" s="1031">
        <f t="shared" si="2"/>
        <v>8407167.7259908635</v>
      </c>
      <c r="U6" s="1031">
        <f t="shared" si="2"/>
        <v>8911597.7895503156</v>
      </c>
      <c r="V6" s="1031">
        <f t="shared" si="2"/>
        <v>9446293.656923335</v>
      </c>
      <c r="W6" s="1031">
        <f t="shared" si="2"/>
        <v>10013071.276338736</v>
      </c>
      <c r="X6" s="1031">
        <f t="shared" si="2"/>
        <v>10613855.55291906</v>
      </c>
      <c r="Y6" s="1031">
        <f t="shared" si="2"/>
        <v>11250686.886094205</v>
      </c>
      <c r="Z6" s="1031">
        <f t="shared" si="2"/>
        <v>11925728.099259857</v>
      </c>
      <c r="AA6" s="1031">
        <f t="shared" si="2"/>
        <v>12522014.504222851</v>
      </c>
      <c r="AB6" s="1031">
        <f t="shared" si="2"/>
        <v>13148115.229433995</v>
      </c>
      <c r="AC6" s="1031">
        <f t="shared" si="2"/>
        <v>13805520.990905695</v>
      </c>
      <c r="AD6" s="1031">
        <f t="shared" si="2"/>
        <v>14357741.830541924</v>
      </c>
      <c r="AE6" s="1031">
        <f t="shared" si="2"/>
        <v>14932051.503763601</v>
      </c>
      <c r="AF6" s="1032">
        <f t="shared" si="2"/>
        <v>15305352.79135769</v>
      </c>
      <c r="AG6" s="374"/>
      <c r="AH6" s="10"/>
      <c r="AI6" s="10"/>
      <c r="AJ6" s="10"/>
      <c r="AK6" s="10"/>
      <c r="AL6" s="10"/>
      <c r="AM6" s="10"/>
      <c r="AN6" s="10"/>
    </row>
    <row r="7" spans="1:40" ht="13.15">
      <c r="A7" s="1389"/>
      <c r="B7" s="827">
        <v>3</v>
      </c>
      <c r="C7" s="544" t="s">
        <v>901</v>
      </c>
      <c r="D7" s="547">
        <f>D8/D6</f>
        <v>9.9212925335219221E-2</v>
      </c>
      <c r="E7" s="288">
        <f t="shared" ref="E7:F7" si="3">E8/E6</f>
        <v>0.13198217602958628</v>
      </c>
      <c r="F7" s="290">
        <f t="shared" si="3"/>
        <v>0.18544757097072045</v>
      </c>
      <c r="G7" s="294">
        <f>Assumptions!G56</f>
        <v>0.30091614654253024</v>
      </c>
      <c r="H7" s="295">
        <f>Assumptions!H56</f>
        <v>0.30869586145005434</v>
      </c>
      <c r="I7" s="295">
        <f>Assumptions!I56</f>
        <v>0.32794702111230833</v>
      </c>
      <c r="J7" s="296">
        <f>Assumptions!J56</f>
        <v>0.35</v>
      </c>
      <c r="K7" s="294">
        <f>Assumptions!K56</f>
        <v>0.35</v>
      </c>
      <c r="L7" s="295">
        <f>Assumptions!L56</f>
        <v>0.35</v>
      </c>
      <c r="M7" s="295">
        <f>Assumptions!M56</f>
        <v>0.35</v>
      </c>
      <c r="N7" s="295">
        <f>Assumptions!N56</f>
        <v>0.35</v>
      </c>
      <c r="O7" s="295">
        <f>Assumptions!O56</f>
        <v>0.35</v>
      </c>
      <c r="P7" s="295">
        <f>Assumptions!P56</f>
        <v>0.35</v>
      </c>
      <c r="Q7" s="295">
        <v>0.35</v>
      </c>
      <c r="R7" s="295">
        <v>0.35</v>
      </c>
      <c r="S7" s="295">
        <v>0.35</v>
      </c>
      <c r="T7" s="295">
        <v>0.35</v>
      </c>
      <c r="U7" s="295">
        <v>0.35</v>
      </c>
      <c r="V7" s="295">
        <v>0.35</v>
      </c>
      <c r="W7" s="295">
        <v>0.35</v>
      </c>
      <c r="X7" s="295">
        <v>0.35</v>
      </c>
      <c r="Y7" s="295">
        <v>0.35</v>
      </c>
      <c r="Z7" s="295">
        <v>0.35</v>
      </c>
      <c r="AA7" s="295">
        <v>0.35</v>
      </c>
      <c r="AB7" s="295">
        <v>0.35</v>
      </c>
      <c r="AC7" s="295">
        <v>0.35</v>
      </c>
      <c r="AD7" s="295">
        <v>0.35</v>
      </c>
      <c r="AE7" s="295">
        <v>0.35</v>
      </c>
      <c r="AF7" s="296">
        <v>0.35</v>
      </c>
      <c r="AG7" s="329"/>
      <c r="AH7" s="10"/>
      <c r="AI7" s="10"/>
      <c r="AJ7" s="10"/>
      <c r="AK7" s="10"/>
      <c r="AL7" s="10"/>
      <c r="AM7" s="10"/>
      <c r="AN7" s="10"/>
    </row>
    <row r="8" spans="1:40" ht="14.25">
      <c r="A8" s="1389"/>
      <c r="B8" s="827">
        <v>4</v>
      </c>
      <c r="C8" s="545" t="s">
        <v>61</v>
      </c>
      <c r="D8" s="1013">
        <f>'Fin. Data'!D11</f>
        <v>84594</v>
      </c>
      <c r="E8" s="1014">
        <f>'Fin. Data'!C11</f>
        <v>155026</v>
      </c>
      <c r="F8" s="1015">
        <f>'Fin. Data'!B11</f>
        <v>260093</v>
      </c>
      <c r="G8" s="1030">
        <f>G7*G6</f>
        <v>457242.0846713747</v>
      </c>
      <c r="H8" s="1031">
        <f t="shared" ref="H8:AF8" si="4">H7*H6</f>
        <v>525350.96485016053</v>
      </c>
      <c r="I8" s="1031">
        <f t="shared" si="4"/>
        <v>636249.22858713882</v>
      </c>
      <c r="J8" s="1032">
        <f t="shared" si="4"/>
        <v>794469.96720000007</v>
      </c>
      <c r="K8" s="1030">
        <f t="shared" si="4"/>
        <v>953363.96063999995</v>
      </c>
      <c r="L8" s="1031">
        <f t="shared" si="4"/>
        <v>1144036.7527679999</v>
      </c>
      <c r="M8" s="1031">
        <f t="shared" si="4"/>
        <v>1372844.1033215995</v>
      </c>
      <c r="N8" s="1031">
        <f t="shared" si="4"/>
        <v>1606227.6008862713</v>
      </c>
      <c r="O8" s="1031">
        <f t="shared" si="4"/>
        <v>1847161.7410192117</v>
      </c>
      <c r="P8" s="1031">
        <f t="shared" si="4"/>
        <v>2124236.0021720934</v>
      </c>
      <c r="Q8" s="1031">
        <f t="shared" si="4"/>
        <v>2336659.602389303</v>
      </c>
      <c r="R8" s="1031">
        <f t="shared" si="4"/>
        <v>2570325.5626282333</v>
      </c>
      <c r="S8" s="1031">
        <f t="shared" si="4"/>
        <v>2775951.6076384922</v>
      </c>
      <c r="T8" s="1031">
        <f t="shared" si="4"/>
        <v>2942508.704096802</v>
      </c>
      <c r="U8" s="1031">
        <f t="shared" si="4"/>
        <v>3119059.2263426101</v>
      </c>
      <c r="V8" s="1031">
        <f t="shared" si="4"/>
        <v>3306202.7799231671</v>
      </c>
      <c r="W8" s="1031">
        <f t="shared" si="4"/>
        <v>3504574.9467185573</v>
      </c>
      <c r="X8" s="1031">
        <f t="shared" si="4"/>
        <v>3714849.4435216705</v>
      </c>
      <c r="Y8" s="1031">
        <f t="shared" si="4"/>
        <v>3937740.4101329716</v>
      </c>
      <c r="Z8" s="1031">
        <f t="shared" si="4"/>
        <v>4174004.8347409498</v>
      </c>
      <c r="AA8" s="1031">
        <f t="shared" si="4"/>
        <v>4382705.0764779979</v>
      </c>
      <c r="AB8" s="1031">
        <f t="shared" si="4"/>
        <v>4601840.3303018976</v>
      </c>
      <c r="AC8" s="1031">
        <f t="shared" si="4"/>
        <v>4831932.3468169924</v>
      </c>
      <c r="AD8" s="1031">
        <f t="shared" si="4"/>
        <v>5025209.6406896729</v>
      </c>
      <c r="AE8" s="1031">
        <f t="shared" si="4"/>
        <v>5226218.0263172602</v>
      </c>
      <c r="AF8" s="1032">
        <f t="shared" si="4"/>
        <v>5356873.4769751914</v>
      </c>
      <c r="AG8" s="359"/>
      <c r="AH8" s="7"/>
      <c r="AI8" s="7"/>
      <c r="AJ8" s="7"/>
      <c r="AK8" s="10"/>
      <c r="AL8" s="10"/>
      <c r="AM8" s="10"/>
      <c r="AN8" s="10"/>
    </row>
    <row r="9" spans="1:40" ht="14.25">
      <c r="A9" s="1389"/>
      <c r="B9" s="827" t="s">
        <v>902</v>
      </c>
      <c r="C9" s="543" t="s">
        <v>903</v>
      </c>
      <c r="D9" s="1016">
        <v>-16199</v>
      </c>
      <c r="E9" s="1017">
        <v>-18478</v>
      </c>
      <c r="F9" s="1018">
        <v>-20744</v>
      </c>
      <c r="G9" s="1033">
        <f>$D$53*'DCF (Capped cash to buybacks)'!F40</f>
        <v>-17636.84</v>
      </c>
      <c r="H9" s="1034">
        <f>$D$53*'DCF (Capped cash to buybacks)'!G40</f>
        <v>-25538.240000000002</v>
      </c>
      <c r="I9" s="1034">
        <f>$D$53*'DCF (Capped cash to buybacks)'!H40</f>
        <v>-34387.807999999997</v>
      </c>
      <c r="J9" s="1035">
        <f>$D$53*'DCF (Capped cash to buybacks)'!I40</f>
        <v>-44476.315519999996</v>
      </c>
      <c r="K9" s="1036">
        <f>$E$53*'DCF (Capped cash to buybacks)'!J40</f>
        <v>-43292.207167999994</v>
      </c>
      <c r="L9" s="1037">
        <f>$E$53*'DCF (Capped cash to buybacks)'!K40</f>
        <v>-59635.589350399998</v>
      </c>
      <c r="M9" s="1037">
        <f>$E$53*'DCF (Capped cash to buybacks)'!L40</f>
        <v>-79247.647969279991</v>
      </c>
      <c r="N9" s="1037">
        <f>$E$53*'DCF (Capped cash to buybacks)'!M40</f>
        <v>-102782.11831193598</v>
      </c>
      <c r="O9" s="1037">
        <f>$E$53*'DCF (Capped cash to buybacks)'!N40</f>
        <v>-130317.44861284351</v>
      </c>
      <c r="P9" s="1037">
        <f>$E$53*'DCF (Capped cash to buybacks)'!O40</f>
        <v>-161983.07845888715</v>
      </c>
      <c r="Q9" s="1037">
        <f>$E$53*'DCF (Capped cash to buybacks)'!P40</f>
        <v>-198398.55278183729</v>
      </c>
      <c r="R9" s="1037">
        <f>$E$53*'DCF (Capped cash to buybacks)'!Q40</f>
        <v>-238455.57453708249</v>
      </c>
      <c r="S9" s="1037">
        <f>$E$53*'DCF (Capped cash to buybacks)'!R40</f>
        <v>-282518.29846785218</v>
      </c>
      <c r="T9" s="1037">
        <f>$E$53*'DCF (Capped cash to buybacks)'!S40</f>
        <v>-330106.0403130835</v>
      </c>
      <c r="U9" s="1037">
        <f>$E$53*'DCF (Capped cash to buybacks)'!T40</f>
        <v>-380549.0466690287</v>
      </c>
      <c r="V9" s="1037">
        <f>$E$53*'DCF (Capped cash to buybacks)'!U40</f>
        <v>-434018.6334063306</v>
      </c>
      <c r="W9" s="1037">
        <f>$E$53*'DCF (Capped cash to buybacks)'!V40</f>
        <v>-490696.39534787054</v>
      </c>
      <c r="X9" s="1037">
        <f>$E$53*'DCF (Capped cash to buybacks)'!W40</f>
        <v>-550774.82300590293</v>
      </c>
      <c r="Y9" s="1037">
        <f>$E$53*'DCF (Capped cash to buybacks)'!X40</f>
        <v>-614457.95632341725</v>
      </c>
      <c r="Z9" s="1037">
        <f>$E$53*'DCF (Capped cash to buybacks)'!Y40</f>
        <v>-681962.07763998257</v>
      </c>
      <c r="AA9" s="1037">
        <f>$E$53*'DCF (Capped cash to buybacks)'!Z40</f>
        <v>-753516.44623554172</v>
      </c>
      <c r="AB9" s="1037">
        <f>$E$53*'DCF (Capped cash to buybacks)'!AA40</f>
        <v>-828648.53326087876</v>
      </c>
      <c r="AC9" s="1037">
        <f>$E$53*'DCF (Capped cash to buybacks)'!AB40</f>
        <v>-907537.22463748278</v>
      </c>
      <c r="AD9" s="1037">
        <f>$E$53*'DCF (Capped cash to buybacks)'!AC40</f>
        <v>-990370.35058291687</v>
      </c>
      <c r="AE9" s="1037">
        <f>$E$53*'DCF (Capped cash to buybacks)'!AD40</f>
        <v>-1076516.8015661684</v>
      </c>
      <c r="AF9" s="1038">
        <f>$E$53*'DCF (Capped cash to buybacks)'!AE40</f>
        <v>-1166109.1105887499</v>
      </c>
      <c r="AG9" s="360">
        <f>SUM(D9:AF9)</f>
        <v>-10679354.158755472</v>
      </c>
      <c r="AH9" s="7"/>
      <c r="AI9" s="7"/>
      <c r="AJ9" s="7"/>
      <c r="AK9" s="10"/>
      <c r="AL9" s="10"/>
      <c r="AM9" s="10"/>
      <c r="AN9" s="10"/>
    </row>
    <row r="10" spans="1:40" ht="14.25">
      <c r="A10" s="1389"/>
      <c r="B10" s="827" t="s">
        <v>904</v>
      </c>
      <c r="C10" s="543" t="s">
        <v>905</v>
      </c>
      <c r="D10" s="1016">
        <f>-50218-D9</f>
        <v>-34019</v>
      </c>
      <c r="E10" s="1017">
        <f>-60866-E9</f>
        <v>-42388</v>
      </c>
      <c r="F10" s="1018">
        <f>-76426-F9</f>
        <v>-55682</v>
      </c>
      <c r="G10" s="1033">
        <f>G6*$D$54</f>
        <v>-59260.5</v>
      </c>
      <c r="H10" s="1039">
        <f t="shared" ref="H10:AF10" si="5">H6*$D$54</f>
        <v>-66371.760000000009</v>
      </c>
      <c r="I10" s="1039">
        <f t="shared" si="5"/>
        <v>-75663.806400000016</v>
      </c>
      <c r="J10" s="1040">
        <f t="shared" si="5"/>
        <v>-88526.653488000011</v>
      </c>
      <c r="K10" s="1036">
        <f t="shared" si="5"/>
        <v>-106231.9841856</v>
      </c>
      <c r="L10" s="1037">
        <f t="shared" si="5"/>
        <v>-127478.38102271999</v>
      </c>
      <c r="M10" s="1037">
        <f t="shared" si="5"/>
        <v>-152974.05722726395</v>
      </c>
      <c r="N10" s="1037">
        <f t="shared" si="5"/>
        <v>-178979.64695589882</v>
      </c>
      <c r="O10" s="1037">
        <f t="shared" si="5"/>
        <v>-205826.59399928362</v>
      </c>
      <c r="P10" s="1037">
        <f t="shared" si="5"/>
        <v>-236700.58309917615</v>
      </c>
      <c r="Q10" s="1037">
        <f t="shared" si="5"/>
        <v>-260370.64140909378</v>
      </c>
      <c r="R10" s="1037">
        <f t="shared" si="5"/>
        <v>-286407.70555000316</v>
      </c>
      <c r="S10" s="1037">
        <f t="shared" si="5"/>
        <v>-309320.32199400349</v>
      </c>
      <c r="T10" s="1037">
        <f t="shared" si="5"/>
        <v>-327879.54131364368</v>
      </c>
      <c r="U10" s="1037">
        <f t="shared" si="5"/>
        <v>-347552.31379246229</v>
      </c>
      <c r="V10" s="1037">
        <f t="shared" si="5"/>
        <v>-368405.45262001007</v>
      </c>
      <c r="W10" s="1037">
        <f t="shared" si="5"/>
        <v>-390509.77977721067</v>
      </c>
      <c r="X10" s="1037">
        <f t="shared" si="5"/>
        <v>-413940.36656384333</v>
      </c>
      <c r="Y10" s="1037">
        <f t="shared" si="5"/>
        <v>-438776.78855767398</v>
      </c>
      <c r="Z10" s="1037">
        <f t="shared" si="5"/>
        <v>-465103.39587113442</v>
      </c>
      <c r="AA10" s="1037">
        <f t="shared" si="5"/>
        <v>-488358.56566469121</v>
      </c>
      <c r="AB10" s="1037">
        <f t="shared" si="5"/>
        <v>-512776.4939479258</v>
      </c>
      <c r="AC10" s="1037">
        <f t="shared" si="5"/>
        <v>-538415.31864532211</v>
      </c>
      <c r="AD10" s="1037">
        <f t="shared" si="5"/>
        <v>-559951.93139113497</v>
      </c>
      <c r="AE10" s="1037">
        <f t="shared" si="5"/>
        <v>-582350.00864678039</v>
      </c>
      <c r="AF10" s="1038">
        <f t="shared" si="5"/>
        <v>-596908.75886294991</v>
      </c>
      <c r="AG10" s="359"/>
      <c r="AH10" s="7"/>
      <c r="AI10" s="7"/>
      <c r="AJ10" s="7"/>
      <c r="AK10" s="10"/>
      <c r="AL10" s="10"/>
      <c r="AM10" s="10"/>
      <c r="AN10" s="10"/>
    </row>
    <row r="11" spans="1:40" ht="14.25">
      <c r="A11" s="1389"/>
      <c r="B11" s="827" t="s">
        <v>906</v>
      </c>
      <c r="C11" s="543" t="s">
        <v>907</v>
      </c>
      <c r="D11" s="1016">
        <f>D20</f>
        <v>-96202</v>
      </c>
      <c r="E11" s="1017">
        <f>E20</f>
        <v>-147300</v>
      </c>
      <c r="F11" s="1018">
        <f>F20</f>
        <v>-146032</v>
      </c>
      <c r="G11" s="1033">
        <f>G6*$D$55</f>
        <v>-173399.00055013812</v>
      </c>
      <c r="H11" s="1039">
        <f>H6*$D$55</f>
        <v>-194206.88061615473</v>
      </c>
      <c r="I11" s="1039">
        <f t="shared" ref="I11:AF11" si="6">I6*$D$55</f>
        <v>-221395.84390241641</v>
      </c>
      <c r="J11" s="1040">
        <f t="shared" si="6"/>
        <v>-259033.13736582719</v>
      </c>
      <c r="K11" s="1033">
        <f t="shared" si="6"/>
        <v>-310839.76483899262</v>
      </c>
      <c r="L11" s="1039">
        <f t="shared" si="6"/>
        <v>-373007.71780679107</v>
      </c>
      <c r="M11" s="1039">
        <f t="shared" si="6"/>
        <v>-447609.26136814925</v>
      </c>
      <c r="N11" s="1039">
        <f t="shared" si="6"/>
        <v>-523702.83580073452</v>
      </c>
      <c r="O11" s="1039">
        <f t="shared" si="6"/>
        <v>-602258.26117084466</v>
      </c>
      <c r="P11" s="1039">
        <f t="shared" si="6"/>
        <v>-692597.00034647132</v>
      </c>
      <c r="Q11" s="1039">
        <f t="shared" si="6"/>
        <v>-761856.70038111845</v>
      </c>
      <c r="R11" s="1039">
        <f t="shared" si="6"/>
        <v>-838042.37041923043</v>
      </c>
      <c r="S11" s="1039">
        <f>S6*$D$55</f>
        <v>-905085.76005276886</v>
      </c>
      <c r="T11" s="1039">
        <f t="shared" si="6"/>
        <v>-959390.90565593506</v>
      </c>
      <c r="U11" s="1039">
        <f t="shared" si="6"/>
        <v>-1016954.3599952912</v>
      </c>
      <c r="V11" s="1039">
        <f t="shared" si="6"/>
        <v>-1077971.6215950088</v>
      </c>
      <c r="W11" s="1039">
        <f t="shared" si="6"/>
        <v>-1142649.9188907093</v>
      </c>
      <c r="X11" s="1039">
        <f t="shared" si="6"/>
        <v>-1211208.9140241519</v>
      </c>
      <c r="Y11" s="1039">
        <f t="shared" si="6"/>
        <v>-1283881.4488656011</v>
      </c>
      <c r="Z11" s="1039">
        <f t="shared" si="6"/>
        <v>-1360914.3357975371</v>
      </c>
      <c r="AA11" s="1039">
        <f t="shared" si="6"/>
        <v>-1428960.0525874142</v>
      </c>
      <c r="AB11" s="1039">
        <f t="shared" si="6"/>
        <v>-1500408.0552167851</v>
      </c>
      <c r="AC11" s="1039">
        <f t="shared" si="6"/>
        <v>-1575428.4579776244</v>
      </c>
      <c r="AD11" s="1039">
        <f t="shared" si="6"/>
        <v>-1638445.5962967295</v>
      </c>
      <c r="AE11" s="1039">
        <f t="shared" si="6"/>
        <v>-1703983.4201485987</v>
      </c>
      <c r="AF11" s="1040">
        <f t="shared" si="6"/>
        <v>-1746583.0056523136</v>
      </c>
      <c r="AG11" s="359"/>
      <c r="AH11" s="7"/>
      <c r="AI11" s="7"/>
      <c r="AJ11" s="7"/>
      <c r="AK11" s="10"/>
      <c r="AL11" s="10"/>
      <c r="AM11" s="10"/>
      <c r="AN11" s="10"/>
    </row>
    <row r="12" spans="1:40" ht="14.25">
      <c r="A12" s="1389"/>
      <c r="B12" s="827">
        <v>6</v>
      </c>
      <c r="C12" s="545" t="s">
        <v>52</v>
      </c>
      <c r="D12" s="1013">
        <f>D8-D9-D10</f>
        <v>134812</v>
      </c>
      <c r="E12" s="1014">
        <f t="shared" ref="E12:AF12" si="7">E8-E9-E10</f>
        <v>215892</v>
      </c>
      <c r="F12" s="1015">
        <f>F8-F9-F10</f>
        <v>336519</v>
      </c>
      <c r="G12" s="1041">
        <f>G8-G9-G10</f>
        <v>534139.42467137473</v>
      </c>
      <c r="H12" s="1014">
        <f t="shared" si="7"/>
        <v>617260.96485016053</v>
      </c>
      <c r="I12" s="1014">
        <f t="shared" si="7"/>
        <v>746300.84298713878</v>
      </c>
      <c r="J12" s="1042">
        <f t="shared" si="7"/>
        <v>927472.93620800006</v>
      </c>
      <c r="K12" s="1041">
        <f t="shared" si="7"/>
        <v>1102888.1519936</v>
      </c>
      <c r="L12" s="1014">
        <f t="shared" si="7"/>
        <v>1331150.7231411198</v>
      </c>
      <c r="M12" s="1014">
        <f t="shared" si="7"/>
        <v>1605065.8085181434</v>
      </c>
      <c r="N12" s="1014">
        <f t="shared" si="7"/>
        <v>1887989.3661541061</v>
      </c>
      <c r="O12" s="1014">
        <f t="shared" si="7"/>
        <v>2183305.7836313387</v>
      </c>
      <c r="P12" s="1014">
        <f t="shared" si="7"/>
        <v>2522919.6637301566</v>
      </c>
      <c r="Q12" s="1014">
        <f t="shared" si="7"/>
        <v>2795428.7965802341</v>
      </c>
      <c r="R12" s="1014">
        <f t="shared" si="7"/>
        <v>3095188.8427153192</v>
      </c>
      <c r="S12" s="1014">
        <f t="shared" si="7"/>
        <v>3367790.2281003478</v>
      </c>
      <c r="T12" s="1014">
        <f t="shared" si="7"/>
        <v>3600494.2857235293</v>
      </c>
      <c r="U12" s="1014">
        <f t="shared" si="7"/>
        <v>3847160.5868041012</v>
      </c>
      <c r="V12" s="1014">
        <f t="shared" si="7"/>
        <v>4108626.8659495078</v>
      </c>
      <c r="W12" s="1014">
        <f t="shared" si="7"/>
        <v>4385781.1218436379</v>
      </c>
      <c r="X12" s="1014">
        <f t="shared" si="7"/>
        <v>4679564.6330914171</v>
      </c>
      <c r="Y12" s="1014">
        <f t="shared" si="7"/>
        <v>4990975.1550140623</v>
      </c>
      <c r="Z12" s="1014">
        <f t="shared" si="7"/>
        <v>5321070.3082520664</v>
      </c>
      <c r="AA12" s="1014">
        <f t="shared" si="7"/>
        <v>5624580.088378231</v>
      </c>
      <c r="AB12" s="1014">
        <f t="shared" si="7"/>
        <v>5943265.3575107027</v>
      </c>
      <c r="AC12" s="1014">
        <f t="shared" si="7"/>
        <v>6277884.8900997965</v>
      </c>
      <c r="AD12" s="1014">
        <f t="shared" si="7"/>
        <v>6575531.922663725</v>
      </c>
      <c r="AE12" s="1014">
        <f t="shared" si="7"/>
        <v>6885084.8365302095</v>
      </c>
      <c r="AF12" s="1042">
        <f t="shared" si="7"/>
        <v>7119891.3464268912</v>
      </c>
      <c r="AG12" s="284"/>
      <c r="AH12" s="7"/>
      <c r="AI12" s="7"/>
      <c r="AJ12" s="7"/>
      <c r="AK12" s="10"/>
      <c r="AL12" s="10"/>
      <c r="AM12" s="10"/>
      <c r="AN12" s="10"/>
    </row>
    <row r="13" spans="1:40" ht="14.25">
      <c r="A13" s="1389"/>
      <c r="B13" s="827">
        <v>7</v>
      </c>
      <c r="C13" s="543" t="s">
        <v>908</v>
      </c>
      <c r="D13" s="1019">
        <f>'Fin. Data'!D14</f>
        <v>0</v>
      </c>
      <c r="E13" s="1020">
        <f>'Fin. Data'!C14</f>
        <v>0</v>
      </c>
      <c r="F13" s="1021">
        <f>'Fin. Data'!B14</f>
        <v>0</v>
      </c>
      <c r="G13" s="1036">
        <f>F43*$D$58-F44*$D$57</f>
        <v>12054.33</v>
      </c>
      <c r="H13" s="1037">
        <f t="shared" ref="H13:J13" si="8">G43*$D$58-G44*$D$57</f>
        <v>39536.235377119287</v>
      </c>
      <c r="I13" s="1037">
        <f t="shared" si="8"/>
        <v>42333.62226836208</v>
      </c>
      <c r="J13" s="1038">
        <f t="shared" si="8"/>
        <v>47736.937688798462</v>
      </c>
      <c r="K13" s="1036">
        <f>J43*$E$58-J44*$E$57</f>
        <v>49718.784734597575</v>
      </c>
      <c r="L13" s="1037">
        <f t="shared" ref="L13:AF13" si="9">K43*$E$58-K44*$E$57</f>
        <v>29814.747034800002</v>
      </c>
      <c r="M13" s="1037">
        <f t="shared" si="9"/>
        <v>32149.071441760007</v>
      </c>
      <c r="N13" s="1037">
        <f t="shared" si="9"/>
        <v>35280.135730112008</v>
      </c>
      <c r="O13" s="1037">
        <f t="shared" si="9"/>
        <v>36857.433804231034</v>
      </c>
      <c r="P13" s="1037">
        <f t="shared" si="9"/>
        <v>40241.861374865686</v>
      </c>
      <c r="Q13" s="1037">
        <f t="shared" si="9"/>
        <v>44381.35933109554</v>
      </c>
      <c r="R13" s="1037">
        <f t="shared" si="9"/>
        <v>48819.495264205092</v>
      </c>
      <c r="S13" s="1037">
        <f t="shared" si="9"/>
        <v>53701.444790625595</v>
      </c>
      <c r="T13" s="1037">
        <f t="shared" si="9"/>
        <v>57997.56037387564</v>
      </c>
      <c r="U13" s="1037">
        <f t="shared" si="9"/>
        <v>61477.413996308205</v>
      </c>
      <c r="V13" s="1037">
        <f t="shared" si="9"/>
        <v>65166.05883608669</v>
      </c>
      <c r="W13" s="1037">
        <f t="shared" si="9"/>
        <v>69076.022366251898</v>
      </c>
      <c r="X13" s="1037">
        <f t="shared" si="9"/>
        <v>73220.583708227015</v>
      </c>
      <c r="Y13" s="1037">
        <f t="shared" si="9"/>
        <v>77613.818730720639</v>
      </c>
      <c r="Z13" s="1037">
        <f t="shared" si="9"/>
        <v>82270.647854563882</v>
      </c>
      <c r="AA13" s="1037">
        <f t="shared" si="9"/>
        <v>87206.886725837714</v>
      </c>
      <c r="AB13" s="1037">
        <f t="shared" si="9"/>
        <v>91567.231062129606</v>
      </c>
      <c r="AC13" s="1037">
        <f t="shared" si="9"/>
        <v>96145.592615236121</v>
      </c>
      <c r="AD13" s="1037">
        <f t="shared" si="9"/>
        <v>100952.87224599792</v>
      </c>
      <c r="AE13" s="1037">
        <f t="shared" si="9"/>
        <v>104990.98713583784</v>
      </c>
      <c r="AF13" s="1038">
        <f t="shared" si="9"/>
        <v>109190.62662127135</v>
      </c>
      <c r="AG13" s="359"/>
      <c r="AH13" s="7"/>
      <c r="AI13" s="7"/>
      <c r="AJ13" s="7"/>
      <c r="AK13" s="10"/>
      <c r="AL13" s="10"/>
      <c r="AM13" s="10"/>
      <c r="AN13" s="10"/>
    </row>
    <row r="14" spans="1:40" ht="14.25">
      <c r="A14" s="1389"/>
      <c r="B14" s="827">
        <v>8</v>
      </c>
      <c r="C14" s="543" t="s">
        <v>909</v>
      </c>
      <c r="D14" s="1022">
        <f>'Fin. Data'!D15</f>
        <v>-997</v>
      </c>
      <c r="E14" s="1023">
        <f>'Fin. Data'!C15</f>
        <v>3588</v>
      </c>
      <c r="F14" s="1024">
        <f>'Fin. Data'!B15</f>
        <v>16922</v>
      </c>
      <c r="G14" s="1030">
        <f>AVERAGE(D14:F14)*(1+G5)</f>
        <v>7046.9408199643494</v>
      </c>
      <c r="H14" s="1031">
        <f t="shared" ref="H14:AF14" si="10">AVERAGE(E14:G14)*(1+H5)</f>
        <v>10287.924572786693</v>
      </c>
      <c r="I14" s="1031">
        <f t="shared" si="10"/>
        <v>13017.608849245398</v>
      </c>
      <c r="J14" s="1032">
        <f t="shared" si="10"/>
        <v>11837.464954378609</v>
      </c>
      <c r="K14" s="1030">
        <f t="shared" si="10"/>
        <v>14057.19935056428</v>
      </c>
      <c r="L14" s="1031">
        <f t="shared" si="10"/>
        <v>15564.909261675315</v>
      </c>
      <c r="M14" s="1031">
        <f t="shared" si="10"/>
        <v>16583.82942664728</v>
      </c>
      <c r="N14" s="1031">
        <f t="shared" si="10"/>
        <v>18020.315835165879</v>
      </c>
      <c r="O14" s="1031">
        <f t="shared" si="10"/>
        <v>19231.470900670582</v>
      </c>
      <c r="P14" s="1031">
        <f t="shared" si="10"/>
        <v>20636.986195618767</v>
      </c>
      <c r="Q14" s="1031">
        <f t="shared" si="10"/>
        <v>21225.88340820025</v>
      </c>
      <c r="R14" s="1031">
        <f t="shared" si="10"/>
        <v>22401.258184979524</v>
      </c>
      <c r="S14" s="1031">
        <f t="shared" si="10"/>
        <v>23135.086003967477</v>
      </c>
      <c r="T14" s="1031">
        <f t="shared" si="10"/>
        <v>23589.320417658699</v>
      </c>
      <c r="U14" s="1031">
        <f t="shared" si="10"/>
        <v>24424.401494334015</v>
      </c>
      <c r="V14" s="1031">
        <f t="shared" si="10"/>
        <v>25139.245463639269</v>
      </c>
      <c r="W14" s="1031">
        <f t="shared" si="10"/>
        <v>25847.381806056634</v>
      </c>
      <c r="X14" s="1031">
        <f t="shared" si="10"/>
        <v>26645.230163290569</v>
      </c>
      <c r="Y14" s="1031">
        <f t="shared" si="10"/>
        <v>27429.922959655225</v>
      </c>
      <c r="Z14" s="1031">
        <f t="shared" si="10"/>
        <v>28239.295674914196</v>
      </c>
      <c r="AA14" s="1031">
        <f t="shared" si="10"/>
        <v>28810.057079250993</v>
      </c>
      <c r="AB14" s="1031">
        <f t="shared" si="10"/>
        <v>29567.746499837147</v>
      </c>
      <c r="AC14" s="1031">
        <f t="shared" si="10"/>
        <v>30315.984738900817</v>
      </c>
      <c r="AD14" s="1031">
        <f t="shared" si="10"/>
        <v>30747.179950236172</v>
      </c>
      <c r="AE14" s="1031">
        <f t="shared" si="10"/>
        <v>31418.715878844367</v>
      </c>
      <c r="AF14" s="1032">
        <f t="shared" si="10"/>
        <v>31597.975860726958</v>
      </c>
      <c r="AG14" s="359"/>
      <c r="AH14" s="7"/>
      <c r="AI14" s="7"/>
      <c r="AJ14" s="7"/>
      <c r="AK14" s="10"/>
      <c r="AL14" s="10"/>
      <c r="AM14" s="10"/>
      <c r="AN14" s="10"/>
    </row>
    <row r="15" spans="1:40" ht="14.25">
      <c r="A15" s="1389"/>
      <c r="B15" s="827">
        <v>9</v>
      </c>
      <c r="C15" s="545" t="s">
        <v>910</v>
      </c>
      <c r="D15" s="1013">
        <f t="shared" ref="D15:AF15" si="11">D8+D13+D14</f>
        <v>83597</v>
      </c>
      <c r="E15" s="1014">
        <f t="shared" si="11"/>
        <v>158614</v>
      </c>
      <c r="F15" s="1015">
        <f t="shared" si="11"/>
        <v>277015</v>
      </c>
      <c r="G15" s="1041">
        <f t="shared" si="11"/>
        <v>476343.35549133905</v>
      </c>
      <c r="H15" s="1014">
        <f t="shared" si="11"/>
        <v>575175.12480006646</v>
      </c>
      <c r="I15" s="1014">
        <f t="shared" si="11"/>
        <v>691600.45970474626</v>
      </c>
      <c r="J15" s="1042">
        <f t="shared" si="11"/>
        <v>854044.36984317715</v>
      </c>
      <c r="K15" s="1041">
        <f t="shared" si="11"/>
        <v>1017139.9447251618</v>
      </c>
      <c r="L15" s="1014">
        <f t="shared" si="11"/>
        <v>1189416.4090644752</v>
      </c>
      <c r="M15" s="1014">
        <f t="shared" si="11"/>
        <v>1421577.0041900068</v>
      </c>
      <c r="N15" s="1014">
        <f t="shared" si="11"/>
        <v>1659528.0524515491</v>
      </c>
      <c r="O15" s="1014">
        <f t="shared" si="11"/>
        <v>1903250.6457241133</v>
      </c>
      <c r="P15" s="1014">
        <f t="shared" si="11"/>
        <v>2185114.8497425779</v>
      </c>
      <c r="Q15" s="1014">
        <f t="shared" si="11"/>
        <v>2402266.8451285991</v>
      </c>
      <c r="R15" s="1014">
        <f t="shared" si="11"/>
        <v>2641546.3160774182</v>
      </c>
      <c r="S15" s="1014">
        <f t="shared" si="11"/>
        <v>2852788.1384330853</v>
      </c>
      <c r="T15" s="1014">
        <f t="shared" si="11"/>
        <v>3024095.5848883367</v>
      </c>
      <c r="U15" s="1014">
        <f t="shared" si="11"/>
        <v>3204961.0418332522</v>
      </c>
      <c r="V15" s="1014">
        <f t="shared" si="11"/>
        <v>3396508.0842228932</v>
      </c>
      <c r="W15" s="1014">
        <f t="shared" si="11"/>
        <v>3599498.3508908655</v>
      </c>
      <c r="X15" s="1014">
        <f t="shared" si="11"/>
        <v>3814715.2573931883</v>
      </c>
      <c r="Y15" s="1014">
        <f t="shared" si="11"/>
        <v>4042784.1518233474</v>
      </c>
      <c r="Z15" s="1014">
        <f t="shared" si="11"/>
        <v>4284514.7782704281</v>
      </c>
      <c r="AA15" s="1014">
        <f t="shared" si="11"/>
        <v>4498722.0202830862</v>
      </c>
      <c r="AB15" s="1014">
        <f t="shared" si="11"/>
        <v>4722975.3078638641</v>
      </c>
      <c r="AC15" s="1014">
        <f t="shared" si="11"/>
        <v>4958393.9241711302</v>
      </c>
      <c r="AD15" s="1014">
        <f t="shared" si="11"/>
        <v>5156909.6928859074</v>
      </c>
      <c r="AE15" s="1014">
        <f t="shared" si="11"/>
        <v>5362627.7293319423</v>
      </c>
      <c r="AF15" s="1042">
        <f t="shared" si="11"/>
        <v>5497662.0794571899</v>
      </c>
      <c r="AG15" s="359"/>
      <c r="AH15" s="7"/>
      <c r="AI15" s="7"/>
      <c r="AJ15" s="7"/>
      <c r="AK15" s="10"/>
      <c r="AL15" s="10"/>
      <c r="AM15" s="10"/>
      <c r="AN15" s="10"/>
    </row>
    <row r="16" spans="1:40" ht="14.25">
      <c r="A16" s="1389"/>
      <c r="B16" s="827">
        <v>10</v>
      </c>
      <c r="C16" s="543" t="s">
        <v>911</v>
      </c>
      <c r="D16" s="1025">
        <f>'Fin. Data'!D21</f>
        <v>7180</v>
      </c>
      <c r="E16" s="1026">
        <f>'Fin. Data'!C21</f>
        <v>-17792</v>
      </c>
      <c r="F16" s="1027">
        <f>'Fin. Data'!B21</f>
        <v>-70249</v>
      </c>
      <c r="G16" s="1033">
        <f>-$D$56*G15</f>
        <v>-90505.237543354422</v>
      </c>
      <c r="H16" s="1034">
        <f>-$D$56*H15</f>
        <v>-109283.27371201263</v>
      </c>
      <c r="I16" s="1034">
        <f t="shared" ref="I16:J16" si="12">-$D$56*I15</f>
        <v>-131404.0873439018</v>
      </c>
      <c r="J16" s="1034">
        <f t="shared" si="12"/>
        <v>-162268.43027020365</v>
      </c>
      <c r="K16" s="1043">
        <f>-$E$56*K15</f>
        <v>-213599.38839228396</v>
      </c>
      <c r="L16" s="1034">
        <f>-$E$56*L15</f>
        <v>-249777.44590353977</v>
      </c>
      <c r="M16" s="1034">
        <f t="shared" ref="M16:AE16" si="13">-$E$56*M15</f>
        <v>-298531.17087990139</v>
      </c>
      <c r="N16" s="1034">
        <f t="shared" si="13"/>
        <v>-348500.89101482532</v>
      </c>
      <c r="O16" s="1034">
        <f t="shared" si="13"/>
        <v>-399682.63560206379</v>
      </c>
      <c r="P16" s="1034">
        <f t="shared" si="13"/>
        <v>-458874.11844594136</v>
      </c>
      <c r="Q16" s="1034">
        <f t="shared" si="13"/>
        <v>-504476.0374770058</v>
      </c>
      <c r="R16" s="1034">
        <f t="shared" si="13"/>
        <v>-554724.72637625784</v>
      </c>
      <c r="S16" s="1034">
        <f t="shared" si="13"/>
        <v>-599085.50907094788</v>
      </c>
      <c r="T16" s="1034">
        <f t="shared" si="13"/>
        <v>-635060.07282655069</v>
      </c>
      <c r="U16" s="1034">
        <f t="shared" si="13"/>
        <v>-673041.8187849829</v>
      </c>
      <c r="V16" s="1034">
        <f t="shared" si="13"/>
        <v>-713266.6976868076</v>
      </c>
      <c r="W16" s="1034">
        <f t="shared" si="13"/>
        <v>-755894.65368708177</v>
      </c>
      <c r="X16" s="1034">
        <f t="shared" si="13"/>
        <v>-801090.20405256946</v>
      </c>
      <c r="Y16" s="1034">
        <f t="shared" si="13"/>
        <v>-848984.67188290297</v>
      </c>
      <c r="Z16" s="1034">
        <f t="shared" si="13"/>
        <v>-899748.10343678982</v>
      </c>
      <c r="AA16" s="1034">
        <f t="shared" si="13"/>
        <v>-944731.62425944803</v>
      </c>
      <c r="AB16" s="1034">
        <f t="shared" si="13"/>
        <v>-991824.81465141138</v>
      </c>
      <c r="AC16" s="1034">
        <f t="shared" si="13"/>
        <v>-1041262.7240759373</v>
      </c>
      <c r="AD16" s="1034">
        <f t="shared" si="13"/>
        <v>-1082951.0355060406</v>
      </c>
      <c r="AE16" s="1034">
        <f t="shared" si="13"/>
        <v>-1126151.8231597079</v>
      </c>
      <c r="AF16" s="1035">
        <f>-$E$56*AF15</f>
        <v>-1154509.0366860097</v>
      </c>
      <c r="AG16" s="359"/>
      <c r="AH16" s="7"/>
      <c r="AI16" s="7"/>
      <c r="AJ16" s="7"/>
      <c r="AK16" s="10"/>
      <c r="AL16" s="10"/>
      <c r="AM16" s="10"/>
      <c r="AN16" s="10"/>
    </row>
    <row r="17" spans="1:40" ht="14.65" thickBot="1">
      <c r="A17" s="1389"/>
      <c r="B17" s="828">
        <v>11</v>
      </c>
      <c r="C17" s="829" t="s">
        <v>357</v>
      </c>
      <c r="D17" s="1028">
        <f>'Fin. Data'!D23</f>
        <v>90777</v>
      </c>
      <c r="E17" s="1029">
        <f>'Fin. Data'!C23</f>
        <v>140822</v>
      </c>
      <c r="F17" s="1029">
        <f>'Fin. Data'!B23</f>
        <v>206766</v>
      </c>
      <c r="G17" s="1044">
        <f t="shared" ref="G17:AF17" si="14">G16+G15</f>
        <v>385838.1179479846</v>
      </c>
      <c r="H17" s="1045">
        <f t="shared" si="14"/>
        <v>465891.85108805384</v>
      </c>
      <c r="I17" s="1045">
        <f t="shared" si="14"/>
        <v>560196.3723608444</v>
      </c>
      <c r="J17" s="1046">
        <f t="shared" si="14"/>
        <v>691775.93957297353</v>
      </c>
      <c r="K17" s="1044">
        <f t="shared" si="14"/>
        <v>803540.55633287784</v>
      </c>
      <c r="L17" s="1045">
        <f t="shared" si="14"/>
        <v>939638.96316093544</v>
      </c>
      <c r="M17" s="1045">
        <f t="shared" si="14"/>
        <v>1123045.8333101054</v>
      </c>
      <c r="N17" s="1045">
        <f t="shared" si="14"/>
        <v>1311027.1614367238</v>
      </c>
      <c r="O17" s="1045">
        <f t="shared" si="14"/>
        <v>1503568.0101220496</v>
      </c>
      <c r="P17" s="1045">
        <f t="shared" si="14"/>
        <v>1726240.7312966366</v>
      </c>
      <c r="Q17" s="1045">
        <f t="shared" si="14"/>
        <v>1897790.8076515933</v>
      </c>
      <c r="R17" s="1045">
        <f t="shared" si="14"/>
        <v>2086821.5897011603</v>
      </c>
      <c r="S17" s="1045">
        <f t="shared" si="14"/>
        <v>2253702.6293621375</v>
      </c>
      <c r="T17" s="1045">
        <f t="shared" si="14"/>
        <v>2389035.5120617859</v>
      </c>
      <c r="U17" s="1045">
        <f t="shared" si="14"/>
        <v>2531919.2230482693</v>
      </c>
      <c r="V17" s="1045">
        <f t="shared" si="14"/>
        <v>2683241.3865360855</v>
      </c>
      <c r="W17" s="1045">
        <f t="shared" si="14"/>
        <v>2843603.6972037838</v>
      </c>
      <c r="X17" s="1045">
        <f t="shared" si="14"/>
        <v>3013625.053340619</v>
      </c>
      <c r="Y17" s="1045">
        <f t="shared" si="14"/>
        <v>3193799.4799404442</v>
      </c>
      <c r="Z17" s="1045">
        <f t="shared" si="14"/>
        <v>3384766.6748336381</v>
      </c>
      <c r="AA17" s="1045">
        <f t="shared" si="14"/>
        <v>3553990.3960236381</v>
      </c>
      <c r="AB17" s="1045">
        <f t="shared" si="14"/>
        <v>3731150.4932124526</v>
      </c>
      <c r="AC17" s="1045">
        <f t="shared" si="14"/>
        <v>3917131.200095193</v>
      </c>
      <c r="AD17" s="1045">
        <f t="shared" si="14"/>
        <v>4073958.6573798666</v>
      </c>
      <c r="AE17" s="1045">
        <f t="shared" si="14"/>
        <v>4236475.9061722346</v>
      </c>
      <c r="AF17" s="1046">
        <f t="shared" si="14"/>
        <v>4343153.0427711802</v>
      </c>
      <c r="AG17" s="359"/>
      <c r="AH17" s="7"/>
      <c r="AI17" s="7"/>
      <c r="AJ17" s="7"/>
      <c r="AK17" s="10"/>
      <c r="AL17" s="10"/>
      <c r="AM17" s="10"/>
      <c r="AN17" s="10"/>
    </row>
    <row r="18" spans="1:40" ht="14.65" thickBot="1">
      <c r="A18" s="243"/>
      <c r="B18" s="254"/>
      <c r="C18" s="255" t="s">
        <v>821</v>
      </c>
      <c r="D18" s="259" t="s">
        <v>821</v>
      </c>
      <c r="E18" s="259" t="s">
        <v>821</v>
      </c>
      <c r="F18" s="259"/>
      <c r="G18" s="256" t="s">
        <v>821</v>
      </c>
      <c r="H18" s="256" t="s">
        <v>821</v>
      </c>
      <c r="I18" s="256" t="s">
        <v>821</v>
      </c>
      <c r="J18" s="256" t="s">
        <v>821</v>
      </c>
      <c r="K18" s="256" t="s">
        <v>821</v>
      </c>
      <c r="L18" s="256" t="s">
        <v>821</v>
      </c>
      <c r="M18" s="256" t="s">
        <v>821</v>
      </c>
      <c r="N18" s="256" t="s">
        <v>821</v>
      </c>
      <c r="O18" s="256" t="s">
        <v>821</v>
      </c>
      <c r="P18" s="256" t="s">
        <v>821</v>
      </c>
      <c r="Q18" s="256" t="s">
        <v>821</v>
      </c>
      <c r="R18" s="256" t="s">
        <v>821</v>
      </c>
      <c r="S18" s="256" t="s">
        <v>821</v>
      </c>
      <c r="T18" s="256" t="s">
        <v>821</v>
      </c>
      <c r="U18" s="256" t="s">
        <v>821</v>
      </c>
      <c r="V18" s="256" t="s">
        <v>821</v>
      </c>
      <c r="W18" s="256" t="s">
        <v>821</v>
      </c>
      <c r="X18" s="256" t="s">
        <v>821</v>
      </c>
      <c r="Y18" s="256" t="s">
        <v>821</v>
      </c>
      <c r="Z18" s="256" t="s">
        <v>821</v>
      </c>
      <c r="AA18" s="256" t="s">
        <v>821</v>
      </c>
      <c r="AB18" s="256" t="s">
        <v>821</v>
      </c>
      <c r="AC18" s="256" t="s">
        <v>821</v>
      </c>
      <c r="AD18" s="256" t="s">
        <v>821</v>
      </c>
      <c r="AE18" s="256" t="s">
        <v>821</v>
      </c>
      <c r="AF18" s="262" t="s">
        <v>821</v>
      </c>
      <c r="AG18" s="359"/>
      <c r="AH18" s="7"/>
      <c r="AI18" s="7"/>
      <c r="AJ18" s="7"/>
      <c r="AK18" s="10"/>
      <c r="AL18" s="10"/>
      <c r="AM18" s="10"/>
      <c r="AN18" s="10"/>
    </row>
    <row r="19" spans="1:40" ht="14.25">
      <c r="A19" s="1528" t="s">
        <v>912</v>
      </c>
      <c r="B19" s="233">
        <v>12</v>
      </c>
      <c r="C19" s="341" t="s">
        <v>913</v>
      </c>
      <c r="D19" s="989">
        <f>D22-D21-D20</f>
        <v>327414</v>
      </c>
      <c r="E19" s="990">
        <f>E22-E21-E20</f>
        <v>507343</v>
      </c>
      <c r="F19" s="991">
        <f>F22-F21-F20</f>
        <v>599316</v>
      </c>
      <c r="G19" s="1047">
        <f>G17-G10-G9-G11</f>
        <v>636134.45849812275</v>
      </c>
      <c r="H19" s="1048">
        <f t="shared" ref="H19:AF19" si="15">H17-H10-H9-H11</f>
        <v>752008.73170420853</v>
      </c>
      <c r="I19" s="1048">
        <f t="shared" si="15"/>
        <v>891643.83066326077</v>
      </c>
      <c r="J19" s="1049">
        <f t="shared" si="15"/>
        <v>1083812.0459468006</v>
      </c>
      <c r="K19" s="1050">
        <f t="shared" si="15"/>
        <v>1263904.5125254705</v>
      </c>
      <c r="L19" s="1048">
        <f t="shared" si="15"/>
        <v>1499760.6513408464</v>
      </c>
      <c r="M19" s="1048">
        <f t="shared" si="15"/>
        <v>1802876.7998747984</v>
      </c>
      <c r="N19" s="1048">
        <f t="shared" si="15"/>
        <v>2116491.7625052929</v>
      </c>
      <c r="O19" s="1048">
        <f t="shared" si="15"/>
        <v>2441970.3139050212</v>
      </c>
      <c r="P19" s="1048">
        <f t="shared" si="15"/>
        <v>2817521.3932011714</v>
      </c>
      <c r="Q19" s="1048">
        <f t="shared" si="15"/>
        <v>3118416.7022236432</v>
      </c>
      <c r="R19" s="1048">
        <f t="shared" si="15"/>
        <v>3449727.2402074765</v>
      </c>
      <c r="S19" s="1048">
        <f t="shared" si="15"/>
        <v>3750627.0098767621</v>
      </c>
      <c r="T19" s="1048">
        <f t="shared" si="15"/>
        <v>4006411.9993444481</v>
      </c>
      <c r="U19" s="1048">
        <f t="shared" si="15"/>
        <v>4276974.9435050515</v>
      </c>
      <c r="V19" s="1048">
        <f t="shared" si="15"/>
        <v>4563637.094157435</v>
      </c>
      <c r="W19" s="1048">
        <f t="shared" si="15"/>
        <v>4867459.7912195744</v>
      </c>
      <c r="X19" s="1048">
        <f t="shared" si="15"/>
        <v>5189549.1569345165</v>
      </c>
      <c r="Y19" s="1048">
        <f t="shared" si="15"/>
        <v>5530915.6736871358</v>
      </c>
      <c r="Z19" s="1048">
        <f t="shared" si="15"/>
        <v>5892746.4841422923</v>
      </c>
      <c r="AA19" s="1048">
        <f t="shared" si="15"/>
        <v>6224825.4605112858</v>
      </c>
      <c r="AB19" s="1048">
        <f t="shared" si="15"/>
        <v>6572983.5756380428</v>
      </c>
      <c r="AC19" s="1048">
        <f t="shared" si="15"/>
        <v>6938512.2013556231</v>
      </c>
      <c r="AD19" s="1048">
        <f t="shared" si="15"/>
        <v>7262726.5356506482</v>
      </c>
      <c r="AE19" s="1048">
        <f t="shared" si="15"/>
        <v>7599326.1365337828</v>
      </c>
      <c r="AF19" s="1051">
        <f t="shared" si="15"/>
        <v>7852753.9178751931</v>
      </c>
      <c r="AG19" s="359"/>
      <c r="AH19" s="7"/>
      <c r="AI19" s="7"/>
      <c r="AJ19" s="7"/>
      <c r="AK19" s="10"/>
      <c r="AL19" s="10"/>
      <c r="AM19" s="10"/>
      <c r="AN19" s="10"/>
    </row>
    <row r="20" spans="1:40" ht="14.25">
      <c r="A20" s="1529"/>
      <c r="B20" s="233">
        <v>13</v>
      </c>
      <c r="C20" s="252" t="s">
        <v>914</v>
      </c>
      <c r="D20" s="992">
        <v>-96202</v>
      </c>
      <c r="E20" s="993">
        <v>-147300</v>
      </c>
      <c r="F20" s="994">
        <v>-146032</v>
      </c>
      <c r="G20" s="1052">
        <f>G11</f>
        <v>-173399.00055013812</v>
      </c>
      <c r="H20" s="1053">
        <f t="shared" ref="H20:AF20" si="16">H11</f>
        <v>-194206.88061615473</v>
      </c>
      <c r="I20" s="1053">
        <f t="shared" si="16"/>
        <v>-221395.84390241641</v>
      </c>
      <c r="J20" s="1054">
        <f t="shared" si="16"/>
        <v>-259033.13736582719</v>
      </c>
      <c r="K20" s="1055">
        <f t="shared" si="16"/>
        <v>-310839.76483899262</v>
      </c>
      <c r="L20" s="1053">
        <f t="shared" si="16"/>
        <v>-373007.71780679107</v>
      </c>
      <c r="M20" s="1053">
        <f t="shared" si="16"/>
        <v>-447609.26136814925</v>
      </c>
      <c r="N20" s="1053">
        <f t="shared" si="16"/>
        <v>-523702.83580073452</v>
      </c>
      <c r="O20" s="1053">
        <f t="shared" si="16"/>
        <v>-602258.26117084466</v>
      </c>
      <c r="P20" s="1053">
        <f t="shared" si="16"/>
        <v>-692597.00034647132</v>
      </c>
      <c r="Q20" s="1053">
        <f t="shared" si="16"/>
        <v>-761856.70038111845</v>
      </c>
      <c r="R20" s="1053">
        <f t="shared" si="16"/>
        <v>-838042.37041923043</v>
      </c>
      <c r="S20" s="1053">
        <f t="shared" si="16"/>
        <v>-905085.76005276886</v>
      </c>
      <c r="T20" s="1053">
        <f t="shared" si="16"/>
        <v>-959390.90565593506</v>
      </c>
      <c r="U20" s="1053">
        <f t="shared" si="16"/>
        <v>-1016954.3599952912</v>
      </c>
      <c r="V20" s="1053">
        <f t="shared" si="16"/>
        <v>-1077971.6215950088</v>
      </c>
      <c r="W20" s="1053">
        <f t="shared" si="16"/>
        <v>-1142649.9188907093</v>
      </c>
      <c r="X20" s="1053">
        <f t="shared" si="16"/>
        <v>-1211208.9140241519</v>
      </c>
      <c r="Y20" s="1053">
        <f t="shared" si="16"/>
        <v>-1283881.4488656011</v>
      </c>
      <c r="Z20" s="1053">
        <f t="shared" si="16"/>
        <v>-1360914.3357975371</v>
      </c>
      <c r="AA20" s="1053">
        <f t="shared" si="16"/>
        <v>-1428960.0525874142</v>
      </c>
      <c r="AB20" s="1053">
        <f t="shared" si="16"/>
        <v>-1500408.0552167851</v>
      </c>
      <c r="AC20" s="1053">
        <f t="shared" si="16"/>
        <v>-1575428.4579776244</v>
      </c>
      <c r="AD20" s="1053">
        <f t="shared" si="16"/>
        <v>-1638445.5962967295</v>
      </c>
      <c r="AE20" s="1053">
        <f t="shared" si="16"/>
        <v>-1703983.4201485987</v>
      </c>
      <c r="AF20" s="1056">
        <f t="shared" si="16"/>
        <v>-1746583.0056523136</v>
      </c>
      <c r="AG20" s="359"/>
      <c r="AH20" s="7"/>
      <c r="AI20" s="7"/>
      <c r="AJ20" s="7"/>
      <c r="AK20" s="10"/>
      <c r="AL20" s="10"/>
      <c r="AM20" s="10"/>
      <c r="AN20" s="10"/>
    </row>
    <row r="21" spans="1:40" ht="14.25">
      <c r="A21" s="1529"/>
      <c r="B21" s="233">
        <v>14</v>
      </c>
      <c r="C21" s="252" t="s">
        <v>915</v>
      </c>
      <c r="D21" s="995">
        <f>Inputs!D62</f>
        <v>-76159</v>
      </c>
      <c r="E21" s="996">
        <f>Inputs!C62</f>
        <v>-77320</v>
      </c>
      <c r="F21" s="997">
        <f>Inputs!B62</f>
        <v>-68614</v>
      </c>
      <c r="G21" s="1057">
        <f t="shared" ref="G21:J21" si="17">$D$60*(G6-F6)</f>
        <v>-7019.0999999999995</v>
      </c>
      <c r="H21" s="962">
        <f t="shared" si="17"/>
        <v>-10940.400000000014</v>
      </c>
      <c r="I21" s="962">
        <f t="shared" si="17"/>
        <v>-14295.456000000006</v>
      </c>
      <c r="J21" s="963">
        <f t="shared" si="17"/>
        <v>-19788.995519999997</v>
      </c>
      <c r="K21" s="992">
        <f t="shared" ref="K21:AF21" si="18">$E$60*(K6-J6)</f>
        <v>-22699.141919999991</v>
      </c>
      <c r="L21" s="993">
        <f t="shared" si="18"/>
        <v>-27238.970303999984</v>
      </c>
      <c r="M21" s="993">
        <f t="shared" si="18"/>
        <v>-32686.764364799976</v>
      </c>
      <c r="N21" s="993">
        <f t="shared" si="18"/>
        <v>-33340.499652095954</v>
      </c>
      <c r="O21" s="993">
        <f t="shared" si="18"/>
        <v>-34419.162876134367</v>
      </c>
      <c r="P21" s="993">
        <f t="shared" si="18"/>
        <v>-39582.037307554536</v>
      </c>
      <c r="Q21" s="993">
        <f t="shared" si="18"/>
        <v>-30346.22860245849</v>
      </c>
      <c r="R21" s="993">
        <f t="shared" si="18"/>
        <v>-33380.851462704362</v>
      </c>
      <c r="S21" s="993">
        <f t="shared" si="18"/>
        <v>-29375.149287179858</v>
      </c>
      <c r="T21" s="993">
        <f t="shared" si="18"/>
        <v>-23793.870922615661</v>
      </c>
      <c r="U21" s="993">
        <f t="shared" si="18"/>
        <v>-25221.503177972605</v>
      </c>
      <c r="V21" s="993">
        <f t="shared" si="18"/>
        <v>-26734.793368650975</v>
      </c>
      <c r="W21" s="993">
        <f t="shared" si="18"/>
        <v>-28338.880970770027</v>
      </c>
      <c r="X21" s="993">
        <f t="shared" si="18"/>
        <v>-30039.213829016222</v>
      </c>
      <c r="Y21" s="993">
        <f t="shared" si="18"/>
        <v>-31841.566658757256</v>
      </c>
      <c r="Z21" s="993">
        <f t="shared" si="18"/>
        <v>-33752.0606582826</v>
      </c>
      <c r="AA21" s="993">
        <f t="shared" si="18"/>
        <v>-29814.32024814971</v>
      </c>
      <c r="AB21" s="993">
        <f t="shared" si="18"/>
        <v>-31305.036260557175</v>
      </c>
      <c r="AC21" s="993">
        <f t="shared" si="18"/>
        <v>-32870.288073584998</v>
      </c>
      <c r="AD21" s="993">
        <f t="shared" si="18"/>
        <v>-27611.04198181145</v>
      </c>
      <c r="AE21" s="993">
        <f t="shared" si="18"/>
        <v>-28715.483661083879</v>
      </c>
      <c r="AF21" s="1058">
        <f t="shared" si="18"/>
        <v>-18665.064379704465</v>
      </c>
      <c r="AG21" s="359"/>
      <c r="AH21" s="7"/>
      <c r="AI21" s="7"/>
      <c r="AJ21" s="7"/>
      <c r="AK21" s="10"/>
      <c r="AL21" s="10"/>
      <c r="AM21" s="10"/>
      <c r="AN21" s="10"/>
    </row>
    <row r="22" spans="1:40" ht="14.25">
      <c r="A22" s="1529"/>
      <c r="B22" s="233">
        <v>15</v>
      </c>
      <c r="C22" s="257" t="s">
        <v>916</v>
      </c>
      <c r="D22" s="998">
        <v>155053</v>
      </c>
      <c r="E22" s="999">
        <v>282723</v>
      </c>
      <c r="F22" s="1000">
        <v>384670</v>
      </c>
      <c r="G22" s="1059">
        <f>G19+G20+G21</f>
        <v>455716.35794798465</v>
      </c>
      <c r="H22" s="1060">
        <f t="shared" ref="H22:AF22" si="19">H19+H20+H21</f>
        <v>546861.45108805376</v>
      </c>
      <c r="I22" s="1060">
        <f t="shared" si="19"/>
        <v>655952.53076084435</v>
      </c>
      <c r="J22" s="1061">
        <f t="shared" si="19"/>
        <v>804989.9130609734</v>
      </c>
      <c r="K22" s="1062">
        <f t="shared" si="19"/>
        <v>930365.60576647788</v>
      </c>
      <c r="L22" s="1060">
        <f t="shared" si="19"/>
        <v>1099513.9632300555</v>
      </c>
      <c r="M22" s="1060">
        <f t="shared" si="19"/>
        <v>1322580.7741418493</v>
      </c>
      <c r="N22" s="1060">
        <f t="shared" si="19"/>
        <v>1559448.4270524625</v>
      </c>
      <c r="O22" s="1060">
        <f t="shared" si="19"/>
        <v>1805292.8898580424</v>
      </c>
      <c r="P22" s="1060">
        <f t="shared" si="19"/>
        <v>2085342.3555471452</v>
      </c>
      <c r="Q22" s="1060">
        <f t="shared" si="19"/>
        <v>2326213.7732400661</v>
      </c>
      <c r="R22" s="1060">
        <f t="shared" si="19"/>
        <v>2578304.0183255421</v>
      </c>
      <c r="S22" s="1060">
        <f t="shared" si="19"/>
        <v>2816166.100536813</v>
      </c>
      <c r="T22" s="1060">
        <f t="shared" si="19"/>
        <v>3023227.2227658974</v>
      </c>
      <c r="U22" s="1060">
        <f t="shared" si="19"/>
        <v>3234799.0803317879</v>
      </c>
      <c r="V22" s="1060">
        <f t="shared" si="19"/>
        <v>3458930.6791937752</v>
      </c>
      <c r="W22" s="1060">
        <f t="shared" si="19"/>
        <v>3696470.9913580953</v>
      </c>
      <c r="X22" s="1060">
        <f t="shared" si="19"/>
        <v>3948301.0290813483</v>
      </c>
      <c r="Y22" s="1060">
        <f t="shared" si="19"/>
        <v>4215192.6581627773</v>
      </c>
      <c r="Z22" s="1060">
        <f t="shared" si="19"/>
        <v>4498080.0876864726</v>
      </c>
      <c r="AA22" s="1060">
        <f t="shared" si="19"/>
        <v>4766051.0876757223</v>
      </c>
      <c r="AB22" s="1060">
        <f t="shared" si="19"/>
        <v>5041270.4841606999</v>
      </c>
      <c r="AC22" s="1060">
        <f t="shared" si="19"/>
        <v>5330213.4553044131</v>
      </c>
      <c r="AD22" s="1060">
        <f t="shared" si="19"/>
        <v>5596669.897372107</v>
      </c>
      <c r="AE22" s="1060">
        <f t="shared" si="19"/>
        <v>5866627.2327241004</v>
      </c>
      <c r="AF22" s="1063">
        <f t="shared" si="19"/>
        <v>6087505.8478431748</v>
      </c>
      <c r="AG22" s="359"/>
      <c r="AH22" s="7"/>
      <c r="AI22" s="7"/>
      <c r="AJ22" s="7"/>
      <c r="AK22" s="10"/>
      <c r="AL22" s="10"/>
      <c r="AM22" s="10"/>
      <c r="AN22" s="10"/>
    </row>
    <row r="23" spans="1:40" ht="14.25">
      <c r="A23" s="1529"/>
      <c r="B23" s="233">
        <v>16</v>
      </c>
      <c r="C23" s="252" t="s">
        <v>917</v>
      </c>
      <c r="D23" s="1001">
        <f>'Fin. Data'!D32</f>
        <v>-34515</v>
      </c>
      <c r="E23" s="1002">
        <f>'Fin. Data'!C32</f>
        <v>-45004</v>
      </c>
      <c r="F23" s="1003">
        <f>'Fin. Data'!B32</f>
        <v>-60726</v>
      </c>
      <c r="G23" s="1064">
        <f>G6*$D$62</f>
        <v>-60780</v>
      </c>
      <c r="H23" s="993">
        <f t="shared" ref="H23:J23" si="20">H6*$D$62</f>
        <v>-68073.600000000006</v>
      </c>
      <c r="I23" s="993">
        <f t="shared" si="20"/>
        <v>-77603.90400000001</v>
      </c>
      <c r="J23" s="994">
        <f t="shared" si="20"/>
        <v>-90796.567680000007</v>
      </c>
      <c r="K23" s="992">
        <f t="shared" ref="K23:AF23" si="21">K6*$E$62</f>
        <v>-163433.82182399998</v>
      </c>
      <c r="L23" s="993">
        <f t="shared" si="21"/>
        <v>-196120.58618879996</v>
      </c>
      <c r="M23" s="993">
        <f t="shared" si="21"/>
        <v>-235344.70342655995</v>
      </c>
      <c r="N23" s="993">
        <f t="shared" si="21"/>
        <v>-275353.30300907511</v>
      </c>
      <c r="O23" s="993">
        <f t="shared" si="21"/>
        <v>-316656.29846043634</v>
      </c>
      <c r="P23" s="993">
        <f t="shared" si="21"/>
        <v>-364154.74322950176</v>
      </c>
      <c r="Q23" s="993">
        <f t="shared" si="21"/>
        <v>-400570.21755245194</v>
      </c>
      <c r="R23" s="993">
        <f t="shared" si="21"/>
        <v>-440627.23930769716</v>
      </c>
      <c r="S23" s="993">
        <f t="shared" si="21"/>
        <v>-475877.418452313</v>
      </c>
      <c r="T23" s="993">
        <f t="shared" si="21"/>
        <v>-504430.06355945178</v>
      </c>
      <c r="U23" s="993">
        <f t="shared" si="21"/>
        <v>-534695.86737301887</v>
      </c>
      <c r="V23" s="993">
        <f t="shared" si="21"/>
        <v>-566777.61941540008</v>
      </c>
      <c r="W23" s="993">
        <f t="shared" si="21"/>
        <v>-600784.27658032416</v>
      </c>
      <c r="X23" s="993">
        <f t="shared" si="21"/>
        <v>-636831.33317514358</v>
      </c>
      <c r="Y23" s="993">
        <f t="shared" si="21"/>
        <v>-675041.21316565224</v>
      </c>
      <c r="Z23" s="993">
        <f t="shared" si="21"/>
        <v>-715543.68595559138</v>
      </c>
      <c r="AA23" s="993">
        <f t="shared" si="21"/>
        <v>-751320.87025337107</v>
      </c>
      <c r="AB23" s="993">
        <f t="shared" si="21"/>
        <v>-788886.91376603965</v>
      </c>
      <c r="AC23" s="993">
        <f t="shared" si="21"/>
        <v>-828331.25945434161</v>
      </c>
      <c r="AD23" s="993">
        <f t="shared" si="21"/>
        <v>-861464.50983251538</v>
      </c>
      <c r="AE23" s="993">
        <f t="shared" si="21"/>
        <v>-895923.09022581601</v>
      </c>
      <c r="AF23" s="1058">
        <f t="shared" si="21"/>
        <v>-918321.16748146142</v>
      </c>
      <c r="AG23" s="360">
        <f>SUM(D23:AF23)</f>
        <v>-12583989.27336896</v>
      </c>
      <c r="AH23" s="7"/>
      <c r="AI23" s="7"/>
      <c r="AJ23" s="7"/>
      <c r="AK23" s="10"/>
      <c r="AL23" s="10"/>
      <c r="AM23" s="10"/>
      <c r="AN23" s="10"/>
    </row>
    <row r="24" spans="1:40" ht="14.25">
      <c r="A24" s="1529"/>
      <c r="B24" s="233">
        <v>17</v>
      </c>
      <c r="C24" s="252" t="s">
        <v>918</v>
      </c>
      <c r="D24" s="995">
        <f>Inputs!D66</f>
        <v>-424690</v>
      </c>
      <c r="E24" s="996">
        <f>'Fin. Data'!C33</f>
        <v>-152144</v>
      </c>
      <c r="F24" s="997">
        <f>'Fin. Data'!B33</f>
        <v>-22058</v>
      </c>
      <c r="G24" s="1064">
        <f>G6*$D$63</f>
        <v>-57165.59404044316</v>
      </c>
      <c r="H24" s="993">
        <f t="shared" ref="H24:J24" si="22">H6*$D$63</f>
        <v>-64025.465325296347</v>
      </c>
      <c r="I24" s="993">
        <f t="shared" si="22"/>
        <v>-72989.030470837839</v>
      </c>
      <c r="J24" s="994">
        <f t="shared" si="22"/>
        <v>-85397.16565088027</v>
      </c>
      <c r="K24" s="992">
        <f t="shared" ref="K24:AF24" si="23">K6*$E$63</f>
        <v>-108955.88121600001</v>
      </c>
      <c r="L24" s="993">
        <f t="shared" si="23"/>
        <v>-130747.05745919999</v>
      </c>
      <c r="M24" s="993">
        <f t="shared" si="23"/>
        <v>-156896.46895103998</v>
      </c>
      <c r="N24" s="993">
        <f t="shared" si="23"/>
        <v>-183568.86867271672</v>
      </c>
      <c r="O24" s="993">
        <f t="shared" si="23"/>
        <v>-211104.19897362424</v>
      </c>
      <c r="P24" s="993">
        <f t="shared" si="23"/>
        <v>-242769.82881966786</v>
      </c>
      <c r="Q24" s="993">
        <f t="shared" si="23"/>
        <v>-267046.81170163467</v>
      </c>
      <c r="R24" s="993">
        <f t="shared" si="23"/>
        <v>-293751.49287179811</v>
      </c>
      <c r="S24" s="993">
        <f t="shared" si="23"/>
        <v>-317251.61230154202</v>
      </c>
      <c r="T24" s="993">
        <f t="shared" si="23"/>
        <v>-336286.70903963456</v>
      </c>
      <c r="U24" s="993">
        <f t="shared" si="23"/>
        <v>-356463.9115820126</v>
      </c>
      <c r="V24" s="993">
        <f t="shared" si="23"/>
        <v>-377851.74627693341</v>
      </c>
      <c r="W24" s="993">
        <f t="shared" si="23"/>
        <v>-400522.85105354944</v>
      </c>
      <c r="X24" s="993">
        <f t="shared" si="23"/>
        <v>-424554.22211676242</v>
      </c>
      <c r="Y24" s="993">
        <f t="shared" si="23"/>
        <v>-450027.4754437682</v>
      </c>
      <c r="Z24" s="993">
        <f t="shared" si="23"/>
        <v>-477029.12397039431</v>
      </c>
      <c r="AA24" s="993">
        <f t="shared" si="23"/>
        <v>-500880.58016891405</v>
      </c>
      <c r="AB24" s="993">
        <f t="shared" si="23"/>
        <v>-525924.60917735985</v>
      </c>
      <c r="AC24" s="993">
        <f t="shared" si="23"/>
        <v>-552220.83963622781</v>
      </c>
      <c r="AD24" s="993">
        <f t="shared" si="23"/>
        <v>-574309.67322167696</v>
      </c>
      <c r="AE24" s="993">
        <f t="shared" si="23"/>
        <v>-597282.06015054404</v>
      </c>
      <c r="AF24" s="1058">
        <f t="shared" si="23"/>
        <v>-612214.11165430758</v>
      </c>
      <c r="AG24" s="359"/>
      <c r="AH24" s="361">
        <f>AG9-AG23</f>
        <v>1904635.1146134883</v>
      </c>
      <c r="AI24" s="7"/>
      <c r="AJ24" s="7"/>
      <c r="AK24" s="10"/>
      <c r="AL24" s="10"/>
      <c r="AM24" s="10"/>
      <c r="AN24" s="10"/>
    </row>
    <row r="25" spans="1:40" ht="14.25">
      <c r="A25" s="1529"/>
      <c r="B25" s="233">
        <v>18</v>
      </c>
      <c r="C25" s="252" t="s">
        <v>919</v>
      </c>
      <c r="D25" s="995">
        <f>Inputs!D67</f>
        <v>-20569</v>
      </c>
      <c r="E25" s="996">
        <f>Inputs!C67</f>
        <v>-23014</v>
      </c>
      <c r="F25" s="997">
        <f>Inputs!B67</f>
        <v>-19107</v>
      </c>
      <c r="G25" s="1064">
        <f>(1+G5)*AVERAGE(D25:F25)</f>
        <v>-22639.918003565064</v>
      </c>
      <c r="H25" s="993">
        <f t="shared" ref="H25:AF25" si="24">(1+H5)*AVERAGE(E25:G25)</f>
        <v>-24177.409387997628</v>
      </c>
      <c r="I25" s="993">
        <f t="shared" si="24"/>
        <v>-25051.244408793827</v>
      </c>
      <c r="J25" s="994">
        <f t="shared" si="24"/>
        <v>-28028.743002139046</v>
      </c>
      <c r="K25" s="992">
        <f t="shared" si="24"/>
        <v>-30902.958719572202</v>
      </c>
      <c r="L25" s="993">
        <f t="shared" si="24"/>
        <v>-33593.178452202032</v>
      </c>
      <c r="M25" s="993">
        <f t="shared" si="24"/>
        <v>-37009.952069565305</v>
      </c>
      <c r="N25" s="993">
        <f t="shared" si="24"/>
        <v>-39587.374804122417</v>
      </c>
      <c r="O25" s="993">
        <f t="shared" si="24"/>
        <v>-42239.693708257735</v>
      </c>
      <c r="P25" s="993">
        <f t="shared" si="24"/>
        <v>-45554.191223079091</v>
      </c>
      <c r="Q25" s="993">
        <f t="shared" si="24"/>
        <v>-46706.461903001727</v>
      </c>
      <c r="R25" s="993">
        <f t="shared" si="24"/>
        <v>-49316.79383925748</v>
      </c>
      <c r="S25" s="993">
        <f t="shared" si="24"/>
        <v>-50967.88090752178</v>
      </c>
      <c r="T25" s="993">
        <f t="shared" si="24"/>
        <v>-51936.868282922616</v>
      </c>
      <c r="U25" s="993">
        <f t="shared" si="24"/>
        <v>-53784.945203827992</v>
      </c>
      <c r="V25" s="993">
        <f t="shared" si="24"/>
        <v>-55363.692019309572</v>
      </c>
      <c r="W25" s="993">
        <f t="shared" si="24"/>
        <v>-56916.878612141278</v>
      </c>
      <c r="X25" s="993">
        <f t="shared" si="24"/>
        <v>-58676.482261798526</v>
      </c>
      <c r="Y25" s="993">
        <f t="shared" si="24"/>
        <v>-60404.825355614783</v>
      </c>
      <c r="Z25" s="993">
        <f t="shared" si="24"/>
        <v>-62186.025801109288</v>
      </c>
      <c r="AA25" s="993">
        <f t="shared" si="24"/>
        <v>-63443.566696482914</v>
      </c>
      <c r="AB25" s="993">
        <f t="shared" si="24"/>
        <v>-65112.046248622442</v>
      </c>
      <c r="AC25" s="993">
        <f t="shared" si="24"/>
        <v>-66759.57356117513</v>
      </c>
      <c r="AD25" s="993">
        <f t="shared" si="24"/>
        <v>-67709.264655510575</v>
      </c>
      <c r="AE25" s="993">
        <f t="shared" si="24"/>
        <v>-69188.039947973492</v>
      </c>
      <c r="AF25" s="1058">
        <f t="shared" si="24"/>
        <v>-69582.766706258553</v>
      </c>
      <c r="AG25" s="284"/>
      <c r="AH25" s="7"/>
      <c r="AI25" s="7"/>
      <c r="AJ25" s="7"/>
      <c r="AK25" s="10"/>
      <c r="AL25" s="10"/>
      <c r="AM25" s="10"/>
      <c r="AN25" s="10"/>
    </row>
    <row r="26" spans="1:40" ht="14.25">
      <c r="A26" s="1529"/>
      <c r="B26" s="233">
        <v>19</v>
      </c>
      <c r="C26" s="257" t="s">
        <v>920</v>
      </c>
      <c r="D26" s="998">
        <f t="shared" ref="D26:AF26" si="25">D23+D24+D25</f>
        <v>-479774</v>
      </c>
      <c r="E26" s="999">
        <f t="shared" si="25"/>
        <v>-220162</v>
      </c>
      <c r="F26" s="1000">
        <f t="shared" si="25"/>
        <v>-101891</v>
      </c>
      <c r="G26" s="1065">
        <f>G23+G24+G25</f>
        <v>-140585.51204400824</v>
      </c>
      <c r="H26" s="999">
        <f t="shared" si="25"/>
        <v>-156276.47471329401</v>
      </c>
      <c r="I26" s="999">
        <f t="shared" si="25"/>
        <v>-175644.17887963168</v>
      </c>
      <c r="J26" s="1000">
        <f t="shared" si="25"/>
        <v>-204222.47633301932</v>
      </c>
      <c r="K26" s="998">
        <f t="shared" si="25"/>
        <v>-303292.66175957222</v>
      </c>
      <c r="L26" s="999">
        <f t="shared" si="25"/>
        <v>-360460.82210020197</v>
      </c>
      <c r="M26" s="999">
        <f t="shared" si="25"/>
        <v>-429251.12444716523</v>
      </c>
      <c r="N26" s="999">
        <f t="shared" si="25"/>
        <v>-498509.54648591427</v>
      </c>
      <c r="O26" s="999">
        <f t="shared" si="25"/>
        <v>-570000.1911423183</v>
      </c>
      <c r="P26" s="999">
        <f t="shared" si="25"/>
        <v>-652478.76327224867</v>
      </c>
      <c r="Q26" s="999">
        <f t="shared" si="25"/>
        <v>-714323.49115708831</v>
      </c>
      <c r="R26" s="999">
        <f t="shared" si="25"/>
        <v>-783695.52601875272</v>
      </c>
      <c r="S26" s="999">
        <f t="shared" si="25"/>
        <v>-844096.91166137683</v>
      </c>
      <c r="T26" s="999">
        <f t="shared" si="25"/>
        <v>-892653.64088200906</v>
      </c>
      <c r="U26" s="999">
        <f t="shared" si="25"/>
        <v>-944944.72415885946</v>
      </c>
      <c r="V26" s="999">
        <f t="shared" si="25"/>
        <v>-999993.05771164317</v>
      </c>
      <c r="W26" s="999">
        <f t="shared" si="25"/>
        <v>-1058224.006246015</v>
      </c>
      <c r="X26" s="999">
        <f t="shared" si="25"/>
        <v>-1120062.0375537046</v>
      </c>
      <c r="Y26" s="999">
        <f t="shared" si="25"/>
        <v>-1185473.5139650351</v>
      </c>
      <c r="Z26" s="999">
        <f t="shared" si="25"/>
        <v>-1254758.8357270951</v>
      </c>
      <c r="AA26" s="999">
        <f t="shared" si="25"/>
        <v>-1315645.0171187681</v>
      </c>
      <c r="AB26" s="999">
        <f t="shared" si="25"/>
        <v>-1379923.5691920219</v>
      </c>
      <c r="AC26" s="999">
        <f t="shared" si="25"/>
        <v>-1447311.6726517444</v>
      </c>
      <c r="AD26" s="999">
        <f t="shared" si="25"/>
        <v>-1503483.4477097031</v>
      </c>
      <c r="AE26" s="999">
        <f t="shared" si="25"/>
        <v>-1562393.1903243335</v>
      </c>
      <c r="AF26" s="1066">
        <f t="shared" si="25"/>
        <v>-1600118.0458420275</v>
      </c>
      <c r="AG26" s="359"/>
      <c r="AH26" s="7"/>
      <c r="AI26" s="7"/>
      <c r="AJ26" s="7"/>
      <c r="AK26" s="10"/>
      <c r="AL26" s="10"/>
      <c r="AM26" s="10"/>
      <c r="AN26" s="10"/>
    </row>
    <row r="27" spans="1:40" ht="14.25">
      <c r="A27" s="1529"/>
      <c r="B27" s="233">
        <v>20</v>
      </c>
      <c r="C27" s="252" t="s">
        <v>921</v>
      </c>
      <c r="D27" s="995">
        <f>Inputs!D71+Inputs!D72</f>
        <v>0</v>
      </c>
      <c r="E27" s="996">
        <f>Inputs!C71+Inputs!C72</f>
        <v>0</v>
      </c>
      <c r="F27" s="1003">
        <f>Inputs!B71+Inputs!B72</f>
        <v>0</v>
      </c>
      <c r="G27" s="1067">
        <f>G6*$D$66</f>
        <v>-18234</v>
      </c>
      <c r="H27" s="1068">
        <f t="shared" ref="H27:J27" si="26">H6*$D$66</f>
        <v>-20422.080000000002</v>
      </c>
      <c r="I27" s="1068">
        <f t="shared" si="26"/>
        <v>-23281.171200000004</v>
      </c>
      <c r="J27" s="1069">
        <f t="shared" si="26"/>
        <v>-27238.970304000002</v>
      </c>
      <c r="K27" s="1070">
        <f>$E$66*K6</f>
        <v>-27238.970304000002</v>
      </c>
      <c r="L27" s="1068">
        <f>$E$66*L6</f>
        <v>-32686.764364799998</v>
      </c>
      <c r="M27" s="1068">
        <f t="shared" ref="M27:AE27" si="27">$E$66*M6</f>
        <v>-39224.117237759994</v>
      </c>
      <c r="N27" s="1068">
        <f t="shared" si="27"/>
        <v>-45892.217168179181</v>
      </c>
      <c r="O27" s="1068">
        <f t="shared" si="27"/>
        <v>-52776.04974340606</v>
      </c>
      <c r="P27" s="1068">
        <f t="shared" si="27"/>
        <v>-60692.457204916966</v>
      </c>
      <c r="Q27" s="1068">
        <f t="shared" si="27"/>
        <v>-66761.702925408666</v>
      </c>
      <c r="R27" s="1068">
        <f t="shared" si="27"/>
        <v>-73437.873217949527</v>
      </c>
      <c r="S27" s="1068">
        <f t="shared" si="27"/>
        <v>-79312.903075385504</v>
      </c>
      <c r="T27" s="1068">
        <f t="shared" si="27"/>
        <v>-84071.67725990864</v>
      </c>
      <c r="U27" s="1068">
        <f t="shared" si="27"/>
        <v>-89115.977895503151</v>
      </c>
      <c r="V27" s="1068">
        <f t="shared" si="27"/>
        <v>-94462.936569233352</v>
      </c>
      <c r="W27" s="1068">
        <f t="shared" si="27"/>
        <v>-100130.71276338736</v>
      </c>
      <c r="X27" s="1068">
        <f t="shared" si="27"/>
        <v>-106138.55552919061</v>
      </c>
      <c r="Y27" s="1068">
        <f t="shared" si="27"/>
        <v>-112506.86886094205</v>
      </c>
      <c r="Z27" s="1068">
        <f t="shared" si="27"/>
        <v>-119257.28099259858</v>
      </c>
      <c r="AA27" s="1068">
        <f t="shared" si="27"/>
        <v>-125220.14504222851</v>
      </c>
      <c r="AB27" s="1068">
        <f t="shared" si="27"/>
        <v>-131481.15229433996</v>
      </c>
      <c r="AC27" s="1068">
        <f t="shared" si="27"/>
        <v>-138055.20990905695</v>
      </c>
      <c r="AD27" s="1068">
        <f t="shared" si="27"/>
        <v>-143577.41830541924</v>
      </c>
      <c r="AE27" s="1068">
        <f t="shared" si="27"/>
        <v>-149320.51503763601</v>
      </c>
      <c r="AF27" s="1071">
        <f>$E$66*AF6</f>
        <v>-153053.52791357689</v>
      </c>
      <c r="AG27" s="359"/>
      <c r="AH27" s="7"/>
      <c r="AI27" s="7"/>
      <c r="AJ27" s="7"/>
      <c r="AK27" s="10"/>
      <c r="AL27" s="10"/>
      <c r="AM27" s="10"/>
      <c r="AN27" s="10"/>
    </row>
    <row r="28" spans="1:40" ht="14.25">
      <c r="A28" s="1529"/>
      <c r="B28" s="233">
        <v>21</v>
      </c>
      <c r="C28" s="252" t="s">
        <v>922</v>
      </c>
      <c r="D28" s="1001">
        <f>+SUM(Inputs!D69:D70)</f>
        <v>0</v>
      </c>
      <c r="E28" s="996">
        <f>+SUM(Inputs!C69:C70)</f>
        <v>0</v>
      </c>
      <c r="F28" s="997">
        <f>+SUM(Inputs!B69:B70)</f>
        <v>0</v>
      </c>
      <c r="G28" s="1064">
        <f>G44-F44</f>
        <v>325000</v>
      </c>
      <c r="H28" s="993">
        <f t="shared" ref="H28:AF28" si="28">H44-G44</f>
        <v>-32500</v>
      </c>
      <c r="I28" s="993">
        <f t="shared" si="28"/>
        <v>-32500</v>
      </c>
      <c r="J28" s="994">
        <f t="shared" si="28"/>
        <v>-32500</v>
      </c>
      <c r="K28" s="992">
        <f t="shared" si="28"/>
        <v>-32500</v>
      </c>
      <c r="L28" s="993">
        <f t="shared" si="28"/>
        <v>-32500</v>
      </c>
      <c r="M28" s="993">
        <f t="shared" si="28"/>
        <v>-32500</v>
      </c>
      <c r="N28" s="993">
        <f t="shared" si="28"/>
        <v>-65000</v>
      </c>
      <c r="O28" s="993">
        <f t="shared" si="28"/>
        <v>-32500</v>
      </c>
      <c r="P28" s="993">
        <f t="shared" si="28"/>
        <v>-32500</v>
      </c>
      <c r="Q28" s="993">
        <f t="shared" si="28"/>
        <v>0</v>
      </c>
      <c r="R28" s="993">
        <f t="shared" si="28"/>
        <v>0</v>
      </c>
      <c r="S28" s="993">
        <f t="shared" si="28"/>
        <v>0</v>
      </c>
      <c r="T28" s="993">
        <f t="shared" si="28"/>
        <v>0</v>
      </c>
      <c r="U28" s="993">
        <f t="shared" si="28"/>
        <v>0</v>
      </c>
      <c r="V28" s="993">
        <f t="shared" si="28"/>
        <v>0</v>
      </c>
      <c r="W28" s="993">
        <f t="shared" si="28"/>
        <v>0</v>
      </c>
      <c r="X28" s="993">
        <f t="shared" si="28"/>
        <v>0</v>
      </c>
      <c r="Y28" s="993">
        <f t="shared" si="28"/>
        <v>0</v>
      </c>
      <c r="Z28" s="993">
        <f t="shared" si="28"/>
        <v>0</v>
      </c>
      <c r="AA28" s="993">
        <f t="shared" si="28"/>
        <v>0</v>
      </c>
      <c r="AB28" s="993">
        <f t="shared" si="28"/>
        <v>0</v>
      </c>
      <c r="AC28" s="993">
        <f t="shared" si="28"/>
        <v>0</v>
      </c>
      <c r="AD28" s="993">
        <f t="shared" si="28"/>
        <v>0</v>
      </c>
      <c r="AE28" s="993">
        <f t="shared" si="28"/>
        <v>0</v>
      </c>
      <c r="AF28" s="1058">
        <f t="shared" si="28"/>
        <v>0</v>
      </c>
      <c r="AG28" s="359"/>
      <c r="AH28" s="7"/>
      <c r="AI28" s="7"/>
      <c r="AJ28" s="7"/>
      <c r="AK28" s="10"/>
      <c r="AL28" s="10"/>
      <c r="AM28" s="10"/>
      <c r="AN28" s="10"/>
    </row>
    <row r="29" spans="1:40" ht="14.25">
      <c r="A29" s="1529"/>
      <c r="B29" s="233">
        <v>22</v>
      </c>
      <c r="C29" s="252" t="s">
        <v>923</v>
      </c>
      <c r="D29" s="1001">
        <f>'Fin. Data'!D28</f>
        <v>0</v>
      </c>
      <c r="E29" s="996">
        <f>'Fin. Data'!C28</f>
        <v>-150000</v>
      </c>
      <c r="F29" s="1003">
        <f>Assumptions!M256</f>
        <v>-150000</v>
      </c>
      <c r="G29" s="1064">
        <f>Assumptions!N256</f>
        <v>-150000</v>
      </c>
      <c r="H29" s="993">
        <f>Assumptions!O256</f>
        <v>-200000</v>
      </c>
      <c r="I29" s="993">
        <f>Assumptions!P256</f>
        <v>-200000</v>
      </c>
      <c r="J29" s="994">
        <f>Assumptions!Q256</f>
        <v>-250000</v>
      </c>
      <c r="K29" s="992">
        <f>IF(J43+K34&gt;(K6-K8)*0.45,-K34-J43+(K6-K8)*0.45,K6*-0.1)</f>
        <v>-1297520.4816948087</v>
      </c>
      <c r="L29" s="993">
        <f t="shared" ref="L29:AF29" si="29">IF(K43+L34&gt;(L6-L8)*0.45,-L34-K43+(L6-L8)*0.45,L6*-0.1)</f>
        <v>-514518.40048665344</v>
      </c>
      <c r="M29" s="993">
        <f t="shared" si="29"/>
        <v>-630387.96092284401</v>
      </c>
      <c r="N29" s="993">
        <f t="shared" si="29"/>
        <v>-755004.74043360795</v>
      </c>
      <c r="O29" s="993">
        <f t="shared" si="29"/>
        <v>-948664.54614693206</v>
      </c>
      <c r="P29" s="993">
        <f t="shared" si="29"/>
        <v>-1108116.2168207853</v>
      </c>
      <c r="Q29" s="993">
        <f t="shared" si="29"/>
        <v>-1367603.1418331868</v>
      </c>
      <c r="R29" s="993">
        <f t="shared" si="29"/>
        <v>-1525892.6380320196</v>
      </c>
      <c r="S29" s="993">
        <f t="shared" si="29"/>
        <v>-1720911.6624700488</v>
      </c>
      <c r="T29" s="993">
        <f t="shared" si="29"/>
        <v>-1907307.7597266771</v>
      </c>
      <c r="U29" s="993">
        <f t="shared" si="29"/>
        <v>-2053192.5846862863</v>
      </c>
      <c r="V29" s="993">
        <f t="shared" si="29"/>
        <v>-2208076.1437062901</v>
      </c>
      <c r="W29" s="993">
        <f t="shared" si="29"/>
        <v>-2372333.8186696884</v>
      </c>
      <c r="X29" s="993">
        <f t="shared" si="29"/>
        <v>-2546371.0350987087</v>
      </c>
      <c r="Y29" s="993">
        <f t="shared" si="29"/>
        <v>-2730939.110383071</v>
      </c>
      <c r="Z29" s="993">
        <f t="shared" si="29"/>
        <v>-2926614.4161158251</v>
      </c>
      <c r="AA29" s="993">
        <f t="shared" si="29"/>
        <v>-3150772.1520630503</v>
      </c>
      <c r="AB29" s="993">
        <f t="shared" si="29"/>
        <v>-3346731.3005500776</v>
      </c>
      <c r="AC29" s="993">
        <f t="shared" si="29"/>
        <v>-3552555.3875131398</v>
      </c>
      <c r="AD29" s="993">
        <f t="shared" si="29"/>
        <v>-3788084.4357633879</v>
      </c>
      <c r="AE29" s="993">
        <f t="shared" si="29"/>
        <v>-3986927.9479447911</v>
      </c>
      <c r="AF29" s="1058">
        <f t="shared" si="29"/>
        <v>-4225143.6474663001</v>
      </c>
      <c r="AG29" s="359"/>
      <c r="AH29" s="7"/>
      <c r="AI29" s="7"/>
      <c r="AJ29" s="7"/>
      <c r="AK29" s="10"/>
      <c r="AL29" s="10"/>
      <c r="AM29" s="10"/>
      <c r="AN29" s="10"/>
    </row>
    <row r="30" spans="1:40" s="7" customFormat="1" ht="14.25">
      <c r="A30" s="1529"/>
      <c r="B30" s="233">
        <v>23</v>
      </c>
      <c r="C30" s="252" t="s">
        <v>924</v>
      </c>
      <c r="D30" s="995">
        <f>'Fin. Data'!D27</f>
        <v>0</v>
      </c>
      <c r="E30" s="996">
        <f>'Fin. Data'!C27</f>
        <v>0</v>
      </c>
      <c r="F30" s="997">
        <f>'Fin. Data'!B27</f>
        <v>0</v>
      </c>
      <c r="G30" s="1064">
        <f>-$D$64*G17</f>
        <v>0</v>
      </c>
      <c r="H30" s="993">
        <f t="shared" ref="H30:J30" si="30">-$D$64*H17</f>
        <v>0</v>
      </c>
      <c r="I30" s="993">
        <f t="shared" si="30"/>
        <v>0</v>
      </c>
      <c r="J30" s="994">
        <f t="shared" si="30"/>
        <v>0</v>
      </c>
      <c r="K30" s="992">
        <f t="shared" ref="K30:AF30" si="31">-$E$64*K17</f>
        <v>0</v>
      </c>
      <c r="L30" s="993">
        <f t="shared" si="31"/>
        <v>0</v>
      </c>
      <c r="M30" s="993">
        <f t="shared" si="31"/>
        <v>0</v>
      </c>
      <c r="N30" s="993">
        <f t="shared" si="31"/>
        <v>0</v>
      </c>
      <c r="O30" s="993">
        <f t="shared" si="31"/>
        <v>0</v>
      </c>
      <c r="P30" s="993">
        <f t="shared" si="31"/>
        <v>0</v>
      </c>
      <c r="Q30" s="993">
        <f t="shared" si="31"/>
        <v>0</v>
      </c>
      <c r="R30" s="993">
        <f t="shared" si="31"/>
        <v>0</v>
      </c>
      <c r="S30" s="993">
        <f t="shared" si="31"/>
        <v>0</v>
      </c>
      <c r="T30" s="993">
        <f t="shared" si="31"/>
        <v>0</v>
      </c>
      <c r="U30" s="993">
        <f t="shared" si="31"/>
        <v>0</v>
      </c>
      <c r="V30" s="993">
        <f t="shared" si="31"/>
        <v>0</v>
      </c>
      <c r="W30" s="993">
        <f t="shared" si="31"/>
        <v>0</v>
      </c>
      <c r="X30" s="993">
        <f t="shared" si="31"/>
        <v>0</v>
      </c>
      <c r="Y30" s="993">
        <f t="shared" si="31"/>
        <v>0</v>
      </c>
      <c r="Z30" s="993">
        <f t="shared" si="31"/>
        <v>0</v>
      </c>
      <c r="AA30" s="993">
        <f t="shared" si="31"/>
        <v>0</v>
      </c>
      <c r="AB30" s="993">
        <f t="shared" si="31"/>
        <v>0</v>
      </c>
      <c r="AC30" s="993">
        <f t="shared" si="31"/>
        <v>0</v>
      </c>
      <c r="AD30" s="993">
        <f t="shared" si="31"/>
        <v>0</v>
      </c>
      <c r="AE30" s="993">
        <f t="shared" si="31"/>
        <v>0</v>
      </c>
      <c r="AF30" s="1058">
        <f t="shared" si="31"/>
        <v>0</v>
      </c>
      <c r="AG30" s="359"/>
      <c r="AK30" s="10"/>
      <c r="AL30" s="10"/>
      <c r="AM30" s="10"/>
      <c r="AN30" s="10"/>
    </row>
    <row r="31" spans="1:40" s="3" customFormat="1" ht="14.25">
      <c r="A31" s="1529"/>
      <c r="B31" s="233">
        <v>24</v>
      </c>
      <c r="C31" s="252" t="s">
        <v>925</v>
      </c>
      <c r="D31" s="1004">
        <f>Inputs!D75</f>
        <v>0</v>
      </c>
      <c r="E31" s="1005">
        <f>Inputs!C75</f>
        <v>0</v>
      </c>
      <c r="F31" s="1006">
        <f>Inputs!B75</f>
        <v>0</v>
      </c>
      <c r="G31" s="1064">
        <f t="shared" ref="G31:AF31" si="32">(1+G5)*AVERAGE(D31:F31)</f>
        <v>0</v>
      </c>
      <c r="H31" s="993">
        <f t="shared" si="32"/>
        <v>0</v>
      </c>
      <c r="I31" s="993">
        <f t="shared" si="32"/>
        <v>0</v>
      </c>
      <c r="J31" s="994">
        <f t="shared" si="32"/>
        <v>0</v>
      </c>
      <c r="K31" s="1072">
        <f t="shared" si="32"/>
        <v>0</v>
      </c>
      <c r="L31" s="1073">
        <f t="shared" si="32"/>
        <v>0</v>
      </c>
      <c r="M31" s="1073">
        <f t="shared" si="32"/>
        <v>0</v>
      </c>
      <c r="N31" s="1073">
        <f t="shared" si="32"/>
        <v>0</v>
      </c>
      <c r="O31" s="1073">
        <f t="shared" si="32"/>
        <v>0</v>
      </c>
      <c r="P31" s="1073">
        <f t="shared" si="32"/>
        <v>0</v>
      </c>
      <c r="Q31" s="1073">
        <f t="shared" si="32"/>
        <v>0</v>
      </c>
      <c r="R31" s="1073">
        <f t="shared" si="32"/>
        <v>0</v>
      </c>
      <c r="S31" s="1073">
        <f t="shared" si="32"/>
        <v>0</v>
      </c>
      <c r="T31" s="1073">
        <f t="shared" si="32"/>
        <v>0</v>
      </c>
      <c r="U31" s="1073">
        <f t="shared" si="32"/>
        <v>0</v>
      </c>
      <c r="V31" s="1073">
        <f t="shared" si="32"/>
        <v>0</v>
      </c>
      <c r="W31" s="1073">
        <f t="shared" si="32"/>
        <v>0</v>
      </c>
      <c r="X31" s="1073">
        <f t="shared" si="32"/>
        <v>0</v>
      </c>
      <c r="Y31" s="1073">
        <f t="shared" si="32"/>
        <v>0</v>
      </c>
      <c r="Z31" s="1073">
        <f t="shared" si="32"/>
        <v>0</v>
      </c>
      <c r="AA31" s="1073">
        <f t="shared" si="32"/>
        <v>0</v>
      </c>
      <c r="AB31" s="1073">
        <f t="shared" si="32"/>
        <v>0</v>
      </c>
      <c r="AC31" s="1073">
        <f t="shared" si="32"/>
        <v>0</v>
      </c>
      <c r="AD31" s="1073">
        <f t="shared" si="32"/>
        <v>0</v>
      </c>
      <c r="AE31" s="1073">
        <f t="shared" si="32"/>
        <v>0</v>
      </c>
      <c r="AF31" s="1074">
        <f t="shared" si="32"/>
        <v>0</v>
      </c>
      <c r="AG31" s="359"/>
      <c r="AH31" s="377"/>
      <c r="AI31" s="377"/>
      <c r="AJ31" s="377"/>
      <c r="AK31" s="375"/>
      <c r="AL31" s="375"/>
      <c r="AM31" s="375"/>
      <c r="AN31" s="375"/>
    </row>
    <row r="32" spans="1:40" s="7" customFormat="1" ht="16.5" customHeight="1" thickBot="1">
      <c r="A32" s="1529"/>
      <c r="B32" s="234">
        <v>25</v>
      </c>
      <c r="C32" s="258" t="s">
        <v>926</v>
      </c>
      <c r="D32" s="1007">
        <f t="shared" ref="D32:AF32" si="33">D27+D28+D29+D30+D31</f>
        <v>0</v>
      </c>
      <c r="E32" s="1008">
        <f t="shared" si="33"/>
        <v>-150000</v>
      </c>
      <c r="F32" s="1009">
        <f t="shared" si="33"/>
        <v>-150000</v>
      </c>
      <c r="G32" s="1075">
        <f>G27+G28+G29+G30+G31</f>
        <v>156766</v>
      </c>
      <c r="H32" s="1076">
        <f t="shared" si="33"/>
        <v>-252922.08000000002</v>
      </c>
      <c r="I32" s="1076">
        <f t="shared" si="33"/>
        <v>-255781.17120000001</v>
      </c>
      <c r="J32" s="1077">
        <f t="shared" si="33"/>
        <v>-309738.97030400002</v>
      </c>
      <c r="K32" s="1078">
        <f t="shared" si="33"/>
        <v>-1357259.4519988087</v>
      </c>
      <c r="L32" s="1076">
        <f t="shared" si="33"/>
        <v>-579705.16485145339</v>
      </c>
      <c r="M32" s="1076">
        <f t="shared" si="33"/>
        <v>-702112.078160604</v>
      </c>
      <c r="N32" s="1076">
        <f t="shared" si="33"/>
        <v>-865896.95760178717</v>
      </c>
      <c r="O32" s="1076">
        <f t="shared" si="33"/>
        <v>-1033940.5958903381</v>
      </c>
      <c r="P32" s="1076">
        <f t="shared" si="33"/>
        <v>-1201308.6740257023</v>
      </c>
      <c r="Q32" s="1076">
        <f t="shared" si="33"/>
        <v>-1434364.8447585956</v>
      </c>
      <c r="R32" s="1076">
        <f t="shared" si="33"/>
        <v>-1599330.5112499692</v>
      </c>
      <c r="S32" s="1076">
        <f t="shared" si="33"/>
        <v>-1800224.5655454344</v>
      </c>
      <c r="T32" s="1076">
        <f t="shared" si="33"/>
        <v>-1991379.4369865856</v>
      </c>
      <c r="U32" s="1076">
        <f t="shared" si="33"/>
        <v>-2142308.5625817892</v>
      </c>
      <c r="V32" s="1076">
        <f t="shared" si="33"/>
        <v>-2302539.0802755235</v>
      </c>
      <c r="W32" s="1076">
        <f t="shared" si="33"/>
        <v>-2472464.5314330757</v>
      </c>
      <c r="X32" s="1076">
        <f t="shared" si="33"/>
        <v>-2652509.5906278994</v>
      </c>
      <c r="Y32" s="1076">
        <f t="shared" si="33"/>
        <v>-2843445.9792440129</v>
      </c>
      <c r="Z32" s="1076">
        <f t="shared" si="33"/>
        <v>-3045871.6971084238</v>
      </c>
      <c r="AA32" s="1076">
        <f t="shared" si="33"/>
        <v>-3275992.2971052788</v>
      </c>
      <c r="AB32" s="1076">
        <f t="shared" si="33"/>
        <v>-3478212.4528444177</v>
      </c>
      <c r="AC32" s="1076">
        <f t="shared" si="33"/>
        <v>-3690610.5974221965</v>
      </c>
      <c r="AD32" s="1076">
        <f t="shared" si="33"/>
        <v>-3931661.8540688073</v>
      </c>
      <c r="AE32" s="1076">
        <f t="shared" si="33"/>
        <v>-4136248.4629824269</v>
      </c>
      <c r="AF32" s="1079">
        <f t="shared" si="33"/>
        <v>-4378197.175379877</v>
      </c>
      <c r="AG32" s="359"/>
      <c r="AH32" s="20"/>
      <c r="AK32" s="10"/>
      <c r="AL32" s="10"/>
      <c r="AM32" s="10"/>
      <c r="AN32" s="10"/>
    </row>
    <row r="33" spans="1:40" ht="13.15" thickBot="1">
      <c r="A33" s="1517"/>
      <c r="B33" s="1518"/>
      <c r="C33" s="1518"/>
      <c r="D33" s="1518"/>
      <c r="E33" s="1518"/>
      <c r="F33" s="1518"/>
      <c r="G33" s="1519"/>
      <c r="H33" s="1519"/>
      <c r="I33" s="1519"/>
      <c r="J33" s="1519"/>
      <c r="K33" s="1519"/>
      <c r="L33" s="1519"/>
      <c r="M33" s="1519"/>
      <c r="N33" s="1519"/>
      <c r="O33" s="1519"/>
      <c r="P33" s="1519"/>
      <c r="Q33" s="1519"/>
      <c r="R33" s="1519"/>
      <c r="S33" s="1519"/>
      <c r="T33" s="1519"/>
      <c r="U33" s="1519"/>
      <c r="V33" s="1519"/>
      <c r="W33" s="1519"/>
      <c r="X33" s="1519"/>
      <c r="Y33" s="1519"/>
      <c r="Z33" s="1519"/>
      <c r="AA33" s="1519"/>
      <c r="AB33" s="1519"/>
      <c r="AC33" s="1519"/>
      <c r="AD33" s="1519"/>
      <c r="AE33" s="1519"/>
      <c r="AF33" s="1520"/>
      <c r="AG33" s="10"/>
      <c r="AH33" s="10"/>
      <c r="AI33" s="7"/>
      <c r="AJ33" s="7"/>
      <c r="AK33" s="10"/>
      <c r="AL33" s="10"/>
      <c r="AM33" s="10"/>
      <c r="AN33" s="10"/>
    </row>
    <row r="34" spans="1:40" ht="14.25">
      <c r="A34" s="1536" t="s">
        <v>927</v>
      </c>
      <c r="B34" s="233">
        <v>26</v>
      </c>
      <c r="C34" s="237" t="s">
        <v>928</v>
      </c>
      <c r="D34" s="972">
        <f>D22+D26+D27+D28+D31</f>
        <v>-324721</v>
      </c>
      <c r="E34" s="973">
        <f>E22+E26+E27+E28+E31</f>
        <v>62561</v>
      </c>
      <c r="F34" s="974">
        <f>F22+F26+F27+F28+F31</f>
        <v>282779</v>
      </c>
      <c r="G34" s="975">
        <f t="shared" ref="G34:AF34" si="34">G22+G26+G27+G28+G31</f>
        <v>621896.84590397635</v>
      </c>
      <c r="H34" s="976">
        <f t="shared" si="34"/>
        <v>337662.89637475973</v>
      </c>
      <c r="I34" s="976">
        <f t="shared" si="34"/>
        <v>424527.18068121269</v>
      </c>
      <c r="J34" s="977">
        <f t="shared" si="34"/>
        <v>541028.46642395412</v>
      </c>
      <c r="K34" s="978">
        <f t="shared" si="34"/>
        <v>567333.9737029057</v>
      </c>
      <c r="L34" s="976">
        <f t="shared" si="34"/>
        <v>673866.3767650536</v>
      </c>
      <c r="M34" s="976">
        <f t="shared" si="34"/>
        <v>821605.53245692397</v>
      </c>
      <c r="N34" s="976">
        <f t="shared" si="34"/>
        <v>950046.66339836887</v>
      </c>
      <c r="O34" s="976">
        <f t="shared" si="34"/>
        <v>1150016.648972318</v>
      </c>
      <c r="P34" s="976">
        <f t="shared" si="34"/>
        <v>1339671.1350699796</v>
      </c>
      <c r="Q34" s="976">
        <f t="shared" si="34"/>
        <v>1545128.579157569</v>
      </c>
      <c r="R34" s="976">
        <f t="shared" si="34"/>
        <v>1721170.6190888397</v>
      </c>
      <c r="S34" s="976">
        <f t="shared" si="34"/>
        <v>1892756.2858000507</v>
      </c>
      <c r="T34" s="976">
        <f t="shared" si="34"/>
        <v>2046501.9046239797</v>
      </c>
      <c r="U34" s="976">
        <f t="shared" si="34"/>
        <v>2200738.3782774257</v>
      </c>
      <c r="V34" s="976">
        <f t="shared" si="34"/>
        <v>2364474.6849128986</v>
      </c>
      <c r="W34" s="976">
        <f t="shared" si="34"/>
        <v>2538116.2723486931</v>
      </c>
      <c r="X34" s="976">
        <f t="shared" si="34"/>
        <v>2722100.4359984533</v>
      </c>
      <c r="Y34" s="976">
        <f t="shared" si="34"/>
        <v>2917212.2753368006</v>
      </c>
      <c r="Z34" s="976">
        <f t="shared" si="34"/>
        <v>3124063.9709667787</v>
      </c>
      <c r="AA34" s="976">
        <f t="shared" si="34"/>
        <v>3325185.925514726</v>
      </c>
      <c r="AB34" s="976">
        <f t="shared" si="34"/>
        <v>3529865.7626743377</v>
      </c>
      <c r="AC34" s="976">
        <f t="shared" si="34"/>
        <v>3744846.5727436119</v>
      </c>
      <c r="AD34" s="976">
        <f t="shared" si="34"/>
        <v>3949609.0313569847</v>
      </c>
      <c r="AE34" s="976">
        <f t="shared" si="34"/>
        <v>4154913.527362131</v>
      </c>
      <c r="AF34" s="977">
        <f t="shared" si="34"/>
        <v>4334334.2740875706</v>
      </c>
      <c r="AG34" s="359"/>
      <c r="AH34" s="7"/>
      <c r="AI34" s="7"/>
      <c r="AJ34" s="7"/>
      <c r="AK34" s="10"/>
      <c r="AL34" s="10"/>
      <c r="AM34" s="10"/>
      <c r="AN34" s="10"/>
    </row>
    <row r="35" spans="1:40" s="3" customFormat="1" ht="14.25">
      <c r="A35" s="1536"/>
      <c r="B35" s="233">
        <v>27</v>
      </c>
      <c r="C35" s="237" t="s">
        <v>929</v>
      </c>
      <c r="D35" s="958">
        <f>-1*(D29+D30)</f>
        <v>0</v>
      </c>
      <c r="E35" s="959">
        <f t="shared" ref="E35:AF35" si="35">-1*(E29+E30)</f>
        <v>150000</v>
      </c>
      <c r="F35" s="960">
        <f>-1*(F29+F30)</f>
        <v>150000</v>
      </c>
      <c r="G35" s="972">
        <f t="shared" si="35"/>
        <v>150000</v>
      </c>
      <c r="H35" s="979">
        <f t="shared" si="35"/>
        <v>200000</v>
      </c>
      <c r="I35" s="979">
        <f t="shared" si="35"/>
        <v>200000</v>
      </c>
      <c r="J35" s="980">
        <f t="shared" si="35"/>
        <v>250000</v>
      </c>
      <c r="K35" s="979">
        <f t="shared" si="35"/>
        <v>1297520.4816948087</v>
      </c>
      <c r="L35" s="979">
        <f t="shared" si="35"/>
        <v>514518.40048665344</v>
      </c>
      <c r="M35" s="979">
        <f t="shared" si="35"/>
        <v>630387.96092284401</v>
      </c>
      <c r="N35" s="979">
        <f t="shared" si="35"/>
        <v>755004.74043360795</v>
      </c>
      <c r="O35" s="979">
        <f t="shared" si="35"/>
        <v>948664.54614693206</v>
      </c>
      <c r="P35" s="979">
        <f t="shared" si="35"/>
        <v>1108116.2168207853</v>
      </c>
      <c r="Q35" s="979">
        <f t="shared" si="35"/>
        <v>1367603.1418331868</v>
      </c>
      <c r="R35" s="979">
        <f t="shared" si="35"/>
        <v>1525892.6380320196</v>
      </c>
      <c r="S35" s="979">
        <f t="shared" si="35"/>
        <v>1720911.6624700488</v>
      </c>
      <c r="T35" s="979">
        <f t="shared" si="35"/>
        <v>1907307.7597266771</v>
      </c>
      <c r="U35" s="979">
        <f t="shared" si="35"/>
        <v>2053192.5846862863</v>
      </c>
      <c r="V35" s="979">
        <f t="shared" si="35"/>
        <v>2208076.1437062901</v>
      </c>
      <c r="W35" s="979">
        <f t="shared" si="35"/>
        <v>2372333.8186696884</v>
      </c>
      <c r="X35" s="979">
        <f t="shared" si="35"/>
        <v>2546371.0350987087</v>
      </c>
      <c r="Y35" s="979">
        <f t="shared" si="35"/>
        <v>2730939.110383071</v>
      </c>
      <c r="Z35" s="979">
        <f t="shared" si="35"/>
        <v>2926614.4161158251</v>
      </c>
      <c r="AA35" s="979">
        <f t="shared" si="35"/>
        <v>3150772.1520630503</v>
      </c>
      <c r="AB35" s="979">
        <f t="shared" si="35"/>
        <v>3346731.3005500776</v>
      </c>
      <c r="AC35" s="979">
        <f t="shared" si="35"/>
        <v>3552555.3875131398</v>
      </c>
      <c r="AD35" s="979">
        <f t="shared" si="35"/>
        <v>3788084.4357633879</v>
      </c>
      <c r="AE35" s="979">
        <f t="shared" si="35"/>
        <v>3986927.9479447911</v>
      </c>
      <c r="AF35" s="980">
        <f t="shared" si="35"/>
        <v>4225143.6474663001</v>
      </c>
      <c r="AG35" s="359"/>
      <c r="AH35" s="377"/>
      <c r="AI35" s="377"/>
      <c r="AJ35" s="377"/>
      <c r="AK35" s="375"/>
      <c r="AL35" s="375"/>
      <c r="AM35" s="375"/>
      <c r="AN35" s="375"/>
    </row>
    <row r="36" spans="1:40" s="7" customFormat="1" ht="14.65" thickBot="1">
      <c r="A36" s="1536"/>
      <c r="B36" s="234">
        <v>28</v>
      </c>
      <c r="C36" s="232" t="s">
        <v>930</v>
      </c>
      <c r="D36" s="981">
        <f>D34-D35</f>
        <v>-324721</v>
      </c>
      <c r="E36" s="982">
        <f>E34-E35</f>
        <v>-87439</v>
      </c>
      <c r="F36" s="983">
        <f>F34-F35</f>
        <v>132779</v>
      </c>
      <c r="G36" s="984">
        <f>G34-G35</f>
        <v>471896.84590397635</v>
      </c>
      <c r="H36" s="985">
        <f t="shared" ref="H36:AF36" si="36">H34-H35</f>
        <v>137662.89637475973</v>
      </c>
      <c r="I36" s="985">
        <f t="shared" si="36"/>
        <v>224527.18068121269</v>
      </c>
      <c r="J36" s="986">
        <f t="shared" si="36"/>
        <v>291028.46642395412</v>
      </c>
      <c r="K36" s="985">
        <f t="shared" si="36"/>
        <v>-730186.507991903</v>
      </c>
      <c r="L36" s="985">
        <f t="shared" si="36"/>
        <v>159347.97627840017</v>
      </c>
      <c r="M36" s="985">
        <f t="shared" si="36"/>
        <v>191217.57153407997</v>
      </c>
      <c r="N36" s="985">
        <f t="shared" si="36"/>
        <v>195041.92296476092</v>
      </c>
      <c r="O36" s="985">
        <f t="shared" si="36"/>
        <v>201352.10282538598</v>
      </c>
      <c r="P36" s="985">
        <f t="shared" si="36"/>
        <v>231554.91824919428</v>
      </c>
      <c r="Q36" s="985">
        <f t="shared" si="36"/>
        <v>177525.43732438213</v>
      </c>
      <c r="R36" s="985">
        <f t="shared" si="36"/>
        <v>195277.98105682014</v>
      </c>
      <c r="S36" s="985">
        <f t="shared" si="36"/>
        <v>171844.62333000195</v>
      </c>
      <c r="T36" s="985">
        <f t="shared" si="36"/>
        <v>139194.14489730261</v>
      </c>
      <c r="U36" s="985">
        <f t="shared" si="36"/>
        <v>147545.79359113937</v>
      </c>
      <c r="V36" s="985">
        <f t="shared" si="36"/>
        <v>156398.54120660853</v>
      </c>
      <c r="W36" s="985">
        <f t="shared" si="36"/>
        <v>165782.45367900468</v>
      </c>
      <c r="X36" s="985">
        <f t="shared" si="36"/>
        <v>175729.40089974459</v>
      </c>
      <c r="Y36" s="985">
        <f t="shared" si="36"/>
        <v>186273.1649537296</v>
      </c>
      <c r="Z36" s="985">
        <f t="shared" si="36"/>
        <v>197449.55485095363</v>
      </c>
      <c r="AA36" s="985">
        <f t="shared" si="36"/>
        <v>174413.77345167566</v>
      </c>
      <c r="AB36" s="985">
        <f t="shared" si="36"/>
        <v>183134.46212426014</v>
      </c>
      <c r="AC36" s="985">
        <f t="shared" si="36"/>
        <v>192291.18523047213</v>
      </c>
      <c r="AD36" s="985">
        <f t="shared" si="36"/>
        <v>161524.59559359681</v>
      </c>
      <c r="AE36" s="985">
        <f t="shared" si="36"/>
        <v>167985.57941733999</v>
      </c>
      <c r="AF36" s="986">
        <f t="shared" si="36"/>
        <v>109190.62662127055</v>
      </c>
      <c r="AG36" s="359"/>
      <c r="AK36" s="10"/>
      <c r="AL36" s="10"/>
      <c r="AM36" s="10"/>
      <c r="AN36" s="10"/>
    </row>
    <row r="37" spans="1:40" ht="14.65" thickBot="1">
      <c r="A37" s="242"/>
      <c r="B37" s="240"/>
      <c r="C37" s="241"/>
      <c r="D37" s="339"/>
      <c r="E37" s="339"/>
      <c r="F37" s="339"/>
      <c r="G37" s="339"/>
      <c r="H37" s="339"/>
      <c r="I37" s="339"/>
      <c r="J37" s="339"/>
      <c r="K37" s="339"/>
      <c r="L37" s="339"/>
      <c r="M37" s="339"/>
      <c r="N37" s="339"/>
      <c r="O37" s="339"/>
      <c r="P37" s="339"/>
      <c r="Q37" s="339"/>
      <c r="R37" s="339"/>
      <c r="S37" s="339"/>
      <c r="T37" s="339"/>
      <c r="U37" s="339"/>
      <c r="V37" s="339"/>
      <c r="W37" s="339"/>
      <c r="X37" s="339"/>
      <c r="Y37" s="339"/>
      <c r="Z37" s="339"/>
      <c r="AA37" s="339"/>
      <c r="AB37" s="339"/>
      <c r="AC37" s="339"/>
      <c r="AD37" s="339"/>
      <c r="AE37" s="339"/>
      <c r="AF37" s="340"/>
      <c r="AG37" s="359"/>
      <c r="AH37" s="7"/>
      <c r="AI37" s="7"/>
      <c r="AJ37" s="7"/>
      <c r="AK37" s="10"/>
      <c r="AL37" s="10"/>
      <c r="AM37" s="10"/>
      <c r="AN37" s="10"/>
    </row>
    <row r="38" spans="1:40" ht="14.25">
      <c r="A38" s="1537" t="s">
        <v>931</v>
      </c>
      <c r="B38" s="235">
        <v>29</v>
      </c>
      <c r="C38" s="237" t="s">
        <v>932</v>
      </c>
      <c r="D38" s="951">
        <v>68569</v>
      </c>
      <c r="E38" s="952">
        <v>68569</v>
      </c>
      <c r="F38" s="953">
        <v>72769</v>
      </c>
      <c r="G38" s="954">
        <f>F38*(1.2)</f>
        <v>87322.8</v>
      </c>
      <c r="H38" s="955">
        <f t="shared" ref="H38:J38" si="37">G38*(1.2)</f>
        <v>104787.36</v>
      </c>
      <c r="I38" s="955">
        <f t="shared" si="37"/>
        <v>125744.83199999999</v>
      </c>
      <c r="J38" s="956">
        <f t="shared" si="37"/>
        <v>150893.7984</v>
      </c>
      <c r="K38" s="957">
        <f>J38*(1.15)</f>
        <v>173527.86815999998</v>
      </c>
      <c r="L38" s="955">
        <f t="shared" ref="L38:R38" si="38">K38*(1.15)</f>
        <v>199557.04838399997</v>
      </c>
      <c r="M38" s="955">
        <f t="shared" si="38"/>
        <v>229490.60564159995</v>
      </c>
      <c r="N38" s="955">
        <f t="shared" si="38"/>
        <v>263914.19648783992</v>
      </c>
      <c r="O38" s="955">
        <f t="shared" si="38"/>
        <v>303501.32596101589</v>
      </c>
      <c r="P38" s="955">
        <f t="shared" si="38"/>
        <v>349026.52485516825</v>
      </c>
      <c r="Q38" s="955">
        <f t="shared" si="38"/>
        <v>401380.50358344347</v>
      </c>
      <c r="R38" s="955">
        <f t="shared" si="38"/>
        <v>461587.57912095997</v>
      </c>
      <c r="S38" s="955">
        <f>R38*(1+R5)</f>
        <v>507746.33703305601</v>
      </c>
      <c r="T38" s="955">
        <f t="shared" ref="T38:AF38" si="39">S38*(1+S5)</f>
        <v>548366.04399570054</v>
      </c>
      <c r="U38" s="955">
        <f t="shared" si="39"/>
        <v>581268.00663544261</v>
      </c>
      <c r="V38" s="955">
        <f t="shared" si="39"/>
        <v>616144.08703356923</v>
      </c>
      <c r="W38" s="955">
        <f t="shared" si="39"/>
        <v>653112.7322555834</v>
      </c>
      <c r="X38" s="955">
        <f t="shared" si="39"/>
        <v>692299.49619091838</v>
      </c>
      <c r="Y38" s="955">
        <f t="shared" si="39"/>
        <v>733837.46596237354</v>
      </c>
      <c r="Z38" s="955">
        <f t="shared" si="39"/>
        <v>777867.71392011596</v>
      </c>
      <c r="AA38" s="955">
        <f t="shared" si="39"/>
        <v>824539.77675532294</v>
      </c>
      <c r="AB38" s="955">
        <f t="shared" si="39"/>
        <v>865766.76559308916</v>
      </c>
      <c r="AC38" s="955">
        <f t="shared" si="39"/>
        <v>909055.10387274367</v>
      </c>
      <c r="AD38" s="955">
        <f t="shared" si="39"/>
        <v>954507.85906638089</v>
      </c>
      <c r="AE38" s="955">
        <f t="shared" si="39"/>
        <v>992688.17342903616</v>
      </c>
      <c r="AF38" s="956">
        <f t="shared" si="39"/>
        <v>1032395.7003661976</v>
      </c>
      <c r="AG38" s="360">
        <f>SUM(G38:AF38)</f>
        <v>13540329.704703558</v>
      </c>
      <c r="AH38" s="7"/>
      <c r="AI38" s="7"/>
      <c r="AJ38" s="7"/>
      <c r="AK38" s="10"/>
      <c r="AL38" s="10"/>
      <c r="AM38" s="10"/>
      <c r="AN38" s="10"/>
    </row>
    <row r="39" spans="1:40" ht="14.25">
      <c r="A39" s="1536"/>
      <c r="B39" s="235">
        <v>30</v>
      </c>
      <c r="C39" s="237" t="s">
        <v>933</v>
      </c>
      <c r="D39" s="958">
        <v>23094</v>
      </c>
      <c r="E39" s="959">
        <v>34042</v>
      </c>
      <c r="F39" s="960">
        <v>44478</v>
      </c>
      <c r="G39" s="961">
        <f>F39-G10</f>
        <v>103738.5</v>
      </c>
      <c r="H39" s="962">
        <f t="shared" ref="H39:AF39" si="40">G39-H10</f>
        <v>170110.26</v>
      </c>
      <c r="I39" s="962">
        <f t="shared" si="40"/>
        <v>245774.06640000001</v>
      </c>
      <c r="J39" s="963">
        <f t="shared" si="40"/>
        <v>334300.71988800005</v>
      </c>
      <c r="K39" s="964">
        <f>J39-K10</f>
        <v>440532.70407360006</v>
      </c>
      <c r="L39" s="962">
        <f t="shared" si="40"/>
        <v>568011.08509632002</v>
      </c>
      <c r="M39" s="962">
        <f t="shared" si="40"/>
        <v>720985.14232358395</v>
      </c>
      <c r="N39" s="962">
        <f t="shared" si="40"/>
        <v>899964.78927948279</v>
      </c>
      <c r="O39" s="962">
        <f t="shared" si="40"/>
        <v>1105791.3832787664</v>
      </c>
      <c r="P39" s="962">
        <f t="shared" si="40"/>
        <v>1342491.9663779426</v>
      </c>
      <c r="Q39" s="962">
        <f t="shared" si="40"/>
        <v>1602862.6077870363</v>
      </c>
      <c r="R39" s="962">
        <f t="shared" si="40"/>
        <v>1889270.3133370394</v>
      </c>
      <c r="S39" s="962">
        <f t="shared" si="40"/>
        <v>2198590.635331043</v>
      </c>
      <c r="T39" s="962">
        <f t="shared" si="40"/>
        <v>2526470.1766446866</v>
      </c>
      <c r="U39" s="962">
        <f t="shared" si="40"/>
        <v>2874022.4904371491</v>
      </c>
      <c r="V39" s="962">
        <f t="shared" si="40"/>
        <v>3242427.943057159</v>
      </c>
      <c r="W39" s="962">
        <f t="shared" si="40"/>
        <v>3632937.7228343696</v>
      </c>
      <c r="X39" s="962">
        <f t="shared" si="40"/>
        <v>4046878.0893982127</v>
      </c>
      <c r="Y39" s="962">
        <f t="shared" si="40"/>
        <v>4485654.8779558865</v>
      </c>
      <c r="Z39" s="962">
        <f t="shared" si="40"/>
        <v>4950758.273827021</v>
      </c>
      <c r="AA39" s="962">
        <f t="shared" si="40"/>
        <v>5439116.8394917119</v>
      </c>
      <c r="AB39" s="962">
        <f t="shared" si="40"/>
        <v>5951893.3334396379</v>
      </c>
      <c r="AC39" s="962">
        <f t="shared" si="40"/>
        <v>6490308.6520849597</v>
      </c>
      <c r="AD39" s="962">
        <f t="shared" si="40"/>
        <v>7050260.5834760945</v>
      </c>
      <c r="AE39" s="962">
        <f t="shared" si="40"/>
        <v>7632610.5921228752</v>
      </c>
      <c r="AF39" s="963">
        <f t="shared" si="40"/>
        <v>8229519.3509858251</v>
      </c>
      <c r="AG39" s="360">
        <f>SUM(G39:AF39)</f>
        <v>78175283.098928422</v>
      </c>
      <c r="AH39" s="7"/>
      <c r="AI39" s="7"/>
      <c r="AJ39" s="7"/>
      <c r="AK39" s="10"/>
      <c r="AL39" s="10"/>
      <c r="AM39" s="10"/>
      <c r="AN39" s="10"/>
    </row>
    <row r="40" spans="1:40" ht="14.25">
      <c r="A40" s="1536"/>
      <c r="B40" s="235">
        <v>31</v>
      </c>
      <c r="C40" s="237" t="s">
        <v>934</v>
      </c>
      <c r="D40" s="958">
        <v>135668</v>
      </c>
      <c r="E40" s="959">
        <v>141955</v>
      </c>
      <c r="F40" s="960">
        <v>135668</v>
      </c>
      <c r="G40" s="961">
        <f>F40+(-G23)</f>
        <v>196448</v>
      </c>
      <c r="H40" s="962">
        <f t="shared" ref="H40:AF40" si="41">G40+(-H23)</f>
        <v>264521.59999999998</v>
      </c>
      <c r="I40" s="962">
        <f t="shared" si="41"/>
        <v>342125.50399999996</v>
      </c>
      <c r="J40" s="963">
        <f t="shared" si="41"/>
        <v>432922.07167999994</v>
      </c>
      <c r="K40" s="964">
        <f t="shared" si="41"/>
        <v>596355.89350399992</v>
      </c>
      <c r="L40" s="962">
        <f t="shared" si="41"/>
        <v>792476.47969279985</v>
      </c>
      <c r="M40" s="962">
        <f t="shared" si="41"/>
        <v>1027821.1831193598</v>
      </c>
      <c r="N40" s="962">
        <f t="shared" si="41"/>
        <v>1303174.486128435</v>
      </c>
      <c r="O40" s="962">
        <f t="shared" si="41"/>
        <v>1619830.7845888713</v>
      </c>
      <c r="P40" s="962">
        <f t="shared" si="41"/>
        <v>1983985.5278183729</v>
      </c>
      <c r="Q40" s="962">
        <f t="shared" si="41"/>
        <v>2384555.7453708248</v>
      </c>
      <c r="R40" s="962">
        <f t="shared" si="41"/>
        <v>2825182.9846785218</v>
      </c>
      <c r="S40" s="962">
        <f t="shared" si="41"/>
        <v>3301060.4031308349</v>
      </c>
      <c r="T40" s="962">
        <f t="shared" si="41"/>
        <v>3805490.4666902865</v>
      </c>
      <c r="U40" s="962">
        <f t="shared" si="41"/>
        <v>4340186.3340633055</v>
      </c>
      <c r="V40" s="962">
        <f t="shared" si="41"/>
        <v>4906963.9534787051</v>
      </c>
      <c r="W40" s="962">
        <f t="shared" si="41"/>
        <v>5507748.2300590295</v>
      </c>
      <c r="X40" s="962">
        <f t="shared" si="41"/>
        <v>6144579.5632341728</v>
      </c>
      <c r="Y40" s="962">
        <f t="shared" si="41"/>
        <v>6819620.7763998248</v>
      </c>
      <c r="Z40" s="962">
        <f t="shared" si="41"/>
        <v>7535164.4623554163</v>
      </c>
      <c r="AA40" s="962">
        <f t="shared" si="41"/>
        <v>8286485.3326087873</v>
      </c>
      <c r="AB40" s="962">
        <f t="shared" si="41"/>
        <v>9075372.2463748269</v>
      </c>
      <c r="AC40" s="962">
        <f t="shared" si="41"/>
        <v>9903703.5058291685</v>
      </c>
      <c r="AD40" s="962">
        <f t="shared" si="41"/>
        <v>10765168.015661683</v>
      </c>
      <c r="AE40" s="962">
        <f t="shared" si="41"/>
        <v>11661091.105887499</v>
      </c>
      <c r="AF40" s="963">
        <f t="shared" si="41"/>
        <v>12579412.27336896</v>
      </c>
      <c r="AG40" s="360">
        <f>SUM(G40:AF40)</f>
        <v>118401446.92972369</v>
      </c>
      <c r="AH40" s="7"/>
      <c r="AI40" s="7"/>
      <c r="AJ40" s="7"/>
      <c r="AK40" s="10"/>
      <c r="AL40" s="10"/>
      <c r="AM40" s="10"/>
      <c r="AN40" s="10"/>
    </row>
    <row r="41" spans="1:40" ht="14.65" thickBot="1">
      <c r="A41" s="1536"/>
      <c r="B41" s="236">
        <v>32</v>
      </c>
      <c r="C41" s="232" t="s">
        <v>935</v>
      </c>
      <c r="D41" s="965">
        <v>72829</v>
      </c>
      <c r="E41" s="966">
        <v>77886</v>
      </c>
      <c r="F41" s="967">
        <v>90582</v>
      </c>
      <c r="G41" s="968">
        <f>F41-G9</f>
        <v>108218.84</v>
      </c>
      <c r="H41" s="969">
        <f t="shared" ref="H41:AF41" si="42">G41-H9</f>
        <v>133757.07999999999</v>
      </c>
      <c r="I41" s="969">
        <f t="shared" si="42"/>
        <v>168144.88799999998</v>
      </c>
      <c r="J41" s="970">
        <f t="shared" si="42"/>
        <v>212621.20351999998</v>
      </c>
      <c r="K41" s="971">
        <f t="shared" si="42"/>
        <v>255913.41068799997</v>
      </c>
      <c r="L41" s="969">
        <f t="shared" si="42"/>
        <v>315549.00003839994</v>
      </c>
      <c r="M41" s="969">
        <f t="shared" si="42"/>
        <v>394796.64800767996</v>
      </c>
      <c r="N41" s="969">
        <f t="shared" si="42"/>
        <v>497578.76631961594</v>
      </c>
      <c r="O41" s="969">
        <f t="shared" si="42"/>
        <v>627896.21493245941</v>
      </c>
      <c r="P41" s="969">
        <f t="shared" si="42"/>
        <v>789879.29339134658</v>
      </c>
      <c r="Q41" s="969">
        <f t="shared" si="42"/>
        <v>988277.84617318388</v>
      </c>
      <c r="R41" s="969">
        <f t="shared" si="42"/>
        <v>1226733.4207102663</v>
      </c>
      <c r="S41" s="969">
        <f t="shared" si="42"/>
        <v>1509251.7191781185</v>
      </c>
      <c r="T41" s="969">
        <f t="shared" si="42"/>
        <v>1839357.759491202</v>
      </c>
      <c r="U41" s="969">
        <f t="shared" si="42"/>
        <v>2219906.8061602307</v>
      </c>
      <c r="V41" s="969">
        <f t="shared" si="42"/>
        <v>2653925.439566561</v>
      </c>
      <c r="W41" s="969">
        <f t="shared" si="42"/>
        <v>3144621.8349144314</v>
      </c>
      <c r="X41" s="969">
        <f t="shared" si="42"/>
        <v>3695396.6579203345</v>
      </c>
      <c r="Y41" s="969">
        <f t="shared" si="42"/>
        <v>4309854.6142437514</v>
      </c>
      <c r="Z41" s="969">
        <f t="shared" si="42"/>
        <v>4991816.6918837335</v>
      </c>
      <c r="AA41" s="969">
        <f t="shared" si="42"/>
        <v>5745333.1381192748</v>
      </c>
      <c r="AB41" s="969">
        <f t="shared" si="42"/>
        <v>6573981.6713801539</v>
      </c>
      <c r="AC41" s="969">
        <f t="shared" si="42"/>
        <v>7481518.8960176371</v>
      </c>
      <c r="AD41" s="969">
        <f t="shared" si="42"/>
        <v>8471889.2466005534</v>
      </c>
      <c r="AE41" s="969">
        <f t="shared" si="42"/>
        <v>9548406.0481667221</v>
      </c>
      <c r="AF41" s="970">
        <f t="shared" si="42"/>
        <v>10714515.158755472</v>
      </c>
      <c r="AG41" s="360">
        <f>SUM(G41:AF41)</f>
        <v>78619142.294179127</v>
      </c>
      <c r="AH41" s="7"/>
      <c r="AI41" s="7"/>
      <c r="AJ41" s="7"/>
      <c r="AK41" s="10"/>
      <c r="AL41" s="10"/>
      <c r="AM41" s="10"/>
      <c r="AN41" s="10"/>
    </row>
    <row r="42" spans="1:40" s="7" customFormat="1" ht="14.65" thickBot="1">
      <c r="A42" s="1538"/>
      <c r="B42" s="1539"/>
      <c r="C42" s="1539"/>
      <c r="D42" s="1539"/>
      <c r="E42" s="1539"/>
      <c r="F42" s="1539"/>
      <c r="G42" s="1539"/>
      <c r="H42" s="1539"/>
      <c r="I42" s="1539"/>
      <c r="J42" s="1539"/>
      <c r="K42" s="1539"/>
      <c r="L42" s="1539"/>
      <c r="M42" s="1539"/>
      <c r="N42" s="1539"/>
      <c r="O42" s="1539"/>
      <c r="P42" s="1539"/>
      <c r="Q42" s="1539"/>
      <c r="R42" s="1539"/>
      <c r="S42" s="1539"/>
      <c r="T42" s="1539"/>
      <c r="U42" s="1539"/>
      <c r="V42" s="1539"/>
      <c r="W42" s="1539"/>
      <c r="X42" s="1539"/>
      <c r="Y42" s="1539"/>
      <c r="Z42" s="1539"/>
      <c r="AA42" s="1539"/>
      <c r="AB42" s="1539"/>
      <c r="AC42" s="1539"/>
      <c r="AD42" s="1539"/>
      <c r="AE42" s="1539"/>
      <c r="AF42" s="1540"/>
      <c r="AG42" s="359"/>
      <c r="AK42" s="10"/>
      <c r="AL42" s="10"/>
      <c r="AM42" s="10"/>
      <c r="AN42" s="10"/>
    </row>
    <row r="43" spans="1:40" ht="15" customHeight="1">
      <c r="A43" s="1529" t="s">
        <v>936</v>
      </c>
      <c r="B43" s="233">
        <v>33</v>
      </c>
      <c r="C43" s="237" t="s">
        <v>937</v>
      </c>
      <c r="D43" s="937">
        <v>139756</v>
      </c>
      <c r="E43" s="987">
        <v>288767</v>
      </c>
      <c r="F43" s="988">
        <v>401811</v>
      </c>
      <c r="G43" s="937">
        <f>G36+F43</f>
        <v>873707.84590397635</v>
      </c>
      <c r="H43" s="939">
        <f t="shared" ref="H43:AF43" si="43">H36+G43</f>
        <v>1011370.7422787361</v>
      </c>
      <c r="I43" s="939">
        <f t="shared" si="43"/>
        <v>1235897.9229599489</v>
      </c>
      <c r="J43" s="940">
        <f t="shared" si="43"/>
        <v>1526926.389383903</v>
      </c>
      <c r="K43" s="941">
        <f t="shared" si="43"/>
        <v>796739.88139200001</v>
      </c>
      <c r="L43" s="524">
        <f t="shared" si="43"/>
        <v>956087.85767040018</v>
      </c>
      <c r="M43" s="942">
        <f t="shared" si="43"/>
        <v>1147305.4292044803</v>
      </c>
      <c r="N43" s="942">
        <f t="shared" si="43"/>
        <v>1342347.3521692413</v>
      </c>
      <c r="O43" s="942">
        <f t="shared" si="43"/>
        <v>1543699.4549946273</v>
      </c>
      <c r="P43" s="942">
        <f t="shared" si="43"/>
        <v>1775254.3732438216</v>
      </c>
      <c r="Q43" s="942">
        <f t="shared" si="43"/>
        <v>1952779.8105682037</v>
      </c>
      <c r="R43" s="942">
        <f t="shared" si="43"/>
        <v>2148057.7916250238</v>
      </c>
      <c r="S43" s="942">
        <f t="shared" si="43"/>
        <v>2319902.4149550255</v>
      </c>
      <c r="T43" s="942">
        <f t="shared" si="43"/>
        <v>2459096.5598523282</v>
      </c>
      <c r="U43" s="942">
        <f t="shared" si="43"/>
        <v>2606642.3534434675</v>
      </c>
      <c r="V43" s="942">
        <f t="shared" si="43"/>
        <v>2763040.8946500761</v>
      </c>
      <c r="W43" s="942">
        <f t="shared" si="43"/>
        <v>2928823.3483290807</v>
      </c>
      <c r="X43" s="942">
        <f t="shared" si="43"/>
        <v>3104552.7492288253</v>
      </c>
      <c r="Y43" s="942">
        <f t="shared" si="43"/>
        <v>3290825.9141825549</v>
      </c>
      <c r="Z43" s="942">
        <f t="shared" si="43"/>
        <v>3488275.4690335086</v>
      </c>
      <c r="AA43" s="942">
        <f t="shared" si="43"/>
        <v>3662689.2424851842</v>
      </c>
      <c r="AB43" s="942">
        <f t="shared" si="43"/>
        <v>3845823.7046094444</v>
      </c>
      <c r="AC43" s="942">
        <f t="shared" si="43"/>
        <v>4038114.8898399165</v>
      </c>
      <c r="AD43" s="942">
        <f t="shared" si="43"/>
        <v>4199639.4854335133</v>
      </c>
      <c r="AE43" s="942">
        <f t="shared" si="43"/>
        <v>4367625.0648508538</v>
      </c>
      <c r="AF43" s="943">
        <f t="shared" si="43"/>
        <v>4476815.6914721243</v>
      </c>
      <c r="AG43" s="359"/>
      <c r="AH43" s="7"/>
      <c r="AI43" s="7"/>
      <c r="AJ43" s="7"/>
      <c r="AK43" s="10"/>
      <c r="AL43" s="10"/>
      <c r="AM43" s="10"/>
      <c r="AN43" s="10"/>
    </row>
    <row r="44" spans="1:40" ht="14.25">
      <c r="A44" s="1529"/>
      <c r="B44" s="233">
        <v>34</v>
      </c>
      <c r="C44" s="237" t="s">
        <v>299</v>
      </c>
      <c r="D44" s="937">
        <v>0</v>
      </c>
      <c r="E44" s="987">
        <v>0</v>
      </c>
      <c r="F44" s="933">
        <v>0</v>
      </c>
      <c r="G44" s="933">
        <f>Assumptions!F266</f>
        <v>325000</v>
      </c>
      <c r="H44" s="933">
        <f>Assumptions!F267</f>
        <v>292500</v>
      </c>
      <c r="I44" s="933">
        <f>Assumptions!F268</f>
        <v>260000</v>
      </c>
      <c r="J44" s="933">
        <f>Assumptions!F269</f>
        <v>227500</v>
      </c>
      <c r="K44" s="936">
        <f>Assumptions!F270</f>
        <v>195000</v>
      </c>
      <c r="L44" s="938">
        <f>Assumptions!F271</f>
        <v>162500</v>
      </c>
      <c r="M44" s="938">
        <f>Assumptions!F272</f>
        <v>130000</v>
      </c>
      <c r="N44" s="938">
        <f>Assumptions!F274</f>
        <v>65000</v>
      </c>
      <c r="O44" s="938">
        <f>Assumptions!F275</f>
        <v>32500</v>
      </c>
      <c r="P44" s="938"/>
      <c r="Q44" s="938"/>
      <c r="R44" s="938"/>
      <c r="S44" s="938"/>
      <c r="T44" s="938"/>
      <c r="U44" s="938"/>
      <c r="V44" s="938"/>
      <c r="W44" s="938"/>
      <c r="X44" s="938"/>
      <c r="Y44" s="938"/>
      <c r="Z44" s="938"/>
      <c r="AA44" s="938"/>
      <c r="AB44" s="938"/>
      <c r="AC44" s="938"/>
      <c r="AD44" s="938"/>
      <c r="AE44" s="938"/>
      <c r="AF44" s="938"/>
      <c r="AG44" s="374"/>
      <c r="AH44" s="10"/>
      <c r="AI44" s="10"/>
      <c r="AJ44" s="10"/>
      <c r="AK44" s="10"/>
      <c r="AL44" s="10"/>
      <c r="AM44" s="10"/>
      <c r="AN44" s="10"/>
    </row>
    <row r="45" spans="1:40" ht="14.25">
      <c r="A45" s="1529"/>
      <c r="B45" s="233">
        <v>35</v>
      </c>
      <c r="C45" s="237" t="s">
        <v>938</v>
      </c>
      <c r="D45" s="436"/>
      <c r="E45" s="338"/>
      <c r="F45" s="437">
        <f>1/((1+$F$50)^G50)</f>
        <v>1</v>
      </c>
      <c r="G45" s="297">
        <f t="shared" ref="G45:AF45" si="44">1/((1+$F$50)^G49)</f>
        <v>0.91240875912408748</v>
      </c>
      <c r="H45" s="283">
        <f t="shared" si="44"/>
        <v>0.83248974372635709</v>
      </c>
      <c r="I45" s="283">
        <f t="shared" si="44"/>
        <v>0.75957093405689513</v>
      </c>
      <c r="J45" s="298">
        <f t="shared" si="44"/>
        <v>0.69303917340957566</v>
      </c>
      <c r="K45" s="297">
        <f t="shared" si="44"/>
        <v>0.6323350122350142</v>
      </c>
      <c r="L45" s="283">
        <f t="shared" si="44"/>
        <v>0.57694800386406409</v>
      </c>
      <c r="M45" s="283">
        <f t="shared" si="44"/>
        <v>0.52641241228473001</v>
      </c>
      <c r="N45" s="283">
        <f t="shared" si="44"/>
        <v>0.48030329588022797</v>
      </c>
      <c r="O45" s="283">
        <f t="shared" si="44"/>
        <v>0.43823293419728826</v>
      </c>
      <c r="P45" s="283">
        <f t="shared" si="44"/>
        <v>0.39984756769825563</v>
      </c>
      <c r="Q45" s="283">
        <f t="shared" si="44"/>
        <v>0.36482442308235002</v>
      </c>
      <c r="R45" s="283">
        <f t="shared" si="44"/>
        <v>0.332868999162728</v>
      </c>
      <c r="S45" s="283">
        <f t="shared" si="44"/>
        <v>0.3037125904769416</v>
      </c>
      <c r="T45" s="283">
        <f t="shared" si="44"/>
        <v>0.27711002780742844</v>
      </c>
      <c r="U45" s="283">
        <f t="shared" si="44"/>
        <v>0.25283761661261722</v>
      </c>
      <c r="V45" s="283">
        <f t="shared" si="44"/>
        <v>0.23069125603340976</v>
      </c>
      <c r="W45" s="283">
        <f t="shared" si="44"/>
        <v>0.21048472265822055</v>
      </c>
      <c r="X45" s="283">
        <f t="shared" si="44"/>
        <v>0.19204810461516472</v>
      </c>
      <c r="Y45" s="283">
        <f t="shared" si="44"/>
        <v>0.1752263728240554</v>
      </c>
      <c r="Z45" s="283">
        <f t="shared" si="44"/>
        <v>0.15987807739421109</v>
      </c>
      <c r="AA45" s="283">
        <f t="shared" si="44"/>
        <v>0.14587415820639696</v>
      </c>
      <c r="AB45" s="283">
        <f t="shared" si="44"/>
        <v>0.13309685967736951</v>
      </c>
      <c r="AC45" s="283">
        <f t="shared" si="44"/>
        <v>0.12143874058154151</v>
      </c>
      <c r="AD45" s="283">
        <f t="shared" si="44"/>
        <v>0.11080177060359622</v>
      </c>
      <c r="AE45" s="283">
        <f t="shared" si="44"/>
        <v>0.10109650602517904</v>
      </c>
      <c r="AF45" s="522">
        <f t="shared" si="44"/>
        <v>9.2241337614214436E-2</v>
      </c>
      <c r="AG45" s="374"/>
      <c r="AH45" s="10"/>
      <c r="AI45" s="10"/>
      <c r="AJ45" s="10"/>
      <c r="AK45" s="10"/>
      <c r="AL45" s="10"/>
      <c r="AM45" s="10"/>
      <c r="AN45" s="10"/>
    </row>
    <row r="46" spans="1:40" ht="14.25">
      <c r="A46" s="1529"/>
      <c r="B46" s="233">
        <v>36</v>
      </c>
      <c r="C46" s="237" t="s">
        <v>939</v>
      </c>
      <c r="D46" s="438"/>
      <c r="E46" s="439" t="s">
        <v>940</v>
      </c>
      <c r="F46" s="298">
        <f>1/((1+$F$50+0.001)^G50)</f>
        <v>1</v>
      </c>
      <c r="G46" s="297">
        <f>1/((1+$F$50+0.001)^G49)</f>
        <v>0.91157702825888787</v>
      </c>
      <c r="H46" s="283">
        <f t="shared" ref="H46:AF46" si="45">1/((1+$F$50+0.001)^H49)</f>
        <v>0.83097267844930534</v>
      </c>
      <c r="I46" s="283">
        <f t="shared" si="45"/>
        <v>0.7574956047851461</v>
      </c>
      <c r="J46" s="298">
        <f t="shared" si="45"/>
        <v>0.69051559232921256</v>
      </c>
      <c r="K46" s="297">
        <f t="shared" si="45"/>
        <v>0.62945815162188934</v>
      </c>
      <c r="L46" s="283">
        <f t="shared" si="45"/>
        <v>0.57379959126881441</v>
      </c>
      <c r="M46" s="283">
        <f t="shared" si="45"/>
        <v>0.52306252622499028</v>
      </c>
      <c r="N46" s="283">
        <f t="shared" si="45"/>
        <v>0.47681178324976337</v>
      </c>
      <c r="O46" s="283">
        <f t="shared" si="45"/>
        <v>0.43465066841364025</v>
      </c>
      <c r="P46" s="283">
        <f t="shared" si="45"/>
        <v>0.39621756464324548</v>
      </c>
      <c r="Q46" s="283">
        <f t="shared" si="45"/>
        <v>0.36118283012146352</v>
      </c>
      <c r="R46" s="283">
        <f t="shared" si="45"/>
        <v>0.32924597094025848</v>
      </c>
      <c r="S46" s="283">
        <f t="shared" si="45"/>
        <v>0.30013306375593296</v>
      </c>
      <c r="T46" s="283">
        <f t="shared" si="45"/>
        <v>0.27359440634086873</v>
      </c>
      <c r="U46" s="283">
        <f t="shared" si="45"/>
        <v>0.24940237588046374</v>
      </c>
      <c r="V46" s="283">
        <f t="shared" si="45"/>
        <v>0.22734947664581928</v>
      </c>
      <c r="W46" s="283">
        <f t="shared" si="45"/>
        <v>0.20724656029700939</v>
      </c>
      <c r="X46" s="283">
        <f t="shared" si="45"/>
        <v>0.18892120355242423</v>
      </c>
      <c r="Y46" s="283">
        <f t="shared" si="45"/>
        <v>0.17221622930941136</v>
      </c>
      <c r="Z46" s="283">
        <f t="shared" si="45"/>
        <v>0.15698835853182436</v>
      </c>
      <c r="AA46" s="283">
        <f t="shared" si="45"/>
        <v>0.14310698134168129</v>
      </c>
      <c r="AB46" s="283">
        <f t="shared" si="45"/>
        <v>0.13045303677454995</v>
      </c>
      <c r="AC46" s="283">
        <f t="shared" si="45"/>
        <v>0.11891799159029168</v>
      </c>
      <c r="AD46" s="283">
        <f t="shared" si="45"/>
        <v>0.10840290938039351</v>
      </c>
      <c r="AE46" s="283">
        <f t="shared" si="45"/>
        <v>9.8817601987596634E-2</v>
      </c>
      <c r="AF46" s="298">
        <f t="shared" si="45"/>
        <v>9.007985595952292E-2</v>
      </c>
      <c r="AG46" s="374"/>
      <c r="AH46" s="10"/>
      <c r="AI46" s="10"/>
      <c r="AJ46" s="10"/>
      <c r="AK46" s="10"/>
      <c r="AL46" s="10"/>
      <c r="AM46" s="10"/>
      <c r="AN46" s="10"/>
    </row>
    <row r="47" spans="1:40" ht="14.65" thickBot="1">
      <c r="A47" s="1529"/>
      <c r="B47" s="234">
        <v>37</v>
      </c>
      <c r="C47" s="232" t="s">
        <v>941</v>
      </c>
      <c r="D47" s="438"/>
      <c r="E47" s="439" t="s">
        <v>942</v>
      </c>
      <c r="F47" s="440">
        <f>1/((1+$F$50+0.005)^G50)</f>
        <v>1</v>
      </c>
      <c r="G47" s="441">
        <f t="shared" ref="G47:AF47" si="46">1/((1+$F$50+0.005)^G49)</f>
        <v>0.90826521344232514</v>
      </c>
      <c r="H47" s="442">
        <f t="shared" si="46"/>
        <v>0.82494569794943262</v>
      </c>
      <c r="I47" s="442">
        <f t="shared" si="46"/>
        <v>0.74926948042636932</v>
      </c>
      <c r="J47" s="440">
        <f t="shared" si="46"/>
        <v>0.68053540456527639</v>
      </c>
      <c r="K47" s="525">
        <f t="shared" si="46"/>
        <v>0.61810663448253989</v>
      </c>
      <c r="L47" s="526">
        <f t="shared" si="46"/>
        <v>0.56140475429840142</v>
      </c>
      <c r="M47" s="526">
        <f t="shared" si="46"/>
        <v>0.5099044089903737</v>
      </c>
      <c r="N47" s="526">
        <f t="shared" si="46"/>
        <v>0.46312843686682442</v>
      </c>
      <c r="O47" s="526">
        <f t="shared" si="46"/>
        <v>0.42064344856205671</v>
      </c>
      <c r="P47" s="526">
        <f t="shared" si="46"/>
        <v>0.38205581159133217</v>
      </c>
      <c r="Q47" s="526">
        <f t="shared" si="46"/>
        <v>0.34700800326188214</v>
      </c>
      <c r="R47" s="526">
        <f t="shared" si="46"/>
        <v>0.31517529814884848</v>
      </c>
      <c r="S47" s="526">
        <f t="shared" si="46"/>
        <v>0.28626275944491231</v>
      </c>
      <c r="T47" s="526">
        <f t="shared" si="46"/>
        <v>0.26000250630782229</v>
      </c>
      <c r="U47" s="526">
        <f t="shared" si="46"/>
        <v>0.23615123188721371</v>
      </c>
      <c r="V47" s="526">
        <f t="shared" si="46"/>
        <v>0.21448794903470819</v>
      </c>
      <c r="W47" s="526">
        <f t="shared" si="46"/>
        <v>0.19481194281081579</v>
      </c>
      <c r="X47" s="526">
        <f t="shared" si="46"/>
        <v>0.17694091081817967</v>
      </c>
      <c r="Y47" s="526">
        <f t="shared" si="46"/>
        <v>0.16070927413095337</v>
      </c>
      <c r="Z47" s="526">
        <f t="shared" si="46"/>
        <v>0.14596664317071154</v>
      </c>
      <c r="AA47" s="526">
        <f t="shared" si="46"/>
        <v>0.13257642431490602</v>
      </c>
      <c r="AB47" s="526">
        <f t="shared" si="46"/>
        <v>0.12041455432779839</v>
      </c>
      <c r="AC47" s="526">
        <f t="shared" si="46"/>
        <v>0.10936835088810026</v>
      </c>
      <c r="AD47" s="526">
        <f t="shared" si="46"/>
        <v>9.9335468563215498E-2</v>
      </c>
      <c r="AE47" s="526">
        <f t="shared" si="46"/>
        <v>9.022295055696232E-2</v>
      </c>
      <c r="AF47" s="527">
        <f t="shared" si="46"/>
        <v>8.1946367445015725E-2</v>
      </c>
      <c r="AG47" s="374"/>
      <c r="AH47" s="10"/>
      <c r="AI47" s="10"/>
      <c r="AJ47" s="10"/>
      <c r="AK47" s="10"/>
      <c r="AL47" s="10"/>
      <c r="AM47" s="10"/>
      <c r="AN47" s="10"/>
    </row>
    <row r="48" spans="1:40" ht="14.65" thickBot="1">
      <c r="A48" s="1541" t="s">
        <v>821</v>
      </c>
      <c r="B48" s="1542"/>
      <c r="C48" s="1542"/>
      <c r="D48" s="1542"/>
      <c r="E48" s="1542"/>
      <c r="F48" s="1542"/>
      <c r="G48" s="1542"/>
      <c r="H48" s="1542"/>
      <c r="I48" s="1542"/>
      <c r="J48" s="1542"/>
      <c r="K48" s="1542"/>
      <c r="L48" s="1542"/>
      <c r="M48" s="1542"/>
      <c r="N48" s="1542"/>
      <c r="O48" s="1542"/>
      <c r="P48" s="1542"/>
      <c r="Q48" s="1542"/>
      <c r="R48" s="1542"/>
      <c r="S48" s="1542"/>
      <c r="T48" s="1542"/>
      <c r="U48" s="1542"/>
      <c r="V48" s="1542"/>
      <c r="W48" s="1542"/>
      <c r="X48" s="1542"/>
      <c r="Y48" s="1542"/>
      <c r="Z48" s="1542"/>
      <c r="AA48" s="1542"/>
      <c r="AB48" s="1542"/>
      <c r="AC48" s="1542"/>
      <c r="AD48" s="1542"/>
      <c r="AE48" s="1542"/>
      <c r="AF48" s="1543"/>
      <c r="AG48" s="374"/>
      <c r="AH48" s="10"/>
      <c r="AI48" s="10"/>
      <c r="AJ48" s="376"/>
      <c r="AK48" s="10"/>
      <c r="AL48" s="10"/>
      <c r="AM48" s="10"/>
      <c r="AN48" s="10"/>
    </row>
    <row r="49" spans="1:40" ht="14.25">
      <c r="A49" s="1544" t="s">
        <v>943</v>
      </c>
      <c r="C49" s="247" t="s">
        <v>944</v>
      </c>
      <c r="D49" s="238" t="s">
        <v>945</v>
      </c>
      <c r="E49" s="239" t="s">
        <v>946</v>
      </c>
      <c r="F49" s="248" t="s">
        <v>947</v>
      </c>
      <c r="G49" s="284">
        <v>1</v>
      </c>
      <c r="H49" s="285">
        <v>2</v>
      </c>
      <c r="I49" s="285">
        <v>3</v>
      </c>
      <c r="J49" s="284">
        <v>4</v>
      </c>
      <c r="K49" s="285">
        <v>5</v>
      </c>
      <c r="L49" s="285">
        <v>6</v>
      </c>
      <c r="M49" s="284">
        <v>7</v>
      </c>
      <c r="N49" s="285">
        <v>8</v>
      </c>
      <c r="O49" s="285">
        <v>9</v>
      </c>
      <c r="P49" s="284">
        <v>10</v>
      </c>
      <c r="Q49" s="285">
        <v>11</v>
      </c>
      <c r="R49" s="285">
        <v>12</v>
      </c>
      <c r="S49" s="284">
        <v>13</v>
      </c>
      <c r="T49" s="285">
        <v>14</v>
      </c>
      <c r="U49" s="285">
        <v>15</v>
      </c>
      <c r="V49" s="284">
        <v>16</v>
      </c>
      <c r="W49" s="285">
        <v>17</v>
      </c>
      <c r="X49" s="285">
        <v>18</v>
      </c>
      <c r="Y49" s="284">
        <v>19</v>
      </c>
      <c r="Z49" s="285">
        <v>20</v>
      </c>
      <c r="AA49" s="285">
        <v>21</v>
      </c>
      <c r="AB49" s="284">
        <v>22</v>
      </c>
      <c r="AC49" s="285">
        <v>23</v>
      </c>
      <c r="AD49" s="285">
        <v>24</v>
      </c>
      <c r="AE49" s="284">
        <v>25</v>
      </c>
      <c r="AF49" s="285">
        <v>26</v>
      </c>
      <c r="AG49" s="374"/>
      <c r="AH49" s="10"/>
      <c r="AI49" s="10"/>
      <c r="AJ49" s="10"/>
      <c r="AK49" s="10"/>
      <c r="AL49" s="10"/>
      <c r="AM49" s="10"/>
      <c r="AN49" s="10"/>
    </row>
    <row r="50" spans="1:40" ht="14.65" thickBot="1">
      <c r="A50" s="1545"/>
      <c r="C50" s="244">
        <v>4.4999999999999998E-2</v>
      </c>
      <c r="D50" s="245">
        <v>4.5999999999999999E-2</v>
      </c>
      <c r="E50" s="246">
        <v>5.0000000000000001E-3</v>
      </c>
      <c r="F50" s="781">
        <f>SUM(C50:E50)</f>
        <v>9.6000000000000002E-2</v>
      </c>
      <c r="G50" s="284">
        <v>0</v>
      </c>
      <c r="S50" s="231"/>
      <c r="T50" s="231"/>
      <c r="U50" s="231"/>
      <c r="V50" s="231"/>
      <c r="W50" s="231"/>
      <c r="X50" s="231"/>
      <c r="Y50" s="231"/>
      <c r="Z50" s="231"/>
      <c r="AA50" s="231"/>
      <c r="AB50" s="231"/>
      <c r="AC50" s="231"/>
      <c r="AD50" s="231"/>
      <c r="AE50" s="231"/>
      <c r="AF50" s="231"/>
      <c r="AG50" s="373"/>
      <c r="AH50" s="10"/>
      <c r="AI50" s="10"/>
      <c r="AJ50" s="10"/>
      <c r="AK50" s="10"/>
      <c r="AL50" s="10"/>
      <c r="AM50" s="10"/>
      <c r="AN50" s="10"/>
    </row>
    <row r="51" spans="1:40" ht="14.65" thickBot="1">
      <c r="A51" s="231"/>
      <c r="C51" s="231"/>
      <c r="D51" s="231"/>
      <c r="H51" s="1225" t="s">
        <v>948</v>
      </c>
      <c r="I51" s="775">
        <f>I44/I12</f>
        <v>0.34838497429444903</v>
      </c>
      <c r="J51" s="775">
        <f t="shared" ref="J51:AF51" si="47">J44/J12</f>
        <v>0.24529017626125063</v>
      </c>
      <c r="K51" s="775">
        <f t="shared" si="47"/>
        <v>0.17680850016161165</v>
      </c>
      <c r="L51" s="775">
        <f t="shared" si="47"/>
        <v>0.12207483132830242</v>
      </c>
      <c r="M51" s="775">
        <f t="shared" si="47"/>
        <v>8.099356382154875E-2</v>
      </c>
      <c r="N51" s="775">
        <f t="shared" si="47"/>
        <v>3.4428160012578382E-2</v>
      </c>
      <c r="O51" s="775">
        <f t="shared" si="47"/>
        <v>1.4885684013507736E-2</v>
      </c>
      <c r="P51" s="775">
        <f t="shared" si="47"/>
        <v>0</v>
      </c>
      <c r="Q51" s="775">
        <f t="shared" si="47"/>
        <v>0</v>
      </c>
      <c r="R51" s="775">
        <f t="shared" si="47"/>
        <v>0</v>
      </c>
      <c r="S51" s="775">
        <f t="shared" si="47"/>
        <v>0</v>
      </c>
      <c r="T51" s="775">
        <f t="shared" si="47"/>
        <v>0</v>
      </c>
      <c r="U51" s="775">
        <f t="shared" si="47"/>
        <v>0</v>
      </c>
      <c r="V51" s="775">
        <f t="shared" si="47"/>
        <v>0</v>
      </c>
      <c r="W51" s="775">
        <f t="shared" si="47"/>
        <v>0</v>
      </c>
      <c r="X51" s="775">
        <f t="shared" si="47"/>
        <v>0</v>
      </c>
      <c r="Y51" s="775">
        <f t="shared" si="47"/>
        <v>0</v>
      </c>
      <c r="Z51" s="775">
        <f t="shared" si="47"/>
        <v>0</v>
      </c>
      <c r="AA51" s="775">
        <f t="shared" si="47"/>
        <v>0</v>
      </c>
      <c r="AB51" s="775">
        <f t="shared" si="47"/>
        <v>0</v>
      </c>
      <c r="AC51" s="775">
        <f t="shared" si="47"/>
        <v>0</v>
      </c>
      <c r="AD51" s="775">
        <f t="shared" si="47"/>
        <v>0</v>
      </c>
      <c r="AE51" s="775">
        <f t="shared" si="47"/>
        <v>0</v>
      </c>
      <c r="AF51" s="776">
        <f t="shared" si="47"/>
        <v>0</v>
      </c>
      <c r="AG51" s="373"/>
      <c r="AH51" s="10"/>
      <c r="AI51" s="10"/>
      <c r="AJ51" s="10"/>
      <c r="AK51" s="10"/>
      <c r="AL51" s="10"/>
      <c r="AM51" s="10"/>
      <c r="AN51" s="10"/>
    </row>
    <row r="52" spans="1:40" ht="15" customHeight="1" thickBot="1">
      <c r="A52" s="1530" t="s">
        <v>949</v>
      </c>
      <c r="C52" s="345" t="s">
        <v>821</v>
      </c>
      <c r="D52" s="346" t="s">
        <v>891</v>
      </c>
      <c r="E52" s="347" t="s">
        <v>892</v>
      </c>
      <c r="F52" s="346" t="s">
        <v>950</v>
      </c>
      <c r="H52" s="778"/>
      <c r="I52"/>
      <c r="J52"/>
      <c r="K52"/>
      <c r="L52"/>
      <c r="M52"/>
      <c r="N52"/>
      <c r="O52"/>
      <c r="P52"/>
      <c r="S52" s="231"/>
      <c r="T52" s="231"/>
      <c r="U52" s="231"/>
      <c r="V52" s="231"/>
      <c r="W52" s="231"/>
      <c r="X52" s="231"/>
      <c r="Y52" s="231"/>
      <c r="Z52" s="231"/>
      <c r="AA52" s="231"/>
      <c r="AB52" s="231"/>
      <c r="AC52" s="231"/>
      <c r="AD52" s="231"/>
      <c r="AE52" s="231"/>
      <c r="AF52" s="231"/>
      <c r="AG52" s="373"/>
      <c r="AH52" s="10"/>
      <c r="AI52" s="10"/>
      <c r="AJ52" s="10"/>
      <c r="AK52" s="10"/>
      <c r="AL52" s="10"/>
      <c r="AM52" s="10"/>
      <c r="AN52" s="10"/>
    </row>
    <row r="53" spans="1:40" ht="15" customHeight="1" thickBot="1">
      <c r="A53" s="1530"/>
      <c r="C53" s="348" t="s">
        <v>656</v>
      </c>
      <c r="D53" s="330">
        <f>Assumptions!C189</f>
        <v>-0.13</v>
      </c>
      <c r="E53" s="330">
        <v>-0.1</v>
      </c>
      <c r="F53" s="349" t="s">
        <v>951</v>
      </c>
      <c r="H53" s="1224" t="s">
        <v>952</v>
      </c>
      <c r="I53" s="773">
        <f>I43/(I6-I8)</f>
        <v>0.94788470044313433</v>
      </c>
      <c r="J53" s="773">
        <f t="shared" ref="J53:AF53" si="48">J43/(J6-J8)</f>
        <v>1.0348926538316834</v>
      </c>
      <c r="K53" s="773">
        <f t="shared" si="48"/>
        <v>0.44999999999999996</v>
      </c>
      <c r="L53" s="773">
        <f t="shared" si="48"/>
        <v>0.45000000000000007</v>
      </c>
      <c r="M53" s="773">
        <f t="shared" si="48"/>
        <v>0.45000000000000012</v>
      </c>
      <c r="N53" s="773">
        <f t="shared" si="48"/>
        <v>0.45000000000000007</v>
      </c>
      <c r="O53" s="773">
        <f t="shared" si="48"/>
        <v>0.45</v>
      </c>
      <c r="P53" s="773">
        <f t="shared" si="48"/>
        <v>0.45000000000000007</v>
      </c>
      <c r="Q53" s="773">
        <f t="shared" si="48"/>
        <v>0.45000000000000007</v>
      </c>
      <c r="R53" s="773">
        <f t="shared" si="48"/>
        <v>0.45</v>
      </c>
      <c r="S53" s="773">
        <f t="shared" si="48"/>
        <v>0.4499999999999999</v>
      </c>
      <c r="T53" s="773">
        <f t="shared" si="48"/>
        <v>0.45000000000000007</v>
      </c>
      <c r="U53" s="773">
        <f t="shared" si="48"/>
        <v>0.45</v>
      </c>
      <c r="V53" s="773">
        <f t="shared" si="48"/>
        <v>0.45000000000000007</v>
      </c>
      <c r="W53" s="773">
        <f t="shared" si="48"/>
        <v>0.45000000000000007</v>
      </c>
      <c r="X53" s="773">
        <f t="shared" si="48"/>
        <v>0.45000000000000007</v>
      </c>
      <c r="Y53" s="773">
        <f t="shared" si="48"/>
        <v>0.44999999999999996</v>
      </c>
      <c r="Z53" s="773">
        <f t="shared" si="48"/>
        <v>0.45</v>
      </c>
      <c r="AA53" s="773">
        <f t="shared" si="48"/>
        <v>0.45</v>
      </c>
      <c r="AB53" s="773">
        <f t="shared" si="48"/>
        <v>0.45000000000000007</v>
      </c>
      <c r="AC53" s="773">
        <f t="shared" si="48"/>
        <v>0.45000000000000007</v>
      </c>
      <c r="AD53" s="773">
        <f t="shared" si="48"/>
        <v>0.45000000000000007</v>
      </c>
      <c r="AE53" s="773">
        <f t="shared" si="48"/>
        <v>0.45000000000000007</v>
      </c>
      <c r="AF53" s="774">
        <f t="shared" si="48"/>
        <v>0.44999999999999996</v>
      </c>
      <c r="AG53" s="373"/>
      <c r="AH53" s="10"/>
      <c r="AI53" s="10"/>
      <c r="AJ53" s="10"/>
      <c r="AK53" s="10"/>
      <c r="AL53" s="10"/>
      <c r="AM53" s="10"/>
      <c r="AN53" s="10"/>
    </row>
    <row r="54" spans="1:40" ht="15" customHeight="1" thickBot="1">
      <c r="A54" s="1530"/>
      <c r="C54" s="350" t="s">
        <v>658</v>
      </c>
      <c r="D54" s="330">
        <f>Assumptions!F189</f>
        <v>-3.9E-2</v>
      </c>
      <c r="E54" s="330">
        <v>-3.9E-2</v>
      </c>
      <c r="F54" s="349" t="s">
        <v>800</v>
      </c>
      <c r="H54" s="778"/>
      <c r="I54" s="231"/>
      <c r="J54" s="231"/>
      <c r="K54"/>
      <c r="L54"/>
      <c r="S54" s="231"/>
      <c r="T54" s="231"/>
      <c r="U54" s="231"/>
      <c r="V54" s="231"/>
      <c r="W54" s="231"/>
      <c r="X54" s="231"/>
      <c r="Y54" s="231"/>
      <c r="Z54" s="231"/>
      <c r="AA54" s="231"/>
      <c r="AB54" s="231"/>
      <c r="AC54" s="231"/>
      <c r="AD54" s="231"/>
      <c r="AE54" s="231"/>
      <c r="AF54" s="231"/>
      <c r="AG54" s="373"/>
      <c r="AH54" s="10"/>
      <c r="AI54" s="10"/>
      <c r="AJ54" s="10"/>
      <c r="AK54" s="10"/>
      <c r="AL54" s="10"/>
      <c r="AM54" s="10"/>
      <c r="AN54" s="10"/>
    </row>
    <row r="55" spans="1:40" ht="15" customHeight="1" thickBot="1">
      <c r="A55" s="1530"/>
      <c r="C55" s="337" t="s">
        <v>660</v>
      </c>
      <c r="D55" s="330">
        <f>Assumptions!J106</f>
        <v>-0.11411582793691223</v>
      </c>
      <c r="E55" s="331">
        <v>-0.1</v>
      </c>
      <c r="F55" s="349" t="str">
        <f>Assumptions!V19</f>
        <v>% Revenue</v>
      </c>
      <c r="H55" s="1223" t="s">
        <v>953</v>
      </c>
      <c r="I55" s="771">
        <f t="shared" ref="I55:J55" si="49">I43/I6</f>
        <v>0.6370287365748758</v>
      </c>
      <c r="J55" s="771">
        <f t="shared" si="49"/>
        <v>0.67268022499059421</v>
      </c>
      <c r="K55" s="771">
        <f>K43/K6</f>
        <v>0.29249999999999998</v>
      </c>
      <c r="L55" s="771">
        <f t="shared" ref="L55:AF55" si="50">L43/L6</f>
        <v>0.29250000000000009</v>
      </c>
      <c r="M55" s="771">
        <f t="shared" si="50"/>
        <v>0.29250000000000015</v>
      </c>
      <c r="N55" s="771">
        <f t="shared" si="50"/>
        <v>0.29250000000000004</v>
      </c>
      <c r="O55" s="771">
        <f t="shared" si="50"/>
        <v>0.29250000000000004</v>
      </c>
      <c r="P55" s="771">
        <f t="shared" si="50"/>
        <v>0.29250000000000009</v>
      </c>
      <c r="Q55" s="771">
        <f t="shared" si="50"/>
        <v>0.29250000000000004</v>
      </c>
      <c r="R55" s="771">
        <f t="shared" si="50"/>
        <v>0.29249999999999998</v>
      </c>
      <c r="S55" s="771">
        <f t="shared" si="50"/>
        <v>0.29249999999999993</v>
      </c>
      <c r="T55" s="771">
        <f t="shared" si="50"/>
        <v>0.29250000000000009</v>
      </c>
      <c r="U55" s="771">
        <f t="shared" si="50"/>
        <v>0.29250000000000004</v>
      </c>
      <c r="V55" s="771">
        <f t="shared" si="50"/>
        <v>0.29250000000000004</v>
      </c>
      <c r="W55" s="771">
        <f t="shared" si="50"/>
        <v>0.29250000000000004</v>
      </c>
      <c r="X55" s="771">
        <f t="shared" si="50"/>
        <v>0.29250000000000004</v>
      </c>
      <c r="Y55" s="771">
        <f t="shared" si="50"/>
        <v>0.29249999999999998</v>
      </c>
      <c r="Z55" s="771">
        <f t="shared" si="50"/>
        <v>0.29250000000000004</v>
      </c>
      <c r="AA55" s="771">
        <f t="shared" si="50"/>
        <v>0.29250000000000004</v>
      </c>
      <c r="AB55" s="771">
        <f t="shared" si="50"/>
        <v>0.29250000000000009</v>
      </c>
      <c r="AC55" s="771">
        <f t="shared" si="50"/>
        <v>0.29250000000000004</v>
      </c>
      <c r="AD55" s="771">
        <f t="shared" si="50"/>
        <v>0.29250000000000004</v>
      </c>
      <c r="AE55" s="771">
        <f t="shared" si="50"/>
        <v>0.29250000000000004</v>
      </c>
      <c r="AF55" s="772">
        <f t="shared" si="50"/>
        <v>0.29249999999999998</v>
      </c>
      <c r="AG55" s="373"/>
      <c r="AH55" s="10"/>
      <c r="AI55" s="10"/>
      <c r="AJ55" s="10"/>
      <c r="AK55" s="10"/>
      <c r="AL55" s="10"/>
      <c r="AM55" s="10"/>
      <c r="AN55" s="10"/>
    </row>
    <row r="56" spans="1:40" ht="15" customHeight="1" thickBot="1">
      <c r="A56" s="1530"/>
      <c r="C56" s="350" t="s">
        <v>662</v>
      </c>
      <c r="D56" s="330">
        <f>Assumptions!I121</f>
        <v>0.19</v>
      </c>
      <c r="E56" s="330">
        <f>Assumptions!J121</f>
        <v>0.21</v>
      </c>
      <c r="F56" s="349" t="str">
        <f>Assumptions!V20</f>
        <v>% EBT</v>
      </c>
      <c r="G56" s="231"/>
      <c r="I56" s="231"/>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373"/>
      <c r="AH56" s="10"/>
      <c r="AI56" s="10"/>
      <c r="AJ56" s="10"/>
      <c r="AK56" s="10"/>
      <c r="AL56" s="10"/>
      <c r="AM56" s="10"/>
      <c r="AN56" s="10"/>
    </row>
    <row r="57" spans="1:40" ht="15" customHeight="1" thickBot="1">
      <c r="A57" s="1530"/>
      <c r="C57" s="337" t="s">
        <v>664</v>
      </c>
      <c r="D57" s="330">
        <f>Assumptions!J140</f>
        <v>-4.1000000000000002E-2</v>
      </c>
      <c r="E57" s="330">
        <f>Assumptions!K140</f>
        <v>-5.0750000000000003E-2</v>
      </c>
      <c r="F57" s="349" t="str">
        <f>Assumptions!V21</f>
        <v>% Debt</v>
      </c>
      <c r="G57" s="231"/>
      <c r="H57" s="1222" t="s">
        <v>954</v>
      </c>
      <c r="I57" s="1210">
        <f>(AF6/K6)^(1/21)-1</f>
        <v>8.5669770955028035E-2</v>
      </c>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373"/>
      <c r="AH57" s="10"/>
      <c r="AI57" s="10"/>
      <c r="AJ57" s="10"/>
      <c r="AK57" s="10"/>
      <c r="AL57" s="10"/>
      <c r="AM57" s="10"/>
      <c r="AN57" s="10"/>
    </row>
    <row r="58" spans="1:40" ht="15" customHeight="1">
      <c r="A58" s="1530"/>
      <c r="C58" s="350" t="s">
        <v>666</v>
      </c>
      <c r="D58" s="330">
        <f>Assumptions!C223</f>
        <v>0.03</v>
      </c>
      <c r="E58" s="330">
        <f>Assumptions!D223</f>
        <v>2.5000000000000001E-2</v>
      </c>
      <c r="F58" s="349" t="str">
        <f>Assumptions!V22</f>
        <v xml:space="preserve">% Cash </v>
      </c>
      <c r="G58" s="231"/>
      <c r="H58" s="231"/>
      <c r="I58" s="232"/>
      <c r="J58" s="250"/>
      <c r="K58" s="250"/>
      <c r="L58" s="250"/>
      <c r="M58" s="250"/>
      <c r="N58" s="250"/>
      <c r="O58" s="231"/>
      <c r="P58" s="231"/>
      <c r="Q58" s="231"/>
      <c r="R58" s="231"/>
      <c r="S58" s="231"/>
      <c r="T58" s="231"/>
      <c r="U58" s="231"/>
      <c r="V58" s="231"/>
      <c r="W58" s="231"/>
      <c r="X58" s="231"/>
      <c r="Y58" s="231"/>
      <c r="Z58" s="231"/>
      <c r="AA58" s="231"/>
      <c r="AB58" s="231"/>
      <c r="AC58" s="231"/>
      <c r="AD58" s="231"/>
      <c r="AE58" s="231"/>
      <c r="AF58" s="231"/>
      <c r="AG58" s="373"/>
      <c r="AH58" s="10"/>
      <c r="AI58" s="10"/>
      <c r="AJ58" s="10"/>
      <c r="AK58" s="10"/>
      <c r="AL58" s="10"/>
      <c r="AM58" s="10"/>
      <c r="AN58" s="10"/>
    </row>
    <row r="59" spans="1:40" ht="15" customHeight="1">
      <c r="A59" s="1530"/>
      <c r="C59" s="337" t="s">
        <v>668</v>
      </c>
      <c r="D59" s="330" t="str">
        <f>Assumptions!S23</f>
        <v>- -</v>
      </c>
      <c r="E59" s="331" t="str">
        <f>Assumptions!T23</f>
        <v>- -</v>
      </c>
      <c r="F59" s="349" t="str">
        <f>Assumptions!V23</f>
        <v>Growing with CAPEX</v>
      </c>
      <c r="G59" s="231"/>
      <c r="H59" s="231"/>
      <c r="I59"/>
      <c r="J59"/>
      <c r="K59"/>
      <c r="L59"/>
      <c r="M59" s="251"/>
      <c r="N59" s="250"/>
      <c r="O59" s="231"/>
      <c r="P59" s="231"/>
      <c r="Q59" s="231"/>
      <c r="R59" s="231"/>
      <c r="S59" s="231"/>
      <c r="T59" s="231"/>
      <c r="U59" s="231"/>
      <c r="V59" s="231"/>
      <c r="W59" s="231"/>
      <c r="X59" s="231"/>
      <c r="Y59" s="231"/>
      <c r="Z59" s="231"/>
      <c r="AA59" s="231"/>
      <c r="AB59" s="231"/>
      <c r="AC59" s="231"/>
      <c r="AD59" s="231"/>
      <c r="AE59" s="231"/>
      <c r="AF59" s="231"/>
      <c r="AG59" s="373"/>
      <c r="AH59" s="10"/>
      <c r="AI59" s="10"/>
      <c r="AJ59" s="10"/>
      <c r="AK59" s="10"/>
      <c r="AL59" s="10"/>
      <c r="AM59" s="10"/>
      <c r="AN59" s="10"/>
    </row>
    <row r="60" spans="1:40" ht="15" customHeight="1">
      <c r="A60" s="1530"/>
      <c r="C60" s="345" t="s">
        <v>671</v>
      </c>
      <c r="D60" s="330">
        <f>Assumptions!J197</f>
        <v>-0.06</v>
      </c>
      <c r="E60" s="330">
        <f>Assumptions!K197</f>
        <v>-0.05</v>
      </c>
      <c r="F60" s="349" t="s">
        <v>800</v>
      </c>
      <c r="G60" s="231"/>
      <c r="H60" s="231"/>
      <c r="I60"/>
      <c r="J60"/>
      <c r="K60"/>
      <c r="L60"/>
      <c r="M60" s="250"/>
      <c r="N60" s="250"/>
      <c r="O60" s="231"/>
      <c r="P60" s="231"/>
      <c r="Q60" s="231"/>
      <c r="R60" s="231"/>
      <c r="S60" s="231"/>
      <c r="T60" s="231"/>
      <c r="U60" s="231"/>
      <c r="V60" s="231"/>
      <c r="W60" s="231"/>
      <c r="X60" s="231"/>
      <c r="Y60" s="231"/>
      <c r="Z60" s="231"/>
      <c r="AA60" s="231"/>
      <c r="AB60" s="231"/>
      <c r="AC60" s="231"/>
      <c r="AD60" s="231"/>
      <c r="AE60" s="231"/>
      <c r="AF60" s="231"/>
      <c r="AG60" s="373"/>
      <c r="AH60" s="10"/>
      <c r="AI60" s="10"/>
      <c r="AJ60" s="10"/>
      <c r="AK60" s="10"/>
      <c r="AL60" s="10"/>
      <c r="AM60" s="10"/>
      <c r="AN60" s="10"/>
    </row>
    <row r="61" spans="1:40" ht="15" customHeight="1">
      <c r="A61" s="1530"/>
      <c r="C61" s="352" t="s">
        <v>673</v>
      </c>
      <c r="D61" s="330" t="str">
        <f>Assumptions!S25</f>
        <v>- -</v>
      </c>
      <c r="E61" s="331" t="str">
        <f>Assumptions!T25</f>
        <v>- -</v>
      </c>
      <c r="F61" s="349" t="s">
        <v>955</v>
      </c>
      <c r="G61" s="231"/>
      <c r="H61" t="s">
        <v>956</v>
      </c>
      <c r="I61" s="1199">
        <f t="shared" ref="I61:W61" si="51">I40-I41</f>
        <v>173980.61599999998</v>
      </c>
      <c r="J61" s="1199">
        <f t="shared" si="51"/>
        <v>220300.86815999995</v>
      </c>
      <c r="K61" s="1199">
        <f t="shared" si="51"/>
        <v>340442.48281599995</v>
      </c>
      <c r="L61" s="1199">
        <f t="shared" si="51"/>
        <v>476927.47965439991</v>
      </c>
      <c r="M61" s="1199">
        <f t="shared" si="51"/>
        <v>633024.53511167981</v>
      </c>
      <c r="N61" s="1199">
        <f t="shared" si="51"/>
        <v>805595.71980881901</v>
      </c>
      <c r="O61" s="1199">
        <f t="shared" si="51"/>
        <v>991934.56965641188</v>
      </c>
      <c r="P61" s="1199">
        <f t="shared" si="51"/>
        <v>1194106.2344270265</v>
      </c>
      <c r="Q61" s="1199">
        <f t="shared" si="51"/>
        <v>1396277.8991976408</v>
      </c>
      <c r="R61" s="1199">
        <f t="shared" si="51"/>
        <v>1598449.5639682554</v>
      </c>
      <c r="S61" s="1199">
        <f t="shared" si="51"/>
        <v>1791808.6839527164</v>
      </c>
      <c r="T61" s="1199">
        <f t="shared" si="51"/>
        <v>1966132.7071990846</v>
      </c>
      <c r="U61" s="1199">
        <f t="shared" si="51"/>
        <v>2120279.5279030749</v>
      </c>
      <c r="V61" s="1199">
        <f t="shared" si="51"/>
        <v>2253038.5139121441</v>
      </c>
      <c r="W61" s="1199">
        <f t="shared" si="51"/>
        <v>2363126.3951445981</v>
      </c>
      <c r="X61" s="1199">
        <f>X40-X41</f>
        <v>2449182.9053138383</v>
      </c>
      <c r="Y61" s="1199">
        <f t="shared" ref="Y61:AF61" si="52">Y40-Y41</f>
        <v>2509766.1621560734</v>
      </c>
      <c r="Z61" s="1199">
        <f t="shared" si="52"/>
        <v>2543347.7704716828</v>
      </c>
      <c r="AA61" s="1199">
        <f t="shared" si="52"/>
        <v>2541152.1944895126</v>
      </c>
      <c r="AB61" s="1199">
        <f t="shared" si="52"/>
        <v>2501390.574994673</v>
      </c>
      <c r="AC61" s="1199">
        <f t="shared" si="52"/>
        <v>2422184.6098115314</v>
      </c>
      <c r="AD61" s="1199">
        <f t="shared" si="52"/>
        <v>2293278.7690611295</v>
      </c>
      <c r="AE61" s="1199">
        <f t="shared" si="52"/>
        <v>2112685.0577207766</v>
      </c>
      <c r="AF61" s="1199">
        <f t="shared" si="52"/>
        <v>1864897.1146134883</v>
      </c>
      <c r="AG61" s="373"/>
      <c r="AH61" s="10"/>
      <c r="AI61" s="10"/>
      <c r="AJ61" s="10"/>
      <c r="AK61" s="10"/>
      <c r="AL61" s="10"/>
      <c r="AM61" s="10"/>
      <c r="AN61" s="10"/>
    </row>
    <row r="62" spans="1:40" ht="15" customHeight="1">
      <c r="A62" s="1530"/>
      <c r="C62" s="352" t="s">
        <v>957</v>
      </c>
      <c r="D62" s="330">
        <f>Assumptions!S26</f>
        <v>-0.04</v>
      </c>
      <c r="E62" s="330">
        <f>Assumptions!T26</f>
        <v>-0.06</v>
      </c>
      <c r="F62" s="349" t="str">
        <f>Assumptions!V26</f>
        <v>% Revenue</v>
      </c>
      <c r="G62" s="231"/>
      <c r="H62" s="231" t="s">
        <v>168</v>
      </c>
      <c r="I62"/>
      <c r="J62" s="495">
        <f>J61/I61-1</f>
        <v>0.26623800527295516</v>
      </c>
      <c r="K62" s="495">
        <f t="shared" ref="K62:AF62" si="53">K61/J61-1</f>
        <v>0.54535243396654987</v>
      </c>
      <c r="L62" s="495">
        <f t="shared" si="53"/>
        <v>0.40090471585523724</v>
      </c>
      <c r="M62" s="495">
        <f t="shared" si="53"/>
        <v>0.32729725611615801</v>
      </c>
      <c r="N62" s="495">
        <f t="shared" si="53"/>
        <v>0.27261373789673682</v>
      </c>
      <c r="O62" s="495">
        <f t="shared" si="53"/>
        <v>0.23130566022845067</v>
      </c>
      <c r="P62" s="495">
        <f t="shared" si="53"/>
        <v>0.20381552468792696</v>
      </c>
      <c r="Q62" s="495">
        <f t="shared" si="53"/>
        <v>0.16930793839094505</v>
      </c>
      <c r="R62" s="495">
        <f t="shared" si="53"/>
        <v>0.1447932856967733</v>
      </c>
      <c r="S62" s="495">
        <f t="shared" si="53"/>
        <v>0.12096666941710343</v>
      </c>
      <c r="T62" s="495">
        <f t="shared" si="53"/>
        <v>9.7289417563157787E-2</v>
      </c>
      <c r="U62" s="495">
        <f t="shared" si="53"/>
        <v>7.8401025596886109E-2</v>
      </c>
      <c r="V62" s="495">
        <f t="shared" si="53"/>
        <v>6.2613907393788804E-2</v>
      </c>
      <c r="W62" s="495">
        <f t="shared" si="53"/>
        <v>4.8861961547784993E-2</v>
      </c>
      <c r="X62" s="495">
        <f t="shared" si="53"/>
        <v>3.6416380582120489E-2</v>
      </c>
      <c r="Y62" s="495">
        <f t="shared" si="53"/>
        <v>2.4736109626925629E-2</v>
      </c>
      <c r="Z62" s="495">
        <f t="shared" si="53"/>
        <v>1.3380373367836151E-2</v>
      </c>
      <c r="AA62" s="495">
        <f t="shared" si="53"/>
        <v>-8.6326219625210143E-4</v>
      </c>
      <c r="AB62" s="495">
        <f t="shared" si="53"/>
        <v>-1.5647083075568058E-2</v>
      </c>
      <c r="AC62" s="495">
        <f t="shared" si="53"/>
        <v>-3.1664773176540151E-2</v>
      </c>
      <c r="AD62" s="495">
        <f t="shared" si="53"/>
        <v>-5.3218834034467699E-2</v>
      </c>
      <c r="AE62" s="495">
        <f t="shared" si="53"/>
        <v>-7.8749131495377767E-2</v>
      </c>
      <c r="AF62" s="495">
        <f t="shared" si="53"/>
        <v>-0.11728579335653977</v>
      </c>
      <c r="AG62" s="373"/>
      <c r="AH62" s="10"/>
      <c r="AI62" s="10"/>
      <c r="AJ62" s="10"/>
      <c r="AK62" s="10"/>
      <c r="AL62" s="10"/>
      <c r="AM62" s="10"/>
      <c r="AN62" s="10"/>
    </row>
    <row r="63" spans="1:40" ht="15" customHeight="1">
      <c r="A63" s="1530"/>
      <c r="C63" s="352" t="s">
        <v>676</v>
      </c>
      <c r="D63" s="330">
        <f>Assumptions!J153</f>
        <v>-3.7621318881502573E-2</v>
      </c>
      <c r="E63" s="330">
        <v>-0.04</v>
      </c>
      <c r="F63" s="349" t="str">
        <f>Assumptions!V27</f>
        <v>% Revenue</v>
      </c>
      <c r="G63" s="231"/>
      <c r="H63" s="231"/>
      <c r="I63"/>
      <c r="J63"/>
      <c r="K63"/>
      <c r="L63"/>
      <c r="M63" s="231"/>
      <c r="N63" s="231"/>
      <c r="O63" s="231"/>
      <c r="P63" s="231"/>
      <c r="Q63" s="231"/>
      <c r="R63" s="231"/>
      <c r="S63" s="231"/>
      <c r="T63" s="231"/>
      <c r="U63" s="231"/>
      <c r="V63" s="231"/>
      <c r="W63" s="231"/>
      <c r="X63" s="231"/>
      <c r="Y63" s="231"/>
      <c r="Z63" s="231"/>
      <c r="AA63" s="231"/>
      <c r="AB63" s="231"/>
      <c r="AC63" s="231"/>
      <c r="AD63" s="231"/>
      <c r="AE63" s="231"/>
      <c r="AF63" s="231"/>
      <c r="AG63" s="373"/>
      <c r="AH63" s="10"/>
      <c r="AI63" s="10"/>
      <c r="AJ63" s="10"/>
      <c r="AK63" s="10"/>
      <c r="AL63" s="10"/>
      <c r="AM63" s="10"/>
      <c r="AN63" s="10"/>
    </row>
    <row r="64" spans="1:40" ht="15" customHeight="1">
      <c r="A64" s="1530"/>
      <c r="C64" s="352" t="s">
        <v>134</v>
      </c>
      <c r="D64" s="330">
        <f>Assumptions!S28</f>
        <v>0</v>
      </c>
      <c r="E64" s="331">
        <f>Assumptions!T28</f>
        <v>0</v>
      </c>
      <c r="F64" s="349" t="str">
        <f>Assumptions!V28</f>
        <v>% Net Income</v>
      </c>
      <c r="G64" s="231"/>
      <c r="I64"/>
      <c r="J64"/>
      <c r="K64"/>
      <c r="L64"/>
      <c r="M64" s="231"/>
      <c r="N64" s="231"/>
      <c r="O64" s="231"/>
      <c r="P64" s="231"/>
      <c r="Q64" s="231"/>
      <c r="R64" s="231"/>
      <c r="S64" s="231"/>
      <c r="T64" s="231"/>
      <c r="U64" s="231"/>
      <c r="V64" s="231"/>
      <c r="W64" s="231"/>
      <c r="X64" s="231"/>
      <c r="Y64" s="231"/>
      <c r="Z64" s="231"/>
      <c r="AA64" s="231"/>
      <c r="AB64" s="231"/>
      <c r="AC64" s="231"/>
      <c r="AD64" s="231"/>
      <c r="AE64" s="231"/>
      <c r="AF64" s="231"/>
      <c r="AG64" s="231"/>
    </row>
    <row r="65" spans="1:33" ht="15" customHeight="1">
      <c r="A65" s="1530"/>
      <c r="C65" s="352" t="s">
        <v>678</v>
      </c>
      <c r="D65" s="330">
        <f>Assumptions!S29</f>
        <v>0</v>
      </c>
      <c r="E65" s="331">
        <f>Assumptions!T29</f>
        <v>0</v>
      </c>
      <c r="F65" s="349" t="str">
        <f>Assumptions!V29</f>
        <v>% Net Income</v>
      </c>
      <c r="G65" s="231"/>
      <c r="I65"/>
      <c r="J65"/>
      <c r="K65"/>
      <c r="L65"/>
      <c r="M65" s="231"/>
      <c r="N65" s="231"/>
      <c r="O65" s="231"/>
      <c r="P65" s="231"/>
      <c r="Q65" s="231"/>
      <c r="R65" s="231"/>
      <c r="S65" s="231"/>
      <c r="T65" s="231"/>
      <c r="U65" s="231"/>
      <c r="V65" s="231"/>
      <c r="W65" s="231"/>
      <c r="X65" s="231"/>
      <c r="Y65" s="231"/>
      <c r="Z65" s="231"/>
      <c r="AA65" s="231"/>
      <c r="AB65" s="231"/>
      <c r="AC65" s="231"/>
      <c r="AD65" s="231"/>
      <c r="AE65" s="231"/>
      <c r="AF65" s="231"/>
      <c r="AG65" s="231"/>
    </row>
    <row r="66" spans="1:33" ht="15" customHeight="1">
      <c r="A66" s="1530"/>
      <c r="C66" s="352" t="s">
        <v>679</v>
      </c>
      <c r="D66" s="330">
        <f>Assumptions!I230</f>
        <v>-1.2E-2</v>
      </c>
      <c r="E66" s="330">
        <f>Assumptions!J230</f>
        <v>-0.01</v>
      </c>
      <c r="F66" s="349" t="str">
        <f>Assumptions!V30</f>
        <v>% Revenue</v>
      </c>
      <c r="G66" s="231"/>
      <c r="I66"/>
      <c r="J66"/>
      <c r="K66"/>
      <c r="L66"/>
      <c r="M66" s="231"/>
      <c r="N66" s="231"/>
      <c r="O66" s="231"/>
      <c r="P66" s="231"/>
      <c r="Q66" s="231"/>
      <c r="R66" s="231"/>
      <c r="S66" s="231"/>
      <c r="T66" s="231"/>
      <c r="U66" s="231"/>
      <c r="V66" s="231"/>
      <c r="W66" s="231"/>
      <c r="X66" s="231"/>
      <c r="Y66" s="231"/>
      <c r="Z66" s="231"/>
      <c r="AA66" s="231"/>
      <c r="AB66" s="231"/>
      <c r="AC66" s="231"/>
      <c r="AD66" s="231"/>
      <c r="AE66" s="231"/>
      <c r="AF66" s="231"/>
      <c r="AG66" s="231"/>
    </row>
    <row r="67" spans="1:33" ht="15.75" customHeight="1">
      <c r="A67" s="1530"/>
      <c r="C67" s="350" t="s">
        <v>299</v>
      </c>
      <c r="D67" s="531" t="e">
        <f>Assumptions!#REF!</f>
        <v>#REF!</v>
      </c>
      <c r="E67" s="531" t="e">
        <f>Assumptions!#REF!</f>
        <v>#REF!</v>
      </c>
      <c r="F67" s="530" t="s">
        <v>958</v>
      </c>
      <c r="G67" s="231"/>
      <c r="I67"/>
      <c r="J67"/>
      <c r="K67"/>
      <c r="L67"/>
      <c r="M67" s="231"/>
      <c r="N67" s="231"/>
      <c r="O67" s="231"/>
      <c r="P67" s="231"/>
      <c r="Q67" s="231"/>
      <c r="R67" s="231"/>
      <c r="S67" s="231"/>
      <c r="T67" s="231"/>
      <c r="U67" s="231"/>
      <c r="V67" s="231"/>
      <c r="W67" s="231"/>
      <c r="X67" s="231"/>
      <c r="Y67" s="231"/>
      <c r="Z67" s="231"/>
      <c r="AA67" s="231"/>
      <c r="AB67" s="231"/>
      <c r="AC67" s="231"/>
      <c r="AD67" s="231"/>
      <c r="AE67" s="231"/>
      <c r="AF67" s="231"/>
      <c r="AG67" s="231"/>
    </row>
    <row r="68" spans="1:33" ht="14.25">
      <c r="A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row>
    <row r="69" spans="1:33" ht="14.25">
      <c r="A69" s="1531" t="s">
        <v>109</v>
      </c>
      <c r="C69" s="286"/>
      <c r="D69" s="332" t="s">
        <v>959</v>
      </c>
      <c r="E69" s="2"/>
      <c r="G69" s="231"/>
      <c r="H69" s="231"/>
      <c r="I69" s="231"/>
      <c r="L69" s="231"/>
      <c r="M69" s="231"/>
      <c r="N69" s="231"/>
      <c r="O69" s="231"/>
      <c r="P69" s="231"/>
      <c r="Q69" s="231"/>
      <c r="R69" s="231"/>
      <c r="S69" s="231"/>
      <c r="T69" s="231"/>
      <c r="U69" s="231"/>
      <c r="V69" s="231"/>
      <c r="W69" s="231"/>
      <c r="X69" s="231"/>
      <c r="Y69" s="231"/>
      <c r="Z69" s="231"/>
      <c r="AA69" s="231"/>
      <c r="AB69" s="231"/>
      <c r="AC69" s="231"/>
      <c r="AD69" s="231"/>
      <c r="AE69" s="231"/>
      <c r="AF69" s="231"/>
      <c r="AG69" s="231"/>
    </row>
    <row r="70" spans="1:33" ht="14.25">
      <c r="A70" s="1532"/>
      <c r="C70" s="286" t="s">
        <v>960</v>
      </c>
      <c r="D70" s="1080">
        <f>SUMPRODUCT(G35:AF35,G45:AF45)+((AF43-AF44)*AF45)</f>
        <v>11282447.005702328</v>
      </c>
      <c r="E70" s="299">
        <f>D70/D72</f>
        <v>0.66706753408849573</v>
      </c>
      <c r="G70" s="231"/>
      <c r="H70" s="231"/>
      <c r="I70" s="231"/>
      <c r="J70" s="231"/>
      <c r="K70" s="1209"/>
      <c r="L70" s="231"/>
      <c r="M70" s="231"/>
      <c r="N70" s="231"/>
      <c r="O70" s="231"/>
      <c r="P70" s="231"/>
      <c r="Q70" s="231"/>
      <c r="R70" s="231"/>
      <c r="S70" s="231"/>
      <c r="T70" s="231"/>
      <c r="U70" s="231"/>
      <c r="V70" s="231"/>
      <c r="W70" s="231"/>
      <c r="X70" s="231"/>
      <c r="Y70" s="231"/>
      <c r="Z70" s="231"/>
      <c r="AA70" s="231"/>
      <c r="AB70" s="231"/>
      <c r="AC70" s="231"/>
      <c r="AD70" s="231"/>
      <c r="AE70" s="231"/>
      <c r="AF70" s="231"/>
      <c r="AG70" s="231"/>
    </row>
    <row r="71" spans="1:33" ht="14.25">
      <c r="A71" s="1532"/>
      <c r="C71" s="286" t="s">
        <v>961</v>
      </c>
      <c r="D71" s="1080">
        <f>(AF34/(F50-AF5))*AF45</f>
        <v>5631053.3959010225</v>
      </c>
      <c r="E71" s="299">
        <f>D71/D72</f>
        <v>0.33293246591150438</v>
      </c>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row>
    <row r="72" spans="1:33" ht="14.25">
      <c r="A72" s="1532"/>
      <c r="C72" s="286" t="s">
        <v>962</v>
      </c>
      <c r="D72" s="1080">
        <f>D70+D71</f>
        <v>16913500.401603349</v>
      </c>
      <c r="E72" s="2"/>
      <c r="F72" s="10" t="s">
        <v>963</v>
      </c>
      <c r="G72" s="231"/>
      <c r="H72" s="329"/>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row>
    <row r="73" spans="1:33" ht="14.25">
      <c r="A73" s="1532"/>
      <c r="C73" s="613" t="s">
        <v>964</v>
      </c>
      <c r="D73" s="614">
        <f ca="1">OP!C20</f>
        <v>191.11</v>
      </c>
      <c r="E73" s="287"/>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row>
    <row r="74" spans="1:33" ht="14.25">
      <c r="A74" s="1532"/>
      <c r="C74" s="613" t="s">
        <v>965</v>
      </c>
      <c r="D74" s="333">
        <f ca="1">D75/D73-1</f>
        <v>0.58357142425599529</v>
      </c>
      <c r="H74" s="231"/>
      <c r="I74" s="231"/>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row>
    <row r="75" spans="1:33" ht="14.25">
      <c r="A75" s="1533"/>
      <c r="C75" s="334" t="s">
        <v>966</v>
      </c>
      <c r="D75" s="335">
        <f ca="1">D72/OP!C21</f>
        <v>302.63633488956327</v>
      </c>
    </row>
    <row r="76" spans="1:33" ht="14.25">
      <c r="A76" s="319"/>
      <c r="C76" s="287"/>
      <c r="D76" s="615"/>
    </row>
    <row r="77" spans="1:33" ht="14.25">
      <c r="A77" s="1534" t="s">
        <v>967</v>
      </c>
      <c r="C77" s="344" t="s">
        <v>968</v>
      </c>
      <c r="D77" s="1081">
        <f ca="1">(SUMPRODUCT(G35:AF35,G45:AF45)+((AF43-AF44)*AF45)+(AF34/(F50+0.001-AF5))*AF45)*1000/OP!C21</f>
        <v>301236.92570554663</v>
      </c>
      <c r="E77" s="336">
        <f ca="1">D77/D75-1</f>
        <v>994.37593797345153</v>
      </c>
    </row>
    <row r="78" spans="1:33" ht="14.25">
      <c r="A78" s="1535"/>
      <c r="C78" s="344" t="s">
        <v>969</v>
      </c>
      <c r="D78" s="1081">
        <f ca="1">(SUMPRODUCT(G35:AF35,G45:AF45)+((AF43-AF44)*AF45)+(AF34/(F50+0.005-AF5))*AF45)*1000/OP!C21</f>
        <v>296007.55454422103</v>
      </c>
      <c r="E78" s="336">
        <f ca="1">D78/D75-1</f>
        <v>977.09654829529575</v>
      </c>
    </row>
    <row r="79" spans="1:33" ht="14.25">
      <c r="A79" s="342"/>
      <c r="C79" s="343"/>
      <c r="D79" s="615"/>
      <c r="E79" s="336"/>
    </row>
    <row r="80" spans="1:33" ht="14.25">
      <c r="A80" s="542" t="s">
        <v>970</v>
      </c>
      <c r="C80" s="533" t="s">
        <v>971</v>
      </c>
      <c r="D80" s="335">
        <f ca="1">D75/1.15</f>
        <v>263.1620303387507</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52:A67"/>
    <mergeCell ref="A69:A75"/>
    <mergeCell ref="A77:A78"/>
    <mergeCell ref="A34:A36"/>
    <mergeCell ref="A38:A41"/>
    <mergeCell ref="A42:AF42"/>
    <mergeCell ref="A43:A47"/>
    <mergeCell ref="A48:AF48"/>
    <mergeCell ref="A49:A50"/>
    <mergeCell ref="A33:AF33"/>
    <mergeCell ref="A1:AF2"/>
    <mergeCell ref="G3:J3"/>
    <mergeCell ref="K3:AF3"/>
    <mergeCell ref="A5:A17"/>
    <mergeCell ref="A19:A32"/>
  </mergeCells>
  <conditionalFormatting sqref="D74">
    <cfRule type="cellIs" dxfId="3" priority="1" operator="lessThan">
      <formula>0</formula>
    </cfRule>
    <cfRule type="cellIs" dxfId="2" priority="2" operator="greaterThan">
      <formula>0%</formula>
    </cfRule>
  </conditionalFormatting>
  <pageMargins left="0.75" right="0.75" top="1" bottom="1" header="0" footer="0"/>
  <pageSetup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topLeftCell="A46" zoomScale="71" zoomScaleNormal="80" workbookViewId="0">
      <selection activeCell="M63" sqref="M63"/>
    </sheetView>
  </sheetViews>
  <sheetFormatPr defaultColWidth="11.265625" defaultRowHeight="12.75" outlineLevelCol="1"/>
  <cols>
    <col min="1" max="1" width="24.265625" bestFit="1" customWidth="1"/>
    <col min="2" max="2" width="11.265625" customWidth="1" outlineLevel="1"/>
    <col min="3" max="3" width="32" customWidth="1" outlineLevel="1"/>
    <col min="4" max="4" width="20" customWidth="1" outlineLevel="1"/>
    <col min="5" max="5" width="24" customWidth="1"/>
    <col min="6" max="6" width="27.265625" customWidth="1"/>
    <col min="7" max="7" width="12.265625" style="2" customWidth="1"/>
    <col min="8" max="8" width="20.59765625" style="2" customWidth="1"/>
    <col min="9" max="9" width="11" style="2" customWidth="1"/>
    <col min="10" max="10" width="14.86328125" style="2" bestFit="1" customWidth="1"/>
    <col min="11" max="32" width="11" style="2" customWidth="1"/>
    <col min="33" max="33" width="14.265625" customWidth="1"/>
  </cols>
  <sheetData>
    <row r="1" spans="1:40" ht="21" customHeight="1">
      <c r="A1" s="1521" t="s">
        <v>889</v>
      </c>
      <c r="B1" s="1521"/>
      <c r="C1" s="1521"/>
      <c r="D1" s="1521"/>
      <c r="E1" s="1521"/>
      <c r="F1" s="1521"/>
      <c r="G1" s="1521"/>
      <c r="H1" s="1521"/>
      <c r="I1" s="1521"/>
      <c r="J1" s="1521"/>
      <c r="K1" s="1521"/>
      <c r="L1" s="1521"/>
      <c r="M1" s="1521"/>
      <c r="N1" s="1521"/>
      <c r="O1" s="1521"/>
      <c r="P1" s="1521"/>
      <c r="Q1" s="1521"/>
      <c r="R1" s="1521"/>
      <c r="S1" s="1521"/>
      <c r="T1" s="1521"/>
      <c r="U1" s="1521"/>
      <c r="V1" s="1521"/>
      <c r="W1" s="1521"/>
      <c r="X1" s="1521"/>
      <c r="Y1" s="1521"/>
      <c r="Z1" s="1521"/>
      <c r="AA1" s="1521"/>
      <c r="AB1" s="1521"/>
      <c r="AC1" s="1521"/>
      <c r="AD1" s="1521"/>
      <c r="AE1" s="1521"/>
      <c r="AF1" s="1521"/>
      <c r="AG1" s="10"/>
      <c r="AH1" s="10"/>
      <c r="AI1" s="10"/>
      <c r="AJ1" s="10"/>
      <c r="AK1" s="10"/>
      <c r="AL1" s="10"/>
      <c r="AM1" s="10"/>
      <c r="AN1" s="10"/>
    </row>
    <row r="2" spans="1:40" ht="3.75" customHeight="1" thickBot="1">
      <c r="A2" s="1522"/>
      <c r="B2" s="1522"/>
      <c r="C2" s="1522"/>
      <c r="D2" s="1522"/>
      <c r="E2" s="1522"/>
      <c r="F2" s="1522"/>
      <c r="G2" s="1522"/>
      <c r="H2" s="1522"/>
      <c r="I2" s="1522"/>
      <c r="J2" s="1522"/>
      <c r="K2" s="1522"/>
      <c r="L2" s="1522"/>
      <c r="M2" s="1522"/>
      <c r="N2" s="1522"/>
      <c r="O2" s="1522"/>
      <c r="P2" s="1522"/>
      <c r="Q2" s="1522"/>
      <c r="R2" s="1522"/>
      <c r="S2" s="1522"/>
      <c r="T2" s="1522"/>
      <c r="U2" s="1522"/>
      <c r="V2" s="1522"/>
      <c r="W2" s="1522"/>
      <c r="X2" s="1522"/>
      <c r="Y2" s="1522"/>
      <c r="Z2" s="1522"/>
      <c r="AA2" s="1522"/>
      <c r="AB2" s="1522"/>
      <c r="AC2" s="1522"/>
      <c r="AD2" s="1522"/>
      <c r="AE2" s="1522"/>
      <c r="AF2" s="1522"/>
      <c r="AG2" s="373"/>
      <c r="AH2" s="10"/>
      <c r="AI2" s="10"/>
      <c r="AJ2" s="10"/>
      <c r="AK2" s="10"/>
      <c r="AL2" s="10"/>
      <c r="AM2" s="10"/>
      <c r="AN2" s="10"/>
    </row>
    <row r="3" spans="1:40" ht="18.399999999999999" thickBot="1">
      <c r="A3" s="232" t="s">
        <v>890</v>
      </c>
      <c r="B3" s="231"/>
      <c r="C3" s="231"/>
      <c r="D3" s="231"/>
      <c r="E3" s="231"/>
      <c r="F3" s="231"/>
      <c r="G3" s="1523" t="s">
        <v>891</v>
      </c>
      <c r="H3" s="1524"/>
      <c r="I3" s="1524"/>
      <c r="J3" s="1524"/>
      <c r="K3" s="1525" t="s">
        <v>892</v>
      </c>
      <c r="L3" s="1526"/>
      <c r="M3" s="1526"/>
      <c r="N3" s="1526"/>
      <c r="O3" s="1526"/>
      <c r="P3" s="1526"/>
      <c r="Q3" s="1526"/>
      <c r="R3" s="1526"/>
      <c r="S3" s="1526"/>
      <c r="T3" s="1526"/>
      <c r="U3" s="1526"/>
      <c r="V3" s="1526"/>
      <c r="W3" s="1526"/>
      <c r="X3" s="1526"/>
      <c r="Y3" s="1526"/>
      <c r="Z3" s="1526"/>
      <c r="AA3" s="1526"/>
      <c r="AB3" s="1526"/>
      <c r="AC3" s="1526"/>
      <c r="AD3" s="1526"/>
      <c r="AE3" s="1526"/>
      <c r="AF3" s="1527"/>
      <c r="AG3" s="373"/>
      <c r="AH3" s="10"/>
      <c r="AI3" s="10"/>
      <c r="AJ3" s="10"/>
      <c r="AK3" s="10"/>
      <c r="AL3" s="10"/>
      <c r="AM3" s="10"/>
      <c r="AN3" s="10"/>
    </row>
    <row r="4" spans="1:40" ht="14.65" thickBot="1">
      <c r="A4" s="253" t="s">
        <v>893</v>
      </c>
      <c r="B4" s="825" t="s">
        <v>894</v>
      </c>
      <c r="C4" s="826" t="s">
        <v>895</v>
      </c>
      <c r="D4" s="260" t="s">
        <v>896</v>
      </c>
      <c r="E4" s="260" t="s">
        <v>897</v>
      </c>
      <c r="F4" s="261" t="s">
        <v>898</v>
      </c>
      <c r="G4" s="260">
        <v>2025</v>
      </c>
      <c r="H4" s="260">
        <v>2026</v>
      </c>
      <c r="I4" s="260">
        <v>2027</v>
      </c>
      <c r="J4" s="261">
        <v>2028</v>
      </c>
      <c r="K4" s="260">
        <v>2029</v>
      </c>
      <c r="L4" s="260">
        <v>2030</v>
      </c>
      <c r="M4" s="260">
        <v>2031</v>
      </c>
      <c r="N4" s="260">
        <v>2032</v>
      </c>
      <c r="O4" s="260">
        <v>2033</v>
      </c>
      <c r="P4" s="260">
        <v>2034</v>
      </c>
      <c r="Q4" s="260">
        <v>2035</v>
      </c>
      <c r="R4" s="260">
        <v>2036</v>
      </c>
      <c r="S4" s="260">
        <v>2037</v>
      </c>
      <c r="T4" s="260">
        <v>2038</v>
      </c>
      <c r="U4" s="260">
        <v>2039</v>
      </c>
      <c r="V4" s="260">
        <v>2040</v>
      </c>
      <c r="W4" s="260">
        <v>2041</v>
      </c>
      <c r="X4" s="260">
        <v>2042</v>
      </c>
      <c r="Y4" s="260">
        <v>2043</v>
      </c>
      <c r="Z4" s="260">
        <v>2044</v>
      </c>
      <c r="AA4" s="260">
        <v>2045</v>
      </c>
      <c r="AB4" s="260">
        <v>2046</v>
      </c>
      <c r="AC4" s="260">
        <v>2047</v>
      </c>
      <c r="AD4" s="260">
        <v>2048</v>
      </c>
      <c r="AE4" s="260">
        <v>2049</v>
      </c>
      <c r="AF4" s="261">
        <f t="shared" ref="AF4" si="0">AE4+1</f>
        <v>2050</v>
      </c>
      <c r="AG4" s="373"/>
      <c r="AH4" s="10"/>
      <c r="AI4" s="10"/>
      <c r="AJ4" s="10"/>
      <c r="AK4" s="10"/>
      <c r="AL4" s="10"/>
      <c r="AM4" s="10"/>
      <c r="AN4" s="10"/>
    </row>
    <row r="5" spans="1:40" ht="13.15">
      <c r="A5" s="1389" t="s">
        <v>899</v>
      </c>
      <c r="B5" s="827">
        <v>1</v>
      </c>
      <c r="C5" s="548" t="s">
        <v>823</v>
      </c>
      <c r="D5" s="546">
        <f>'Fin. Data'!D6</f>
        <v>0.34143294731029372</v>
      </c>
      <c r="E5" s="266">
        <f t="shared" ref="E5:F5" si="1">+E6/D6-1</f>
        <v>0.37758355997940551</v>
      </c>
      <c r="F5" s="289">
        <f t="shared" si="1"/>
        <v>0.19403830076332507</v>
      </c>
      <c r="G5" s="291">
        <f>Assumptions!G67</f>
        <v>8.3422459893048195E-2</v>
      </c>
      <c r="H5" s="292">
        <f>Assumptions!H67</f>
        <v>0.12</v>
      </c>
      <c r="I5" s="292">
        <f>Assumptions!I67</f>
        <v>0.14000000000000001</v>
      </c>
      <c r="J5" s="293">
        <f>Assumptions!J67</f>
        <v>0.17</v>
      </c>
      <c r="K5" s="291">
        <f>Assumptions!K67</f>
        <v>0.2</v>
      </c>
      <c r="L5" s="292">
        <f>Assumptions!L67</f>
        <v>0.2</v>
      </c>
      <c r="M5" s="292">
        <f>Assumptions!M67</f>
        <v>0.2</v>
      </c>
      <c r="N5" s="292">
        <f>Assumptions!N67</f>
        <v>0.17</v>
      </c>
      <c r="O5" s="292">
        <f>Assumptions!O67</f>
        <v>0.15</v>
      </c>
      <c r="P5" s="292">
        <v>0.15</v>
      </c>
      <c r="Q5" s="292">
        <v>0.1</v>
      </c>
      <c r="R5" s="292">
        <v>0.1</v>
      </c>
      <c r="S5" s="292">
        <v>0.06</v>
      </c>
      <c r="T5" s="292">
        <v>0.06</v>
      </c>
      <c r="U5" s="292">
        <v>0.06</v>
      </c>
      <c r="V5" s="292">
        <v>0.06</v>
      </c>
      <c r="W5" s="292">
        <v>0.06</v>
      </c>
      <c r="X5" s="292">
        <v>0.06</v>
      </c>
      <c r="Y5" s="292">
        <v>0.06</v>
      </c>
      <c r="Z5" s="292">
        <v>0.06</v>
      </c>
      <c r="AA5" s="292">
        <v>0.05</v>
      </c>
      <c r="AB5" s="292">
        <v>0.05</v>
      </c>
      <c r="AC5" s="292">
        <v>0.05</v>
      </c>
      <c r="AD5" s="292">
        <v>0.05</v>
      </c>
      <c r="AE5" s="292">
        <v>0.05</v>
      </c>
      <c r="AF5" s="293">
        <v>2.5000000000000001E-2</v>
      </c>
      <c r="AG5" s="329"/>
      <c r="AH5" s="10"/>
      <c r="AI5" s="10"/>
      <c r="AJ5" s="10"/>
      <c r="AK5" s="10"/>
      <c r="AL5" s="10"/>
      <c r="AM5" s="10"/>
      <c r="AN5" s="10"/>
    </row>
    <row r="6" spans="1:40" ht="14.25">
      <c r="A6" s="1389"/>
      <c r="B6" s="827">
        <v>2</v>
      </c>
      <c r="C6" s="543" t="s">
        <v>900</v>
      </c>
      <c r="D6" s="1010">
        <f>Inputs!D6</f>
        <v>852651</v>
      </c>
      <c r="E6" s="1011">
        <f>Inputs!C6</f>
        <v>1174598</v>
      </c>
      <c r="F6" s="1012">
        <f>Inputs!B6</f>
        <v>1402515</v>
      </c>
      <c r="G6" s="1030">
        <f>Assumptions!G66*1000</f>
        <v>1519500</v>
      </c>
      <c r="H6" s="1031">
        <f>Assumptions!H66*1000</f>
        <v>1701840.0000000002</v>
      </c>
      <c r="I6" s="1031">
        <f>Assumptions!I66*1000</f>
        <v>1940097.6000000003</v>
      </c>
      <c r="J6" s="1032">
        <f>Assumptions!J66*1000</f>
        <v>2269914.1920000003</v>
      </c>
      <c r="K6" s="1030">
        <f>Assumptions!K66*1000</f>
        <v>2723897.0304</v>
      </c>
      <c r="L6" s="1031">
        <f>Assumptions!L66*1000</f>
        <v>3268676.4364799997</v>
      </c>
      <c r="M6" s="1031">
        <f>Assumptions!M66*1000</f>
        <v>3922411.7237759992</v>
      </c>
      <c r="N6" s="1031">
        <f>Assumptions!N66*1000</f>
        <v>4589221.7168179182</v>
      </c>
      <c r="O6" s="1031">
        <f>Assumptions!O66*1000</f>
        <v>5277604.9743406055</v>
      </c>
      <c r="P6" s="1031">
        <f>Assumptions!P66*1000</f>
        <v>6069245.7204916961</v>
      </c>
      <c r="Q6" s="1031">
        <f>P6*(1+Q5)</f>
        <v>6676170.292540866</v>
      </c>
      <c r="R6" s="1031">
        <f t="shared" ref="R6:AF6" si="2">Q6*(1+R5)</f>
        <v>7343787.3217949532</v>
      </c>
      <c r="S6" s="1031">
        <f t="shared" si="2"/>
        <v>7784414.5611026511</v>
      </c>
      <c r="T6" s="1031">
        <f t="shared" si="2"/>
        <v>8251479.4347688109</v>
      </c>
      <c r="U6" s="1031">
        <f t="shared" si="2"/>
        <v>8746568.2008549403</v>
      </c>
      <c r="V6" s="1031">
        <f t="shared" si="2"/>
        <v>9271362.2929062378</v>
      </c>
      <c r="W6" s="1031">
        <f t="shared" si="2"/>
        <v>9827644.0304806121</v>
      </c>
      <c r="X6" s="1031">
        <f t="shared" si="2"/>
        <v>10417302.672309449</v>
      </c>
      <c r="Y6" s="1031">
        <f t="shared" si="2"/>
        <v>11042340.832648017</v>
      </c>
      <c r="Z6" s="1031">
        <f t="shared" si="2"/>
        <v>11704881.282606898</v>
      </c>
      <c r="AA6" s="1031">
        <f t="shared" si="2"/>
        <v>12290125.346737243</v>
      </c>
      <c r="AB6" s="1031">
        <f t="shared" si="2"/>
        <v>12904631.614074105</v>
      </c>
      <c r="AC6" s="1031">
        <f t="shared" si="2"/>
        <v>13549863.194777811</v>
      </c>
      <c r="AD6" s="1031">
        <f t="shared" si="2"/>
        <v>14227356.354516702</v>
      </c>
      <c r="AE6" s="1031">
        <f t="shared" si="2"/>
        <v>14938724.172242537</v>
      </c>
      <c r="AF6" s="1032">
        <f t="shared" si="2"/>
        <v>15312192.2765486</v>
      </c>
      <c r="AG6" s="374"/>
      <c r="AH6" s="10"/>
      <c r="AI6" s="10"/>
      <c r="AJ6" s="10"/>
      <c r="AK6" s="10"/>
      <c r="AL6" s="10"/>
      <c r="AM6" s="10"/>
      <c r="AN6" s="10"/>
    </row>
    <row r="7" spans="1:40" ht="13.15">
      <c r="A7" s="1389"/>
      <c r="B7" s="827">
        <v>3</v>
      </c>
      <c r="C7" s="544" t="s">
        <v>901</v>
      </c>
      <c r="D7" s="547">
        <f>D8/D6</f>
        <v>9.9212925335219221E-2</v>
      </c>
      <c r="E7" s="288">
        <f t="shared" ref="E7:F7" si="3">E8/E6</f>
        <v>0.13198217602958628</v>
      </c>
      <c r="F7" s="290">
        <f t="shared" si="3"/>
        <v>0.18544757097072045</v>
      </c>
      <c r="G7" s="294">
        <f>Assumptions!G56</f>
        <v>0.30091614654253024</v>
      </c>
      <c r="H7" s="295">
        <f>Assumptions!H56</f>
        <v>0.30869586145005434</v>
      </c>
      <c r="I7" s="295">
        <f>Assumptions!I56</f>
        <v>0.32794702111230833</v>
      </c>
      <c r="J7" s="296">
        <f>Assumptions!J56</f>
        <v>0.35</v>
      </c>
      <c r="K7" s="294">
        <f>Assumptions!K56</f>
        <v>0.35</v>
      </c>
      <c r="L7" s="295">
        <f>Assumptions!L56</f>
        <v>0.35</v>
      </c>
      <c r="M7" s="295">
        <f>Assumptions!M56</f>
        <v>0.35</v>
      </c>
      <c r="N7" s="295">
        <f>Assumptions!N56</f>
        <v>0.35</v>
      </c>
      <c r="O7" s="295">
        <f>Assumptions!O56</f>
        <v>0.35</v>
      </c>
      <c r="P7" s="295">
        <f>Assumptions!P56</f>
        <v>0.35</v>
      </c>
      <c r="Q7" s="295">
        <v>0.35</v>
      </c>
      <c r="R7" s="295">
        <v>0.35</v>
      </c>
      <c r="S7" s="295">
        <v>0.35</v>
      </c>
      <c r="T7" s="295">
        <v>0.35</v>
      </c>
      <c r="U7" s="295">
        <v>0.35</v>
      </c>
      <c r="V7" s="295">
        <v>0.35</v>
      </c>
      <c r="W7" s="295">
        <v>0.35</v>
      </c>
      <c r="X7" s="295">
        <v>0.35</v>
      </c>
      <c r="Y7" s="295">
        <v>0.35</v>
      </c>
      <c r="Z7" s="295">
        <v>0.35</v>
      </c>
      <c r="AA7" s="295">
        <v>0.35</v>
      </c>
      <c r="AB7" s="295">
        <v>0.35</v>
      </c>
      <c r="AC7" s="295">
        <v>0.35</v>
      </c>
      <c r="AD7" s="295">
        <v>0.35</v>
      </c>
      <c r="AE7" s="295">
        <v>0.35</v>
      </c>
      <c r="AF7" s="296">
        <v>0.35</v>
      </c>
      <c r="AG7" s="329"/>
      <c r="AH7" s="10"/>
      <c r="AI7" s="10"/>
      <c r="AJ7" s="10"/>
      <c r="AK7" s="10"/>
      <c r="AL7" s="10"/>
      <c r="AM7" s="10"/>
      <c r="AN7" s="10"/>
    </row>
    <row r="8" spans="1:40" ht="14.25">
      <c r="A8" s="1389"/>
      <c r="B8" s="827">
        <v>4</v>
      </c>
      <c r="C8" s="545" t="s">
        <v>61</v>
      </c>
      <c r="D8" s="1013">
        <f>'Fin. Data'!D11</f>
        <v>84594</v>
      </c>
      <c r="E8" s="1014">
        <f>'Fin. Data'!C11</f>
        <v>155026</v>
      </c>
      <c r="F8" s="1015">
        <f>'Fin. Data'!B11</f>
        <v>260093</v>
      </c>
      <c r="G8" s="1030">
        <f>G7*G6</f>
        <v>457242.0846713747</v>
      </c>
      <c r="H8" s="1031">
        <f t="shared" ref="H8:AF8" si="4">H7*H6</f>
        <v>525350.96485016053</v>
      </c>
      <c r="I8" s="1031">
        <f t="shared" si="4"/>
        <v>636249.22858713882</v>
      </c>
      <c r="J8" s="1032">
        <f t="shared" si="4"/>
        <v>794469.96720000007</v>
      </c>
      <c r="K8" s="1030">
        <f t="shared" si="4"/>
        <v>953363.96063999995</v>
      </c>
      <c r="L8" s="1031">
        <f t="shared" si="4"/>
        <v>1144036.7527679999</v>
      </c>
      <c r="M8" s="1031">
        <f t="shared" si="4"/>
        <v>1372844.1033215995</v>
      </c>
      <c r="N8" s="1031">
        <f t="shared" si="4"/>
        <v>1606227.6008862713</v>
      </c>
      <c r="O8" s="1031">
        <f t="shared" si="4"/>
        <v>1847161.7410192117</v>
      </c>
      <c r="P8" s="1031">
        <f t="shared" si="4"/>
        <v>2124236.0021720934</v>
      </c>
      <c r="Q8" s="1031">
        <f t="shared" si="4"/>
        <v>2336659.602389303</v>
      </c>
      <c r="R8" s="1031">
        <f t="shared" si="4"/>
        <v>2570325.5626282333</v>
      </c>
      <c r="S8" s="1031">
        <f t="shared" si="4"/>
        <v>2724545.0963859279</v>
      </c>
      <c r="T8" s="1031">
        <f t="shared" si="4"/>
        <v>2888017.8021690836</v>
      </c>
      <c r="U8" s="1031">
        <f t="shared" si="4"/>
        <v>3061298.8702992289</v>
      </c>
      <c r="V8" s="1031">
        <f t="shared" si="4"/>
        <v>3244976.8025171831</v>
      </c>
      <c r="W8" s="1031">
        <f t="shared" si="4"/>
        <v>3439675.4106682139</v>
      </c>
      <c r="X8" s="1031">
        <f t="shared" si="4"/>
        <v>3646055.9353083069</v>
      </c>
      <c r="Y8" s="1031">
        <f t="shared" si="4"/>
        <v>3864819.2914268053</v>
      </c>
      <c r="Z8" s="1031">
        <f t="shared" si="4"/>
        <v>4096708.4489124138</v>
      </c>
      <c r="AA8" s="1031">
        <f t="shared" si="4"/>
        <v>4301543.8713580351</v>
      </c>
      <c r="AB8" s="1031">
        <f t="shared" si="4"/>
        <v>4516621.064925937</v>
      </c>
      <c r="AC8" s="1031">
        <f t="shared" si="4"/>
        <v>4742452.1181722339</v>
      </c>
      <c r="AD8" s="1031">
        <f t="shared" si="4"/>
        <v>4979574.7240808457</v>
      </c>
      <c r="AE8" s="1031">
        <f t="shared" si="4"/>
        <v>5228553.4602848878</v>
      </c>
      <c r="AF8" s="1032">
        <f t="shared" si="4"/>
        <v>5359267.2967920098</v>
      </c>
      <c r="AG8" s="359"/>
      <c r="AH8" s="7"/>
      <c r="AI8" s="7"/>
      <c r="AJ8" s="7"/>
      <c r="AK8" s="10"/>
      <c r="AL8" s="10"/>
      <c r="AM8" s="10"/>
      <c r="AN8" s="10"/>
    </row>
    <row r="9" spans="1:40" ht="14.25">
      <c r="A9" s="1389"/>
      <c r="B9" s="827" t="s">
        <v>902</v>
      </c>
      <c r="C9" s="543" t="s">
        <v>903</v>
      </c>
      <c r="D9" s="1016">
        <v>-16199</v>
      </c>
      <c r="E9" s="1017">
        <v>-18478</v>
      </c>
      <c r="F9" s="1018">
        <v>-20744</v>
      </c>
      <c r="G9" s="1033">
        <f>$D$53*DCF!F40</f>
        <v>-17636.84</v>
      </c>
      <c r="H9" s="1034">
        <f>$D$53*DCF!G40</f>
        <v>-25538.240000000002</v>
      </c>
      <c r="I9" s="1034">
        <f>$D$53*DCF!H40</f>
        <v>-34387.807999999997</v>
      </c>
      <c r="J9" s="1035">
        <f>$D$53*DCF!I40</f>
        <v>-44476.315519999996</v>
      </c>
      <c r="K9" s="1036">
        <f>$E$53*DCF!J40</f>
        <v>-43292.207167999994</v>
      </c>
      <c r="L9" s="1037">
        <f>$E$53*DCF!K40</f>
        <v>-59635.589350399998</v>
      </c>
      <c r="M9" s="1037">
        <f>$E$53*DCF!L40</f>
        <v>-79247.647969279991</v>
      </c>
      <c r="N9" s="1037">
        <f>$E$53*DCF!M40</f>
        <v>-102782.11831193598</v>
      </c>
      <c r="O9" s="1037">
        <f>$E$53*DCF!N40</f>
        <v>-130317.44861284351</v>
      </c>
      <c r="P9" s="1037">
        <f>$E$53*DCF!O40</f>
        <v>-161983.07845888715</v>
      </c>
      <c r="Q9" s="1037">
        <f>$E$53*DCF!P40</f>
        <v>-198398.55278183729</v>
      </c>
      <c r="R9" s="1037">
        <f>$E$53*DCF!Q40</f>
        <v>-238455.57453708249</v>
      </c>
      <c r="S9" s="1037">
        <f>$E$53*DCF!R40</f>
        <v>-282518.29846785218</v>
      </c>
      <c r="T9" s="1037">
        <f>$E$53*DCF!S40</f>
        <v>-329224.78583446809</v>
      </c>
      <c r="U9" s="1037">
        <f>$E$53*DCF!T40</f>
        <v>-378733.66244308092</v>
      </c>
      <c r="V9" s="1037">
        <f>$E$53*DCF!U40</f>
        <v>-431213.07164821058</v>
      </c>
      <c r="W9" s="1037">
        <f>$E$53*DCF!V40</f>
        <v>-486841.24540564802</v>
      </c>
      <c r="X9" s="1037">
        <f>$E$53*DCF!W40</f>
        <v>-545807.10958853166</v>
      </c>
      <c r="Y9" s="1037">
        <f>$E$53*DCF!X40</f>
        <v>-608310.92562238837</v>
      </c>
      <c r="Z9" s="1037">
        <f>$E$53*DCF!Y40</f>
        <v>-674564.97061827651</v>
      </c>
      <c r="AA9" s="1037">
        <f>$E$53*DCF!Z40</f>
        <v>-744794.2583139179</v>
      </c>
      <c r="AB9" s="1037">
        <f>$E$53*DCF!AA40</f>
        <v>-818535.01039434131</v>
      </c>
      <c r="AC9" s="1037">
        <f>$E$53*DCF!AB40</f>
        <v>-895962.80007878598</v>
      </c>
      <c r="AD9" s="1037">
        <f>$E$53*DCF!AC40</f>
        <v>-977261.97924745292</v>
      </c>
      <c r="AE9" s="1037">
        <f>$E$53*DCF!AD40</f>
        <v>-1062626.1173745531</v>
      </c>
      <c r="AF9" s="1038">
        <f>$E$53*DCF!AE40</f>
        <v>-1152258.4624080085</v>
      </c>
      <c r="AG9" s="360">
        <f>SUM(D9:AF9)</f>
        <v>-10580225.118155781</v>
      </c>
      <c r="AH9" s="7"/>
      <c r="AI9" s="7"/>
      <c r="AJ9" s="7"/>
      <c r="AK9" s="10"/>
      <c r="AL9" s="10"/>
      <c r="AM9" s="10"/>
      <c r="AN9" s="10"/>
    </row>
    <row r="10" spans="1:40" ht="14.25">
      <c r="A10" s="1389"/>
      <c r="B10" s="827" t="s">
        <v>904</v>
      </c>
      <c r="C10" s="543" t="s">
        <v>905</v>
      </c>
      <c r="D10" s="1016">
        <f>-50218-D9</f>
        <v>-34019</v>
      </c>
      <c r="E10" s="1017">
        <f>-60866-E9</f>
        <v>-42388</v>
      </c>
      <c r="F10" s="1018">
        <f>-76426-F9</f>
        <v>-55682</v>
      </c>
      <c r="G10" s="1033">
        <f>G6*$D$54</f>
        <v>-59260.5</v>
      </c>
      <c r="H10" s="1039">
        <f t="shared" ref="H10:AF10" si="5">H6*$D$54</f>
        <v>-66371.760000000009</v>
      </c>
      <c r="I10" s="1039">
        <f t="shared" si="5"/>
        <v>-75663.806400000016</v>
      </c>
      <c r="J10" s="1040">
        <f t="shared" si="5"/>
        <v>-88526.653488000011</v>
      </c>
      <c r="K10" s="1036">
        <f t="shared" si="5"/>
        <v>-106231.9841856</v>
      </c>
      <c r="L10" s="1037">
        <f t="shared" si="5"/>
        <v>-127478.38102271999</v>
      </c>
      <c r="M10" s="1037">
        <f t="shared" si="5"/>
        <v>-152974.05722726395</v>
      </c>
      <c r="N10" s="1037">
        <f t="shared" si="5"/>
        <v>-178979.64695589882</v>
      </c>
      <c r="O10" s="1037">
        <f t="shared" si="5"/>
        <v>-205826.59399928362</v>
      </c>
      <c r="P10" s="1037">
        <f t="shared" si="5"/>
        <v>-236700.58309917615</v>
      </c>
      <c r="Q10" s="1037">
        <f t="shared" si="5"/>
        <v>-260370.64140909378</v>
      </c>
      <c r="R10" s="1037">
        <f t="shared" si="5"/>
        <v>-286407.70555000316</v>
      </c>
      <c r="S10" s="1037">
        <f t="shared" si="5"/>
        <v>-303592.16788300336</v>
      </c>
      <c r="T10" s="1037">
        <f t="shared" si="5"/>
        <v>-321807.69795598363</v>
      </c>
      <c r="U10" s="1037">
        <f t="shared" si="5"/>
        <v>-341116.15983334265</v>
      </c>
      <c r="V10" s="1037">
        <f t="shared" si="5"/>
        <v>-361583.12942334329</v>
      </c>
      <c r="W10" s="1037">
        <f t="shared" si="5"/>
        <v>-383278.1171887439</v>
      </c>
      <c r="X10" s="1037">
        <f t="shared" si="5"/>
        <v>-406274.8042200685</v>
      </c>
      <c r="Y10" s="1037">
        <f t="shared" si="5"/>
        <v>-430651.29247327265</v>
      </c>
      <c r="Z10" s="1037">
        <f t="shared" si="5"/>
        <v>-456490.37002166902</v>
      </c>
      <c r="AA10" s="1037">
        <f t="shared" si="5"/>
        <v>-479314.8885227525</v>
      </c>
      <c r="AB10" s="1037">
        <f t="shared" si="5"/>
        <v>-503280.6329488901</v>
      </c>
      <c r="AC10" s="1037">
        <f t="shared" si="5"/>
        <v>-528444.66459633468</v>
      </c>
      <c r="AD10" s="1037">
        <f t="shared" si="5"/>
        <v>-554866.89782615134</v>
      </c>
      <c r="AE10" s="1037">
        <f t="shared" si="5"/>
        <v>-582610.24271745898</v>
      </c>
      <c r="AF10" s="1038">
        <f t="shared" si="5"/>
        <v>-597175.49878539541</v>
      </c>
      <c r="AG10" s="359"/>
      <c r="AH10" s="7"/>
      <c r="AI10" s="7"/>
      <c r="AJ10" s="7"/>
      <c r="AK10" s="10"/>
      <c r="AL10" s="10"/>
      <c r="AM10" s="10"/>
      <c r="AN10" s="10"/>
    </row>
    <row r="11" spans="1:40" ht="14.25">
      <c r="A11" s="1389"/>
      <c r="B11" s="827" t="s">
        <v>906</v>
      </c>
      <c r="C11" s="543" t="s">
        <v>907</v>
      </c>
      <c r="D11" s="1016">
        <f>D20</f>
        <v>-96202</v>
      </c>
      <c r="E11" s="1017">
        <f>E20</f>
        <v>-147300</v>
      </c>
      <c r="F11" s="1018">
        <f>F20</f>
        <v>-146032</v>
      </c>
      <c r="G11" s="1033">
        <f>G6*$D$55</f>
        <v>-173399.00055013812</v>
      </c>
      <c r="H11" s="1039">
        <f>H6*$D$55</f>
        <v>-194206.88061615473</v>
      </c>
      <c r="I11" s="1039">
        <f t="shared" ref="I11:AF11" si="6">I6*$D$55</f>
        <v>-221395.84390241641</v>
      </c>
      <c r="J11" s="1040">
        <f t="shared" si="6"/>
        <v>-259033.13736582719</v>
      </c>
      <c r="K11" s="1033">
        <f t="shared" si="6"/>
        <v>-310839.76483899262</v>
      </c>
      <c r="L11" s="1039">
        <f t="shared" si="6"/>
        <v>-373007.71780679107</v>
      </c>
      <c r="M11" s="1039">
        <f t="shared" si="6"/>
        <v>-447609.26136814925</v>
      </c>
      <c r="N11" s="1039">
        <f t="shared" si="6"/>
        <v>-523702.83580073452</v>
      </c>
      <c r="O11" s="1039">
        <f t="shared" si="6"/>
        <v>-602258.26117084466</v>
      </c>
      <c r="P11" s="1039">
        <f t="shared" si="6"/>
        <v>-692597.00034647132</v>
      </c>
      <c r="Q11" s="1039">
        <f t="shared" si="6"/>
        <v>-761856.70038111845</v>
      </c>
      <c r="R11" s="1039">
        <f t="shared" si="6"/>
        <v>-838042.37041923043</v>
      </c>
      <c r="S11" s="1039">
        <f>S6*$D$55</f>
        <v>-888324.91264438431</v>
      </c>
      <c r="T11" s="1039">
        <f t="shared" si="6"/>
        <v>-941624.40740304743</v>
      </c>
      <c r="U11" s="1039">
        <f t="shared" si="6"/>
        <v>-998121.87184723036</v>
      </c>
      <c r="V11" s="1039">
        <f t="shared" si="6"/>
        <v>-1058009.1841580642</v>
      </c>
      <c r="W11" s="1039">
        <f t="shared" si="6"/>
        <v>-1121489.7352075481</v>
      </c>
      <c r="X11" s="1039">
        <f t="shared" si="6"/>
        <v>-1188779.119320001</v>
      </c>
      <c r="Y11" s="1039">
        <f t="shared" si="6"/>
        <v>-1260105.8664792012</v>
      </c>
      <c r="Z11" s="1039">
        <f t="shared" si="6"/>
        <v>-1335712.2184679534</v>
      </c>
      <c r="AA11" s="1039">
        <f t="shared" si="6"/>
        <v>-1402497.829391351</v>
      </c>
      <c r="AB11" s="1039">
        <f t="shared" si="6"/>
        <v>-1472622.7208609185</v>
      </c>
      <c r="AC11" s="1039">
        <f t="shared" si="6"/>
        <v>-1546253.8569039647</v>
      </c>
      <c r="AD11" s="1039">
        <f t="shared" si="6"/>
        <v>-1623566.5497491627</v>
      </c>
      <c r="AE11" s="1039">
        <f t="shared" si="6"/>
        <v>-1704744.877236621</v>
      </c>
      <c r="AF11" s="1040">
        <f t="shared" si="6"/>
        <v>-1747363.4991675364</v>
      </c>
      <c r="AG11" s="359"/>
      <c r="AH11" s="7"/>
      <c r="AI11" s="7"/>
      <c r="AJ11" s="7"/>
      <c r="AK11" s="10"/>
      <c r="AL11" s="10"/>
      <c r="AM11" s="10"/>
      <c r="AN11" s="10"/>
    </row>
    <row r="12" spans="1:40" ht="14.25">
      <c r="A12" s="1389"/>
      <c r="B12" s="827">
        <v>6</v>
      </c>
      <c r="C12" s="545" t="s">
        <v>52</v>
      </c>
      <c r="D12" s="1013">
        <f>D8-D9-D10</f>
        <v>134812</v>
      </c>
      <c r="E12" s="1014">
        <f t="shared" ref="E12:AF12" si="7">E8-E9-E10</f>
        <v>215892</v>
      </c>
      <c r="F12" s="1015">
        <f>F8-F9-F10</f>
        <v>336519</v>
      </c>
      <c r="G12" s="1041">
        <f>G8-G9-G10</f>
        <v>534139.42467137473</v>
      </c>
      <c r="H12" s="1014">
        <f t="shared" si="7"/>
        <v>617260.96485016053</v>
      </c>
      <c r="I12" s="1014">
        <f t="shared" si="7"/>
        <v>746300.84298713878</v>
      </c>
      <c r="J12" s="1042">
        <f t="shared" si="7"/>
        <v>927472.93620800006</v>
      </c>
      <c r="K12" s="1041">
        <f t="shared" si="7"/>
        <v>1102888.1519936</v>
      </c>
      <c r="L12" s="1014">
        <f t="shared" si="7"/>
        <v>1331150.7231411198</v>
      </c>
      <c r="M12" s="1014">
        <f t="shared" si="7"/>
        <v>1605065.8085181434</v>
      </c>
      <c r="N12" s="1014">
        <f t="shared" si="7"/>
        <v>1887989.3661541061</v>
      </c>
      <c r="O12" s="1014">
        <f t="shared" si="7"/>
        <v>2183305.7836313387</v>
      </c>
      <c r="P12" s="1014">
        <f t="shared" si="7"/>
        <v>2522919.6637301566</v>
      </c>
      <c r="Q12" s="1014">
        <f t="shared" si="7"/>
        <v>2795428.7965802341</v>
      </c>
      <c r="R12" s="1014">
        <f t="shared" si="7"/>
        <v>3095188.8427153192</v>
      </c>
      <c r="S12" s="1014">
        <f t="shared" si="7"/>
        <v>3310655.5627367832</v>
      </c>
      <c r="T12" s="1014">
        <f t="shared" si="7"/>
        <v>3539050.2859595353</v>
      </c>
      <c r="U12" s="1014">
        <f t="shared" si="7"/>
        <v>3781148.6925756526</v>
      </c>
      <c r="V12" s="1014">
        <f t="shared" si="7"/>
        <v>4037773.003588737</v>
      </c>
      <c r="W12" s="1014">
        <f t="shared" si="7"/>
        <v>4309794.773262606</v>
      </c>
      <c r="X12" s="1014">
        <f t="shared" si="7"/>
        <v>4598137.8491169075</v>
      </c>
      <c r="Y12" s="1014">
        <f t="shared" si="7"/>
        <v>4903781.509522466</v>
      </c>
      <c r="Z12" s="1014">
        <f t="shared" si="7"/>
        <v>5227763.7895523598</v>
      </c>
      <c r="AA12" s="1014">
        <f t="shared" si="7"/>
        <v>5525653.0181947052</v>
      </c>
      <c r="AB12" s="1014">
        <f t="shared" si="7"/>
        <v>5838436.7082691686</v>
      </c>
      <c r="AC12" s="1014">
        <f t="shared" si="7"/>
        <v>6166859.5828473549</v>
      </c>
      <c r="AD12" s="1014">
        <f t="shared" si="7"/>
        <v>6511703.6011544494</v>
      </c>
      <c r="AE12" s="1014">
        <f t="shared" si="7"/>
        <v>6873789.8203769</v>
      </c>
      <c r="AF12" s="1042">
        <f t="shared" si="7"/>
        <v>7108701.2579854131</v>
      </c>
      <c r="AG12" s="284"/>
      <c r="AH12" s="7"/>
      <c r="AI12" s="7"/>
      <c r="AJ12" s="7"/>
      <c r="AK12" s="10"/>
      <c r="AL12" s="10"/>
      <c r="AM12" s="10"/>
      <c r="AN12" s="10"/>
    </row>
    <row r="13" spans="1:40" ht="14.25">
      <c r="A13" s="1389"/>
      <c r="B13" s="827">
        <v>7</v>
      </c>
      <c r="C13" s="543" t="s">
        <v>908</v>
      </c>
      <c r="D13" s="1019">
        <f>'Fin. Data'!D14</f>
        <v>0</v>
      </c>
      <c r="E13" s="1020">
        <f>'Fin. Data'!C14</f>
        <v>0</v>
      </c>
      <c r="F13" s="1021">
        <f>'Fin. Data'!B14</f>
        <v>0</v>
      </c>
      <c r="G13" s="1036">
        <f>F43*$D$58-F44*$D$57</f>
        <v>12054.33</v>
      </c>
      <c r="H13" s="1037">
        <f t="shared" ref="H13:J13" si="8">G43*$D$58-G44*$D$57</f>
        <v>39536.235377119287</v>
      </c>
      <c r="I13" s="1037">
        <f t="shared" si="8"/>
        <v>42333.62226836208</v>
      </c>
      <c r="J13" s="1038">
        <f t="shared" si="8"/>
        <v>47736.937688798462</v>
      </c>
      <c r="K13" s="1036">
        <f>J43*$E$58-J44*$E$57</f>
        <v>49718.784734597575</v>
      </c>
      <c r="L13" s="1037">
        <f t="shared" ref="L13:AF13" si="9">K43*$E$58-K44*$E$57</f>
        <v>51159.73144311161</v>
      </c>
      <c r="M13" s="1037">
        <f t="shared" si="9"/>
        <v>59561.909451476917</v>
      </c>
      <c r="N13" s="1037">
        <f t="shared" si="9"/>
        <v>63811.01986007893</v>
      </c>
      <c r="O13" s="1037">
        <f t="shared" si="9"/>
        <v>73207.084011995103</v>
      </c>
      <c r="P13" s="1037">
        <f t="shared" si="9"/>
        <v>81340.383274790714</v>
      </c>
      <c r="Q13" s="1037">
        <f t="shared" si="9"/>
        <v>88273.606541309971</v>
      </c>
      <c r="R13" s="1037">
        <f t="shared" si="9"/>
        <v>101531.37332786969</v>
      </c>
      <c r="S13" s="1037">
        <f t="shared" si="9"/>
        <v>112037.6569447144</v>
      </c>
      <c r="T13" s="1037">
        <f t="shared" si="9"/>
        <v>127039.04460737047</v>
      </c>
      <c r="U13" s="1037">
        <f t="shared" si="9"/>
        <v>138350.44830382496</v>
      </c>
      <c r="V13" s="1037">
        <f t="shared" si="9"/>
        <v>155031.34645930136</v>
      </c>
      <c r="W13" s="1037">
        <f t="shared" si="9"/>
        <v>144029.50613004516</v>
      </c>
      <c r="X13" s="1037">
        <f t="shared" si="9"/>
        <v>168526.27329934307</v>
      </c>
      <c r="Y13" s="1037">
        <f t="shared" si="9"/>
        <v>153868.8441704888</v>
      </c>
      <c r="Z13" s="1037">
        <f t="shared" si="9"/>
        <v>187908.57729612908</v>
      </c>
      <c r="AA13" s="1037">
        <f t="shared" si="9"/>
        <v>166994.10561187862</v>
      </c>
      <c r="AB13" s="1037">
        <f t="shared" si="9"/>
        <v>212780.09266379164</v>
      </c>
      <c r="AC13" s="1037">
        <f t="shared" si="9"/>
        <v>181682.29018349867</v>
      </c>
      <c r="AD13" s="1037">
        <f t="shared" si="9"/>
        <v>242924.25393091326</v>
      </c>
      <c r="AE13" s="1037">
        <f t="shared" si="9"/>
        <v>197048.68877509187</v>
      </c>
      <c r="AF13" s="1038">
        <f t="shared" si="9"/>
        <v>279160.13827197574</v>
      </c>
      <c r="AG13" s="359"/>
      <c r="AH13" s="7"/>
      <c r="AI13" s="7"/>
      <c r="AJ13" s="7"/>
      <c r="AK13" s="10"/>
      <c r="AL13" s="10"/>
      <c r="AM13" s="10"/>
      <c r="AN13" s="10"/>
    </row>
    <row r="14" spans="1:40" ht="14.25">
      <c r="A14" s="1389"/>
      <c r="B14" s="827">
        <v>8</v>
      </c>
      <c r="C14" s="543" t="s">
        <v>909</v>
      </c>
      <c r="D14" s="1022">
        <f>'Fin. Data'!D15</f>
        <v>-997</v>
      </c>
      <c r="E14" s="1023">
        <f>'Fin. Data'!C15</f>
        <v>3588</v>
      </c>
      <c r="F14" s="1024">
        <f>'Fin. Data'!B15</f>
        <v>16922</v>
      </c>
      <c r="G14" s="1030">
        <f>AVERAGE(D14:F14)*(1+G5)</f>
        <v>7046.9408199643494</v>
      </c>
      <c r="H14" s="1031">
        <f t="shared" ref="H14:AF14" si="10">AVERAGE(E14:G14)*(1+H5)</f>
        <v>10287.924572786693</v>
      </c>
      <c r="I14" s="1031">
        <f t="shared" si="10"/>
        <v>13017.608849245398</v>
      </c>
      <c r="J14" s="1032">
        <f t="shared" si="10"/>
        <v>11837.464954378609</v>
      </c>
      <c r="K14" s="1030">
        <f t="shared" si="10"/>
        <v>14057.19935056428</v>
      </c>
      <c r="L14" s="1031">
        <f t="shared" si="10"/>
        <v>15564.909261675315</v>
      </c>
      <c r="M14" s="1031">
        <f t="shared" si="10"/>
        <v>16583.82942664728</v>
      </c>
      <c r="N14" s="1031">
        <f t="shared" si="10"/>
        <v>18020.315835165879</v>
      </c>
      <c r="O14" s="1031">
        <f t="shared" si="10"/>
        <v>19231.470900670582</v>
      </c>
      <c r="P14" s="1031">
        <f t="shared" si="10"/>
        <v>20636.986195618767</v>
      </c>
      <c r="Q14" s="1031">
        <f t="shared" si="10"/>
        <v>21225.88340820025</v>
      </c>
      <c r="R14" s="1031">
        <f t="shared" si="10"/>
        <v>22401.258184979524</v>
      </c>
      <c r="S14" s="1031">
        <f t="shared" si="10"/>
        <v>22706.658485375487</v>
      </c>
      <c r="T14" s="1031">
        <f t="shared" si="10"/>
        <v>23437.942694422862</v>
      </c>
      <c r="U14" s="1031">
        <f t="shared" si="10"/>
        <v>24219.536975554853</v>
      </c>
      <c r="V14" s="1031">
        <f t="shared" si="10"/>
        <v>24861.99548155813</v>
      </c>
      <c r="W14" s="1031">
        <f t="shared" si="10"/>
        <v>25623.547886876</v>
      </c>
      <c r="X14" s="1031">
        <f t="shared" si="10"/>
        <v>26395.795054876107</v>
      </c>
      <c r="Y14" s="1031">
        <f t="shared" si="10"/>
        <v>27164.739576236279</v>
      </c>
      <c r="Z14" s="1031">
        <f t="shared" si="10"/>
        <v>27978.375823022569</v>
      </c>
      <c r="AA14" s="1031">
        <f t="shared" si="10"/>
        <v>28538.618658947235</v>
      </c>
      <c r="AB14" s="1031">
        <f t="shared" si="10"/>
        <v>29288.606920372131</v>
      </c>
      <c r="AC14" s="1031">
        <f t="shared" si="10"/>
        <v>30031.960490819674</v>
      </c>
      <c r="AD14" s="1031">
        <f t="shared" si="10"/>
        <v>30750.715124548664</v>
      </c>
      <c r="AE14" s="1031">
        <f t="shared" si="10"/>
        <v>31524.948887509167</v>
      </c>
      <c r="AF14" s="1032">
        <f t="shared" si="10"/>
        <v>31538.438371816479</v>
      </c>
      <c r="AG14" s="359"/>
      <c r="AH14" s="7"/>
      <c r="AI14" s="7"/>
      <c r="AJ14" s="7"/>
      <c r="AK14" s="10"/>
      <c r="AL14" s="10"/>
      <c r="AM14" s="10"/>
      <c r="AN14" s="10"/>
    </row>
    <row r="15" spans="1:40" ht="14.25">
      <c r="A15" s="1389"/>
      <c r="B15" s="827">
        <v>9</v>
      </c>
      <c r="C15" s="545" t="s">
        <v>910</v>
      </c>
      <c r="D15" s="1013">
        <f t="shared" ref="D15:AF15" si="11">D8+D13+D14</f>
        <v>83597</v>
      </c>
      <c r="E15" s="1014">
        <f t="shared" si="11"/>
        <v>158614</v>
      </c>
      <c r="F15" s="1015">
        <f t="shared" si="11"/>
        <v>277015</v>
      </c>
      <c r="G15" s="1041">
        <f t="shared" si="11"/>
        <v>476343.35549133905</v>
      </c>
      <c r="H15" s="1014">
        <f t="shared" si="11"/>
        <v>575175.12480006646</v>
      </c>
      <c r="I15" s="1014">
        <f t="shared" si="11"/>
        <v>691600.45970474626</v>
      </c>
      <c r="J15" s="1042">
        <f t="shared" si="11"/>
        <v>854044.36984317715</v>
      </c>
      <c r="K15" s="1041">
        <f t="shared" si="11"/>
        <v>1017139.9447251618</v>
      </c>
      <c r="L15" s="1014">
        <f t="shared" si="11"/>
        <v>1210761.3934727868</v>
      </c>
      <c r="M15" s="1014">
        <f t="shared" si="11"/>
        <v>1448989.8421997237</v>
      </c>
      <c r="N15" s="1014">
        <f t="shared" si="11"/>
        <v>1688058.9365815162</v>
      </c>
      <c r="O15" s="1014">
        <f t="shared" si="11"/>
        <v>1939600.2959318773</v>
      </c>
      <c r="P15" s="1014">
        <f t="shared" si="11"/>
        <v>2226213.371642503</v>
      </c>
      <c r="Q15" s="1014">
        <f t="shared" si="11"/>
        <v>2446159.0923388135</v>
      </c>
      <c r="R15" s="1014">
        <f t="shared" si="11"/>
        <v>2694258.1941410825</v>
      </c>
      <c r="S15" s="1014">
        <f t="shared" si="11"/>
        <v>2859289.4118160177</v>
      </c>
      <c r="T15" s="1014">
        <f t="shared" si="11"/>
        <v>3038494.789470877</v>
      </c>
      <c r="U15" s="1014">
        <f t="shared" si="11"/>
        <v>3223868.8555786083</v>
      </c>
      <c r="V15" s="1014">
        <f t="shared" si="11"/>
        <v>3424870.1444580425</v>
      </c>
      <c r="W15" s="1014">
        <f t="shared" si="11"/>
        <v>3609328.4646851351</v>
      </c>
      <c r="X15" s="1014">
        <f t="shared" si="11"/>
        <v>3840978.0036625261</v>
      </c>
      <c r="Y15" s="1014">
        <f t="shared" si="11"/>
        <v>4045852.8751735305</v>
      </c>
      <c r="Z15" s="1014">
        <f t="shared" si="11"/>
        <v>4312595.402031566</v>
      </c>
      <c r="AA15" s="1014">
        <f t="shared" si="11"/>
        <v>4497076.5956288604</v>
      </c>
      <c r="AB15" s="1014">
        <f t="shared" si="11"/>
        <v>4758689.7645101007</v>
      </c>
      <c r="AC15" s="1014">
        <f t="shared" si="11"/>
        <v>4954166.3688465524</v>
      </c>
      <c r="AD15" s="1014">
        <f t="shared" si="11"/>
        <v>5253249.6931363074</v>
      </c>
      <c r="AE15" s="1014">
        <f t="shared" si="11"/>
        <v>5457127.0979474885</v>
      </c>
      <c r="AF15" s="1042">
        <f t="shared" si="11"/>
        <v>5669965.8734358018</v>
      </c>
      <c r="AG15" s="359"/>
      <c r="AH15" s="7"/>
      <c r="AI15" s="7"/>
      <c r="AJ15" s="7"/>
      <c r="AK15" s="10"/>
      <c r="AL15" s="10"/>
      <c r="AM15" s="10"/>
      <c r="AN15" s="10"/>
    </row>
    <row r="16" spans="1:40" ht="14.25">
      <c r="A16" s="1389"/>
      <c r="B16" s="827">
        <v>10</v>
      </c>
      <c r="C16" s="543" t="s">
        <v>911</v>
      </c>
      <c r="D16" s="1025">
        <f>'Fin. Data'!D21</f>
        <v>7180</v>
      </c>
      <c r="E16" s="1026">
        <f>'Fin. Data'!C21</f>
        <v>-17792</v>
      </c>
      <c r="F16" s="1027">
        <f>'Fin. Data'!B21</f>
        <v>-70249</v>
      </c>
      <c r="G16" s="1033">
        <f>-$D$56*G15</f>
        <v>-90505.237543354422</v>
      </c>
      <c r="H16" s="1034">
        <f>-$D$56*H15</f>
        <v>-109283.27371201263</v>
      </c>
      <c r="I16" s="1034">
        <f t="shared" ref="I16:J16" si="12">-$D$56*I15</f>
        <v>-131404.0873439018</v>
      </c>
      <c r="J16" s="1034">
        <f t="shared" si="12"/>
        <v>-162268.43027020365</v>
      </c>
      <c r="K16" s="1043">
        <f>-$E$56*K15</f>
        <v>-213599.38839228396</v>
      </c>
      <c r="L16" s="1034">
        <f>-$E$56*L15</f>
        <v>-254259.8926292852</v>
      </c>
      <c r="M16" s="1034">
        <f t="shared" ref="M16:AE16" si="13">-$E$56*M15</f>
        <v>-304287.86686194199</v>
      </c>
      <c r="N16" s="1034">
        <f t="shared" si="13"/>
        <v>-354492.3766821184</v>
      </c>
      <c r="O16" s="1034">
        <f t="shared" si="13"/>
        <v>-407316.06214569422</v>
      </c>
      <c r="P16" s="1034">
        <f t="shared" si="13"/>
        <v>-467504.80804492562</v>
      </c>
      <c r="Q16" s="1034">
        <f t="shared" si="13"/>
        <v>-513693.40939115081</v>
      </c>
      <c r="R16" s="1034">
        <f t="shared" si="13"/>
        <v>-565794.22076962725</v>
      </c>
      <c r="S16" s="1034">
        <f t="shared" si="13"/>
        <v>-600450.77648136369</v>
      </c>
      <c r="T16" s="1034">
        <f t="shared" si="13"/>
        <v>-638083.90578888415</v>
      </c>
      <c r="U16" s="1034">
        <f t="shared" si="13"/>
        <v>-677012.45967150771</v>
      </c>
      <c r="V16" s="1034">
        <f t="shared" si="13"/>
        <v>-719222.73033618892</v>
      </c>
      <c r="W16" s="1034">
        <f t="shared" si="13"/>
        <v>-757958.97758387832</v>
      </c>
      <c r="X16" s="1034">
        <f t="shared" si="13"/>
        <v>-806605.38076913042</v>
      </c>
      <c r="Y16" s="1034">
        <f t="shared" si="13"/>
        <v>-849629.10378644138</v>
      </c>
      <c r="Z16" s="1034">
        <f t="shared" si="13"/>
        <v>-905645.03442662884</v>
      </c>
      <c r="AA16" s="1034">
        <f t="shared" si="13"/>
        <v>-944386.08508206066</v>
      </c>
      <c r="AB16" s="1034">
        <f t="shared" si="13"/>
        <v>-999324.85054712114</v>
      </c>
      <c r="AC16" s="1034">
        <f t="shared" si="13"/>
        <v>-1040374.9374577759</v>
      </c>
      <c r="AD16" s="1034">
        <f t="shared" si="13"/>
        <v>-1103182.4355586246</v>
      </c>
      <c r="AE16" s="1034">
        <f t="shared" si="13"/>
        <v>-1145996.6905689726</v>
      </c>
      <c r="AF16" s="1035">
        <f>-$E$56*AF15</f>
        <v>-1190692.8334215183</v>
      </c>
      <c r="AG16" s="359"/>
      <c r="AH16" s="7"/>
      <c r="AI16" s="7"/>
      <c r="AJ16" s="7"/>
      <c r="AK16" s="10"/>
      <c r="AL16" s="10"/>
      <c r="AM16" s="10"/>
      <c r="AN16" s="10"/>
    </row>
    <row r="17" spans="1:40" ht="14.25">
      <c r="A17" s="1389"/>
      <c r="B17" s="828">
        <v>11</v>
      </c>
      <c r="C17" s="829" t="s">
        <v>357</v>
      </c>
      <c r="D17" s="1028">
        <f>'Fin. Data'!D23</f>
        <v>90777</v>
      </c>
      <c r="E17" s="1029">
        <f>'Fin. Data'!C23</f>
        <v>140822</v>
      </c>
      <c r="F17" s="1029">
        <f>'Fin. Data'!B23</f>
        <v>206766</v>
      </c>
      <c r="G17" s="1044">
        <f t="shared" ref="G17:AF17" si="14">G16+G15</f>
        <v>385838.1179479846</v>
      </c>
      <c r="H17" s="1045">
        <f t="shared" si="14"/>
        <v>465891.85108805384</v>
      </c>
      <c r="I17" s="1045">
        <f t="shared" si="14"/>
        <v>560196.3723608444</v>
      </c>
      <c r="J17" s="1046">
        <f t="shared" si="14"/>
        <v>691775.93957297353</v>
      </c>
      <c r="K17" s="1044">
        <f t="shared" si="14"/>
        <v>803540.55633287784</v>
      </c>
      <c r="L17" s="1045">
        <f t="shared" si="14"/>
        <v>956501.50084350153</v>
      </c>
      <c r="M17" s="1045">
        <f t="shared" si="14"/>
        <v>1144701.9753377817</v>
      </c>
      <c r="N17" s="1045">
        <f t="shared" si="14"/>
        <v>1333566.5598993977</v>
      </c>
      <c r="O17" s="1045">
        <f t="shared" si="14"/>
        <v>1532284.2337861832</v>
      </c>
      <c r="P17" s="1045">
        <f t="shared" si="14"/>
        <v>1758708.5635975774</v>
      </c>
      <c r="Q17" s="1045">
        <f t="shared" si="14"/>
        <v>1932465.6829476627</v>
      </c>
      <c r="R17" s="1045">
        <f t="shared" si="14"/>
        <v>2128463.9733714554</v>
      </c>
      <c r="S17" s="1045">
        <f t="shared" si="14"/>
        <v>2258838.6353346538</v>
      </c>
      <c r="T17" s="1045">
        <f t="shared" si="14"/>
        <v>2400410.883681993</v>
      </c>
      <c r="U17" s="1045">
        <f t="shared" si="14"/>
        <v>2546856.3959071008</v>
      </c>
      <c r="V17" s="1045">
        <f t="shared" si="14"/>
        <v>2705647.4141218537</v>
      </c>
      <c r="W17" s="1045">
        <f t="shared" si="14"/>
        <v>2851369.4871012568</v>
      </c>
      <c r="X17" s="1045">
        <f t="shared" si="14"/>
        <v>3034372.6228933958</v>
      </c>
      <c r="Y17" s="1045">
        <f t="shared" si="14"/>
        <v>3196223.771387089</v>
      </c>
      <c r="Z17" s="1045">
        <f t="shared" si="14"/>
        <v>3406950.3676049374</v>
      </c>
      <c r="AA17" s="1045">
        <f t="shared" si="14"/>
        <v>3552690.5105467997</v>
      </c>
      <c r="AB17" s="1045">
        <f t="shared" si="14"/>
        <v>3759364.9139629798</v>
      </c>
      <c r="AC17" s="1045">
        <f t="shared" si="14"/>
        <v>3913791.4313887767</v>
      </c>
      <c r="AD17" s="1045">
        <f t="shared" si="14"/>
        <v>4150067.2575776828</v>
      </c>
      <c r="AE17" s="1045">
        <f t="shared" si="14"/>
        <v>4311130.4073785162</v>
      </c>
      <c r="AF17" s="1046">
        <f t="shared" si="14"/>
        <v>4479273.0400142837</v>
      </c>
      <c r="AG17" s="359"/>
      <c r="AH17" s="7"/>
      <c r="AI17" s="7"/>
      <c r="AJ17" s="7"/>
      <c r="AK17" s="10"/>
      <c r="AL17" s="10"/>
      <c r="AM17" s="10"/>
      <c r="AN17" s="10"/>
    </row>
    <row r="18" spans="1:40" ht="14.25">
      <c r="A18" s="243"/>
      <c r="B18" s="254"/>
      <c r="C18" s="255" t="s">
        <v>821</v>
      </c>
      <c r="D18" s="259" t="s">
        <v>821</v>
      </c>
      <c r="E18" s="259" t="s">
        <v>821</v>
      </c>
      <c r="F18" s="259"/>
      <c r="G18" s="256" t="s">
        <v>821</v>
      </c>
      <c r="H18" s="256" t="s">
        <v>821</v>
      </c>
      <c r="I18" s="256" t="s">
        <v>821</v>
      </c>
      <c r="J18" s="256" t="s">
        <v>821</v>
      </c>
      <c r="K18" s="256" t="s">
        <v>821</v>
      </c>
      <c r="L18" s="256" t="s">
        <v>821</v>
      </c>
      <c r="M18" s="256" t="s">
        <v>821</v>
      </c>
      <c r="N18" s="256" t="s">
        <v>821</v>
      </c>
      <c r="O18" s="256" t="s">
        <v>821</v>
      </c>
      <c r="P18" s="256" t="s">
        <v>821</v>
      </c>
      <c r="Q18" s="256" t="s">
        <v>821</v>
      </c>
      <c r="R18" s="256" t="s">
        <v>821</v>
      </c>
      <c r="S18" s="256" t="s">
        <v>821</v>
      </c>
      <c r="T18" s="256" t="s">
        <v>821</v>
      </c>
      <c r="U18" s="256" t="s">
        <v>821</v>
      </c>
      <c r="V18" s="256" t="s">
        <v>821</v>
      </c>
      <c r="W18" s="256" t="s">
        <v>821</v>
      </c>
      <c r="X18" s="256" t="s">
        <v>821</v>
      </c>
      <c r="Y18" s="256" t="s">
        <v>821</v>
      </c>
      <c r="Z18" s="256" t="s">
        <v>821</v>
      </c>
      <c r="AA18" s="256" t="s">
        <v>821</v>
      </c>
      <c r="AB18" s="256" t="s">
        <v>821</v>
      </c>
      <c r="AC18" s="256" t="s">
        <v>821</v>
      </c>
      <c r="AD18" s="256" t="s">
        <v>821</v>
      </c>
      <c r="AE18" s="256" t="s">
        <v>821</v>
      </c>
      <c r="AF18" s="262" t="s">
        <v>821</v>
      </c>
      <c r="AG18" s="359"/>
      <c r="AH18" s="7"/>
      <c r="AI18" s="7"/>
      <c r="AJ18" s="7"/>
      <c r="AK18" s="10"/>
      <c r="AL18" s="10"/>
      <c r="AM18" s="10"/>
      <c r="AN18" s="10"/>
    </row>
    <row r="19" spans="1:40" ht="14.25">
      <c r="A19" s="1528" t="s">
        <v>912</v>
      </c>
      <c r="B19" s="233">
        <v>12</v>
      </c>
      <c r="C19" s="341" t="s">
        <v>913</v>
      </c>
      <c r="D19" s="989">
        <f>D22-D21-D20</f>
        <v>327414</v>
      </c>
      <c r="E19" s="990">
        <f>E22-E21-E20</f>
        <v>507343</v>
      </c>
      <c r="F19" s="991">
        <f>F22-F21-F20</f>
        <v>599316</v>
      </c>
      <c r="G19" s="1047">
        <f>G17-G10-G9-G11</f>
        <v>636134.45849812275</v>
      </c>
      <c r="H19" s="1048">
        <f t="shared" ref="H19:AF19" si="15">H17-H10-H9-H11</f>
        <v>752008.73170420853</v>
      </c>
      <c r="I19" s="1048">
        <f t="shared" si="15"/>
        <v>891643.83066326077</v>
      </c>
      <c r="J19" s="1049">
        <f t="shared" si="15"/>
        <v>1083812.0459468006</v>
      </c>
      <c r="K19" s="1050">
        <f t="shared" si="15"/>
        <v>1263904.5125254705</v>
      </c>
      <c r="L19" s="1048">
        <f t="shared" si="15"/>
        <v>1516623.1890234128</v>
      </c>
      <c r="M19" s="1048">
        <f t="shared" si="15"/>
        <v>1824532.9419024747</v>
      </c>
      <c r="N19" s="1048">
        <f t="shared" si="15"/>
        <v>2139031.160967967</v>
      </c>
      <c r="O19" s="1048">
        <f t="shared" si="15"/>
        <v>2470686.537569155</v>
      </c>
      <c r="P19" s="1048">
        <f t="shared" si="15"/>
        <v>2849989.2255021119</v>
      </c>
      <c r="Q19" s="1048">
        <f t="shared" si="15"/>
        <v>3153091.5775197125</v>
      </c>
      <c r="R19" s="1048">
        <f t="shared" si="15"/>
        <v>3491369.6238777717</v>
      </c>
      <c r="S19" s="1048">
        <f t="shared" si="15"/>
        <v>3733274.0143298935</v>
      </c>
      <c r="T19" s="1048">
        <f t="shared" si="15"/>
        <v>3993067.7748754919</v>
      </c>
      <c r="U19" s="1048">
        <f t="shared" si="15"/>
        <v>4264828.0900307549</v>
      </c>
      <c r="V19" s="1048">
        <f t="shared" si="15"/>
        <v>4556452.7993514715</v>
      </c>
      <c r="W19" s="1048">
        <f t="shared" si="15"/>
        <v>4842978.5849031964</v>
      </c>
      <c r="X19" s="1048">
        <f t="shared" si="15"/>
        <v>5175233.6560219973</v>
      </c>
      <c r="Y19" s="1048">
        <f t="shared" si="15"/>
        <v>5495291.8559619514</v>
      </c>
      <c r="Z19" s="1048">
        <f t="shared" si="15"/>
        <v>5873717.9267128371</v>
      </c>
      <c r="AA19" s="1048">
        <f t="shared" si="15"/>
        <v>6179297.4867748208</v>
      </c>
      <c r="AB19" s="1048">
        <f t="shared" si="15"/>
        <v>6553803.2781671304</v>
      </c>
      <c r="AC19" s="1048">
        <f t="shared" si="15"/>
        <v>6884452.7529678624</v>
      </c>
      <c r="AD19" s="1048">
        <f t="shared" si="15"/>
        <v>7305762.6844004495</v>
      </c>
      <c r="AE19" s="1048">
        <f t="shared" si="15"/>
        <v>7661111.6447071489</v>
      </c>
      <c r="AF19" s="1051">
        <f t="shared" si="15"/>
        <v>7976070.5003752233</v>
      </c>
      <c r="AG19" s="359"/>
      <c r="AH19" s="7"/>
      <c r="AI19" s="7"/>
      <c r="AJ19" s="7"/>
      <c r="AK19" s="10"/>
      <c r="AL19" s="10"/>
      <c r="AM19" s="10"/>
      <c r="AN19" s="10"/>
    </row>
    <row r="20" spans="1:40" ht="14.25">
      <c r="A20" s="1529"/>
      <c r="B20" s="233">
        <v>13</v>
      </c>
      <c r="C20" s="252" t="s">
        <v>914</v>
      </c>
      <c r="D20" s="992">
        <v>-96202</v>
      </c>
      <c r="E20" s="993">
        <v>-147300</v>
      </c>
      <c r="F20" s="994">
        <v>-146032</v>
      </c>
      <c r="G20" s="1052">
        <f>G11</f>
        <v>-173399.00055013812</v>
      </c>
      <c r="H20" s="1053">
        <f t="shared" ref="H20:AF20" si="16">H11</f>
        <v>-194206.88061615473</v>
      </c>
      <c r="I20" s="1053">
        <f t="shared" si="16"/>
        <v>-221395.84390241641</v>
      </c>
      <c r="J20" s="1054">
        <f t="shared" si="16"/>
        <v>-259033.13736582719</v>
      </c>
      <c r="K20" s="1055">
        <f t="shared" si="16"/>
        <v>-310839.76483899262</v>
      </c>
      <c r="L20" s="1053">
        <f t="shared" si="16"/>
        <v>-373007.71780679107</v>
      </c>
      <c r="M20" s="1053">
        <f t="shared" si="16"/>
        <v>-447609.26136814925</v>
      </c>
      <c r="N20" s="1053">
        <f t="shared" si="16"/>
        <v>-523702.83580073452</v>
      </c>
      <c r="O20" s="1053">
        <f t="shared" si="16"/>
        <v>-602258.26117084466</v>
      </c>
      <c r="P20" s="1053">
        <f t="shared" si="16"/>
        <v>-692597.00034647132</v>
      </c>
      <c r="Q20" s="1053">
        <f t="shared" si="16"/>
        <v>-761856.70038111845</v>
      </c>
      <c r="R20" s="1053">
        <f t="shared" si="16"/>
        <v>-838042.37041923043</v>
      </c>
      <c r="S20" s="1053">
        <f t="shared" si="16"/>
        <v>-888324.91264438431</v>
      </c>
      <c r="T20" s="1053">
        <f t="shared" si="16"/>
        <v>-941624.40740304743</v>
      </c>
      <c r="U20" s="1053">
        <f t="shared" si="16"/>
        <v>-998121.87184723036</v>
      </c>
      <c r="V20" s="1053">
        <f t="shared" si="16"/>
        <v>-1058009.1841580642</v>
      </c>
      <c r="W20" s="1053">
        <f t="shared" si="16"/>
        <v>-1121489.7352075481</v>
      </c>
      <c r="X20" s="1053">
        <f t="shared" si="16"/>
        <v>-1188779.119320001</v>
      </c>
      <c r="Y20" s="1053">
        <f t="shared" si="16"/>
        <v>-1260105.8664792012</v>
      </c>
      <c r="Z20" s="1053">
        <f t="shared" si="16"/>
        <v>-1335712.2184679534</v>
      </c>
      <c r="AA20" s="1053">
        <f t="shared" si="16"/>
        <v>-1402497.829391351</v>
      </c>
      <c r="AB20" s="1053">
        <f t="shared" si="16"/>
        <v>-1472622.7208609185</v>
      </c>
      <c r="AC20" s="1053">
        <f t="shared" si="16"/>
        <v>-1546253.8569039647</v>
      </c>
      <c r="AD20" s="1053">
        <f t="shared" si="16"/>
        <v>-1623566.5497491627</v>
      </c>
      <c r="AE20" s="1053">
        <f t="shared" si="16"/>
        <v>-1704744.877236621</v>
      </c>
      <c r="AF20" s="1056">
        <f t="shared" si="16"/>
        <v>-1747363.4991675364</v>
      </c>
      <c r="AG20" s="359"/>
      <c r="AH20" s="7"/>
      <c r="AI20" s="7"/>
      <c r="AJ20" s="7"/>
      <c r="AK20" s="10"/>
      <c r="AL20" s="10"/>
      <c r="AM20" s="10"/>
      <c r="AN20" s="10"/>
    </row>
    <row r="21" spans="1:40" ht="14.25">
      <c r="A21" s="1529"/>
      <c r="B21" s="233">
        <v>14</v>
      </c>
      <c r="C21" s="252" t="s">
        <v>915</v>
      </c>
      <c r="D21" s="995">
        <f>Inputs!D62</f>
        <v>-76159</v>
      </c>
      <c r="E21" s="996">
        <f>Inputs!C62</f>
        <v>-77320</v>
      </c>
      <c r="F21" s="997">
        <f>Inputs!B62</f>
        <v>-68614</v>
      </c>
      <c r="G21" s="1057">
        <f t="shared" ref="G21:J21" si="17">$D$60*(G6-F6)</f>
        <v>-7019.0999999999995</v>
      </c>
      <c r="H21" s="962">
        <f t="shared" si="17"/>
        <v>-10940.400000000014</v>
      </c>
      <c r="I21" s="962">
        <f t="shared" si="17"/>
        <v>-14295.456000000006</v>
      </c>
      <c r="J21" s="963">
        <f t="shared" si="17"/>
        <v>-19788.995519999997</v>
      </c>
      <c r="K21" s="992">
        <f t="shared" ref="K21:AF21" si="18">$E$60*(K6-J6)</f>
        <v>-22699.141919999991</v>
      </c>
      <c r="L21" s="993">
        <f t="shared" si="18"/>
        <v>-27238.970303999984</v>
      </c>
      <c r="M21" s="993">
        <f t="shared" si="18"/>
        <v>-32686.764364799976</v>
      </c>
      <c r="N21" s="993">
        <f t="shared" si="18"/>
        <v>-33340.499652095954</v>
      </c>
      <c r="O21" s="993">
        <f t="shared" si="18"/>
        <v>-34419.162876134367</v>
      </c>
      <c r="P21" s="993">
        <f t="shared" si="18"/>
        <v>-39582.037307554536</v>
      </c>
      <c r="Q21" s="993">
        <f t="shared" si="18"/>
        <v>-30346.22860245849</v>
      </c>
      <c r="R21" s="993">
        <f t="shared" si="18"/>
        <v>-33380.851462704362</v>
      </c>
      <c r="S21" s="993">
        <f t="shared" si="18"/>
        <v>-22031.361965384895</v>
      </c>
      <c r="T21" s="993">
        <f t="shared" si="18"/>
        <v>-23353.243683307992</v>
      </c>
      <c r="U21" s="993">
        <f t="shared" si="18"/>
        <v>-24754.438304306474</v>
      </c>
      <c r="V21" s="993">
        <f t="shared" si="18"/>
        <v>-26239.704602564874</v>
      </c>
      <c r="W21" s="993">
        <f t="shared" si="18"/>
        <v>-27814.086878718717</v>
      </c>
      <c r="X21" s="993">
        <f t="shared" si="18"/>
        <v>-29482.932091441846</v>
      </c>
      <c r="Y21" s="993">
        <f t="shared" si="18"/>
        <v>-31251.908016928381</v>
      </c>
      <c r="Z21" s="993">
        <f t="shared" si="18"/>
        <v>-33127.022497944068</v>
      </c>
      <c r="AA21" s="993">
        <f t="shared" si="18"/>
        <v>-29262.203206517268</v>
      </c>
      <c r="AB21" s="993">
        <f t="shared" si="18"/>
        <v>-30725.313366843111</v>
      </c>
      <c r="AC21" s="993">
        <f t="shared" si="18"/>
        <v>-32261.579035185277</v>
      </c>
      <c r="AD21" s="993">
        <f t="shared" si="18"/>
        <v>-33874.657986944541</v>
      </c>
      <c r="AE21" s="993">
        <f t="shared" si="18"/>
        <v>-35568.390886291767</v>
      </c>
      <c r="AF21" s="1058">
        <f t="shared" si="18"/>
        <v>-18673.405215303133</v>
      </c>
      <c r="AG21" s="359"/>
      <c r="AH21" s="7"/>
      <c r="AI21" s="7"/>
      <c r="AJ21" s="7"/>
      <c r="AK21" s="10"/>
      <c r="AL21" s="10"/>
      <c r="AM21" s="10"/>
      <c r="AN21" s="10"/>
    </row>
    <row r="22" spans="1:40" ht="14.25">
      <c r="A22" s="1529"/>
      <c r="B22" s="233">
        <v>15</v>
      </c>
      <c r="C22" s="257" t="s">
        <v>916</v>
      </c>
      <c r="D22" s="998">
        <v>155053</v>
      </c>
      <c r="E22" s="999">
        <v>282723</v>
      </c>
      <c r="F22" s="1000">
        <v>384670</v>
      </c>
      <c r="G22" s="1059">
        <f>G19+G20+G21</f>
        <v>455716.35794798465</v>
      </c>
      <c r="H22" s="1060">
        <f t="shared" ref="H22:AF22" si="19">H19+H20+H21</f>
        <v>546861.45108805376</v>
      </c>
      <c r="I22" s="1060">
        <f t="shared" si="19"/>
        <v>655952.53076084435</v>
      </c>
      <c r="J22" s="1061">
        <f t="shared" si="19"/>
        <v>804989.9130609734</v>
      </c>
      <c r="K22" s="1062">
        <f t="shared" si="19"/>
        <v>930365.60576647788</v>
      </c>
      <c r="L22" s="1060">
        <f t="shared" si="19"/>
        <v>1116376.5009126219</v>
      </c>
      <c r="M22" s="1060">
        <f t="shared" si="19"/>
        <v>1344236.9161695256</v>
      </c>
      <c r="N22" s="1060">
        <f t="shared" si="19"/>
        <v>1581987.8255151366</v>
      </c>
      <c r="O22" s="1060">
        <f t="shared" si="19"/>
        <v>1834009.1135221762</v>
      </c>
      <c r="P22" s="1060">
        <f t="shared" si="19"/>
        <v>2117810.187848086</v>
      </c>
      <c r="Q22" s="1060">
        <f t="shared" si="19"/>
        <v>2360888.6485361354</v>
      </c>
      <c r="R22" s="1060">
        <f t="shared" si="19"/>
        <v>2619946.4019958368</v>
      </c>
      <c r="S22" s="1060">
        <f t="shared" si="19"/>
        <v>2822917.7397201243</v>
      </c>
      <c r="T22" s="1060">
        <f t="shared" si="19"/>
        <v>3028090.1237891368</v>
      </c>
      <c r="U22" s="1060">
        <f t="shared" si="19"/>
        <v>3241951.779879218</v>
      </c>
      <c r="V22" s="1060">
        <f t="shared" si="19"/>
        <v>3472203.9105908424</v>
      </c>
      <c r="W22" s="1060">
        <f t="shared" si="19"/>
        <v>3693674.7628169293</v>
      </c>
      <c r="X22" s="1060">
        <f t="shared" si="19"/>
        <v>3956971.6046105544</v>
      </c>
      <c r="Y22" s="1060">
        <f t="shared" si="19"/>
        <v>4203934.0814658217</v>
      </c>
      <c r="Z22" s="1060">
        <f t="shared" si="19"/>
        <v>4504878.6857469399</v>
      </c>
      <c r="AA22" s="1060">
        <f t="shared" si="19"/>
        <v>4747537.4541769531</v>
      </c>
      <c r="AB22" s="1060">
        <f t="shared" si="19"/>
        <v>5050455.2439393681</v>
      </c>
      <c r="AC22" s="1060">
        <f t="shared" si="19"/>
        <v>5305937.3170287125</v>
      </c>
      <c r="AD22" s="1060">
        <f t="shared" si="19"/>
        <v>5648321.476664342</v>
      </c>
      <c r="AE22" s="1060">
        <f t="shared" si="19"/>
        <v>5920798.3765842356</v>
      </c>
      <c r="AF22" s="1063">
        <f t="shared" si="19"/>
        <v>6210033.5959923835</v>
      </c>
      <c r="AG22" s="359"/>
      <c r="AH22" s="7"/>
      <c r="AI22" s="7"/>
      <c r="AJ22" s="7"/>
      <c r="AK22" s="10"/>
      <c r="AL22" s="10"/>
      <c r="AM22" s="10"/>
      <c r="AN22" s="10"/>
    </row>
    <row r="23" spans="1:40" ht="14.25">
      <c r="A23" s="1529"/>
      <c r="B23" s="233">
        <v>16</v>
      </c>
      <c r="C23" s="252" t="s">
        <v>917</v>
      </c>
      <c r="D23" s="1001">
        <f>'Fin. Data'!D32</f>
        <v>-34515</v>
      </c>
      <c r="E23" s="1002">
        <f>'Fin. Data'!C32</f>
        <v>-45004</v>
      </c>
      <c r="F23" s="1003">
        <f>'Fin. Data'!B32</f>
        <v>-60726</v>
      </c>
      <c r="G23" s="1064">
        <f>G6*$D$62</f>
        <v>-60780</v>
      </c>
      <c r="H23" s="993">
        <f t="shared" ref="H23:J23" si="20">H6*$D$62</f>
        <v>-68073.600000000006</v>
      </c>
      <c r="I23" s="993">
        <f t="shared" si="20"/>
        <v>-77603.90400000001</v>
      </c>
      <c r="J23" s="994">
        <f t="shared" si="20"/>
        <v>-90796.567680000007</v>
      </c>
      <c r="K23" s="992">
        <f t="shared" ref="K23:AF23" si="21">K6*$E$62</f>
        <v>-163433.82182399998</v>
      </c>
      <c r="L23" s="993">
        <f t="shared" si="21"/>
        <v>-196120.58618879996</v>
      </c>
      <c r="M23" s="993">
        <f t="shared" si="21"/>
        <v>-235344.70342655995</v>
      </c>
      <c r="N23" s="993">
        <f t="shared" si="21"/>
        <v>-275353.30300907511</v>
      </c>
      <c r="O23" s="993">
        <f t="shared" si="21"/>
        <v>-316656.29846043634</v>
      </c>
      <c r="P23" s="993">
        <f t="shared" si="21"/>
        <v>-364154.74322950176</v>
      </c>
      <c r="Q23" s="993">
        <f t="shared" si="21"/>
        <v>-400570.21755245194</v>
      </c>
      <c r="R23" s="993">
        <f t="shared" si="21"/>
        <v>-440627.23930769716</v>
      </c>
      <c r="S23" s="993">
        <f t="shared" si="21"/>
        <v>-467064.87366615905</v>
      </c>
      <c r="T23" s="993">
        <f t="shared" si="21"/>
        <v>-495088.76608612866</v>
      </c>
      <c r="U23" s="993">
        <f t="shared" si="21"/>
        <v>-524794.09205129638</v>
      </c>
      <c r="V23" s="993">
        <f t="shared" si="21"/>
        <v>-556281.7375743743</v>
      </c>
      <c r="W23" s="993">
        <f t="shared" si="21"/>
        <v>-589658.64182883676</v>
      </c>
      <c r="X23" s="993">
        <f t="shared" si="21"/>
        <v>-625038.16033856687</v>
      </c>
      <c r="Y23" s="993">
        <f t="shared" si="21"/>
        <v>-662540.44995888101</v>
      </c>
      <c r="Z23" s="993">
        <f t="shared" si="21"/>
        <v>-702292.87695641385</v>
      </c>
      <c r="AA23" s="993">
        <f t="shared" si="21"/>
        <v>-737407.52080423455</v>
      </c>
      <c r="AB23" s="993">
        <f t="shared" si="21"/>
        <v>-774277.89684444631</v>
      </c>
      <c r="AC23" s="993">
        <f t="shared" si="21"/>
        <v>-812991.79168666864</v>
      </c>
      <c r="AD23" s="993">
        <f t="shared" si="21"/>
        <v>-853641.38127100212</v>
      </c>
      <c r="AE23" s="993">
        <f t="shared" si="21"/>
        <v>-896323.45033455221</v>
      </c>
      <c r="AF23" s="1058">
        <f t="shared" si="21"/>
        <v>-918731.536592916</v>
      </c>
      <c r="AG23" s="360">
        <f>SUM(D23:AF23)</f>
        <v>-12445893.160673</v>
      </c>
      <c r="AH23" s="7"/>
      <c r="AI23" s="7"/>
      <c r="AJ23" s="7"/>
      <c r="AK23" s="10"/>
      <c r="AL23" s="10"/>
      <c r="AM23" s="10"/>
      <c r="AN23" s="10"/>
    </row>
    <row r="24" spans="1:40" ht="14.25">
      <c r="A24" s="1529"/>
      <c r="B24" s="233">
        <v>17</v>
      </c>
      <c r="C24" s="252" t="s">
        <v>918</v>
      </c>
      <c r="D24" s="995">
        <f>Inputs!D66</f>
        <v>-424690</v>
      </c>
      <c r="E24" s="996">
        <f>'Fin. Data'!C33</f>
        <v>-152144</v>
      </c>
      <c r="F24" s="997">
        <f>'Fin. Data'!B33</f>
        <v>-22058</v>
      </c>
      <c r="G24" s="1064">
        <f>G6*$D$63</f>
        <v>-57165.59404044316</v>
      </c>
      <c r="H24" s="993">
        <f t="shared" ref="H24:J24" si="22">H6*$D$63</f>
        <v>-64025.465325296347</v>
      </c>
      <c r="I24" s="993">
        <f t="shared" si="22"/>
        <v>-72989.030470837839</v>
      </c>
      <c r="J24" s="994">
        <f t="shared" si="22"/>
        <v>-85397.16565088027</v>
      </c>
      <c r="K24" s="992">
        <f t="shared" ref="K24:AF24" si="23">K6*$E$63</f>
        <v>-108955.88121600001</v>
      </c>
      <c r="L24" s="993">
        <f t="shared" si="23"/>
        <v>-130747.05745919999</v>
      </c>
      <c r="M24" s="993">
        <f t="shared" si="23"/>
        <v>-156896.46895103998</v>
      </c>
      <c r="N24" s="993">
        <f t="shared" si="23"/>
        <v>-183568.86867271672</v>
      </c>
      <c r="O24" s="993">
        <f t="shared" si="23"/>
        <v>-211104.19897362424</v>
      </c>
      <c r="P24" s="993">
        <f t="shared" si="23"/>
        <v>-242769.82881966786</v>
      </c>
      <c r="Q24" s="993">
        <f t="shared" si="23"/>
        <v>-267046.81170163467</v>
      </c>
      <c r="R24" s="993">
        <f t="shared" si="23"/>
        <v>-293751.49287179811</v>
      </c>
      <c r="S24" s="993">
        <f t="shared" si="23"/>
        <v>-311376.58244410605</v>
      </c>
      <c r="T24" s="993">
        <f t="shared" si="23"/>
        <v>-330059.17739075242</v>
      </c>
      <c r="U24" s="993">
        <f t="shared" si="23"/>
        <v>-349862.72803419764</v>
      </c>
      <c r="V24" s="993">
        <f t="shared" si="23"/>
        <v>-370854.4917162495</v>
      </c>
      <c r="W24" s="993">
        <f t="shared" si="23"/>
        <v>-393105.76121922449</v>
      </c>
      <c r="X24" s="993">
        <f t="shared" si="23"/>
        <v>-416692.10689237795</v>
      </c>
      <c r="Y24" s="993">
        <f t="shared" si="23"/>
        <v>-441693.6333059207</v>
      </c>
      <c r="Z24" s="993">
        <f t="shared" si="23"/>
        <v>-468195.25130427594</v>
      </c>
      <c r="AA24" s="993">
        <f t="shared" si="23"/>
        <v>-491605.01386948972</v>
      </c>
      <c r="AB24" s="993">
        <f t="shared" si="23"/>
        <v>-516185.26456296421</v>
      </c>
      <c r="AC24" s="993">
        <f t="shared" si="23"/>
        <v>-541994.52779111243</v>
      </c>
      <c r="AD24" s="993">
        <f t="shared" si="23"/>
        <v>-569094.25418066804</v>
      </c>
      <c r="AE24" s="993">
        <f t="shared" si="23"/>
        <v>-597548.96688970155</v>
      </c>
      <c r="AF24" s="1058">
        <f t="shared" si="23"/>
        <v>-612487.691061944</v>
      </c>
      <c r="AG24" s="359"/>
      <c r="AH24" s="361">
        <f>AG9-AG23</f>
        <v>1865668.0425172187</v>
      </c>
      <c r="AI24" s="7"/>
      <c r="AJ24" s="7"/>
      <c r="AK24" s="10"/>
      <c r="AL24" s="10"/>
      <c r="AM24" s="10"/>
      <c r="AN24" s="10"/>
    </row>
    <row r="25" spans="1:40" ht="14.25">
      <c r="A25" s="1529"/>
      <c r="B25" s="233">
        <v>18</v>
      </c>
      <c r="C25" s="252" t="s">
        <v>919</v>
      </c>
      <c r="D25" s="995">
        <f>Inputs!D67</f>
        <v>-20569</v>
      </c>
      <c r="E25" s="996">
        <f>Inputs!C67</f>
        <v>-23014</v>
      </c>
      <c r="F25" s="997">
        <f>Inputs!B67</f>
        <v>-19107</v>
      </c>
      <c r="G25" s="1064">
        <f>(1+G5)*AVERAGE(D25:F25)</f>
        <v>-22639.918003565064</v>
      </c>
      <c r="H25" s="993">
        <f t="shared" ref="H25:AF25" si="24">(1+H5)*AVERAGE(E25:G25)</f>
        <v>-24177.409387997628</v>
      </c>
      <c r="I25" s="993">
        <f t="shared" si="24"/>
        <v>-25051.244408793827</v>
      </c>
      <c r="J25" s="994">
        <f t="shared" si="24"/>
        <v>-28028.743002139046</v>
      </c>
      <c r="K25" s="992">
        <f t="shared" si="24"/>
        <v>-30902.958719572202</v>
      </c>
      <c r="L25" s="993">
        <f t="shared" si="24"/>
        <v>-33593.178452202032</v>
      </c>
      <c r="M25" s="993">
        <f t="shared" si="24"/>
        <v>-37009.952069565305</v>
      </c>
      <c r="N25" s="993">
        <f t="shared" si="24"/>
        <v>-39587.374804122417</v>
      </c>
      <c r="O25" s="993">
        <f t="shared" si="24"/>
        <v>-42239.693708257735</v>
      </c>
      <c r="P25" s="993">
        <f t="shared" si="24"/>
        <v>-45554.191223079091</v>
      </c>
      <c r="Q25" s="993">
        <f t="shared" si="24"/>
        <v>-46706.461903001727</v>
      </c>
      <c r="R25" s="993">
        <f t="shared" si="24"/>
        <v>-49316.79383925748</v>
      </c>
      <c r="S25" s="993">
        <f t="shared" si="24"/>
        <v>-50024.031261086195</v>
      </c>
      <c r="T25" s="993">
        <f t="shared" si="24"/>
        <v>-51603.374741182051</v>
      </c>
      <c r="U25" s="993">
        <f t="shared" si="24"/>
        <v>-53333.617277339094</v>
      </c>
      <c r="V25" s="993">
        <f t="shared" si="24"/>
        <v>-54752.894892127937</v>
      </c>
      <c r="W25" s="993">
        <f t="shared" si="24"/>
        <v>-56423.760041762675</v>
      </c>
      <c r="X25" s="993">
        <f t="shared" si="24"/>
        <v>-58126.962847967821</v>
      </c>
      <c r="Y25" s="993">
        <f t="shared" si="24"/>
        <v>-59820.611616256647</v>
      </c>
      <c r="Z25" s="993">
        <f t="shared" si="24"/>
        <v>-61611.204858782134</v>
      </c>
      <c r="AA25" s="993">
        <f t="shared" si="24"/>
        <v>-62845.572763052311</v>
      </c>
      <c r="AB25" s="993">
        <f t="shared" si="24"/>
        <v>-64497.086233331887</v>
      </c>
      <c r="AC25" s="993">
        <f t="shared" si="24"/>
        <v>-66133.852349308218</v>
      </c>
      <c r="AD25" s="993">
        <f t="shared" si="24"/>
        <v>-67716.778970992353</v>
      </c>
      <c r="AE25" s="993">
        <f t="shared" si="24"/>
        <v>-69421.701143771366</v>
      </c>
      <c r="AF25" s="1058">
        <f t="shared" si="24"/>
        <v>-69451.380258557911</v>
      </c>
      <c r="AG25" s="284"/>
      <c r="AH25" s="7"/>
      <c r="AI25" s="7"/>
      <c r="AJ25" s="7"/>
      <c r="AK25" s="10"/>
      <c r="AL25" s="10"/>
      <c r="AM25" s="10"/>
      <c r="AN25" s="10"/>
    </row>
    <row r="26" spans="1:40" ht="14.25">
      <c r="A26" s="1529"/>
      <c r="B26" s="233">
        <v>19</v>
      </c>
      <c r="C26" s="257" t="s">
        <v>920</v>
      </c>
      <c r="D26" s="998">
        <f t="shared" ref="D26:AF26" si="25">D23+D24+D25</f>
        <v>-479774</v>
      </c>
      <c r="E26" s="999">
        <f t="shared" si="25"/>
        <v>-220162</v>
      </c>
      <c r="F26" s="1000">
        <f t="shared" si="25"/>
        <v>-101891</v>
      </c>
      <c r="G26" s="1065">
        <f>G23+G24+G25</f>
        <v>-140585.51204400824</v>
      </c>
      <c r="H26" s="999">
        <f t="shared" si="25"/>
        <v>-156276.47471329401</v>
      </c>
      <c r="I26" s="999">
        <f t="shared" si="25"/>
        <v>-175644.17887963168</v>
      </c>
      <c r="J26" s="1000">
        <f t="shared" si="25"/>
        <v>-204222.47633301932</v>
      </c>
      <c r="K26" s="998">
        <f t="shared" si="25"/>
        <v>-303292.66175957222</v>
      </c>
      <c r="L26" s="999">
        <f t="shared" si="25"/>
        <v>-360460.82210020197</v>
      </c>
      <c r="M26" s="999">
        <f t="shared" si="25"/>
        <v>-429251.12444716523</v>
      </c>
      <c r="N26" s="999">
        <f t="shared" si="25"/>
        <v>-498509.54648591427</v>
      </c>
      <c r="O26" s="999">
        <f t="shared" si="25"/>
        <v>-570000.1911423183</v>
      </c>
      <c r="P26" s="999">
        <f t="shared" si="25"/>
        <v>-652478.76327224867</v>
      </c>
      <c r="Q26" s="999">
        <f t="shared" si="25"/>
        <v>-714323.49115708831</v>
      </c>
      <c r="R26" s="999">
        <f t="shared" si="25"/>
        <v>-783695.52601875272</v>
      </c>
      <c r="S26" s="999">
        <f t="shared" si="25"/>
        <v>-828465.48737135134</v>
      </c>
      <c r="T26" s="999">
        <f t="shared" si="25"/>
        <v>-876751.31821806321</v>
      </c>
      <c r="U26" s="999">
        <f t="shared" si="25"/>
        <v>-927990.43736283318</v>
      </c>
      <c r="V26" s="999">
        <f t="shared" si="25"/>
        <v>-981889.12418275175</v>
      </c>
      <c r="W26" s="999">
        <f t="shared" si="25"/>
        <v>-1039188.163089824</v>
      </c>
      <c r="X26" s="999">
        <f t="shared" si="25"/>
        <v>-1099857.2300789126</v>
      </c>
      <c r="Y26" s="999">
        <f t="shared" si="25"/>
        <v>-1164054.6948810583</v>
      </c>
      <c r="Z26" s="999">
        <f t="shared" si="25"/>
        <v>-1232099.333119472</v>
      </c>
      <c r="AA26" s="999">
        <f t="shared" si="25"/>
        <v>-1291858.1074367766</v>
      </c>
      <c r="AB26" s="999">
        <f t="shared" si="25"/>
        <v>-1354960.2476407425</v>
      </c>
      <c r="AC26" s="999">
        <f t="shared" si="25"/>
        <v>-1421120.1718270895</v>
      </c>
      <c r="AD26" s="999">
        <f t="shared" si="25"/>
        <v>-1490452.4144226627</v>
      </c>
      <c r="AE26" s="999">
        <f t="shared" si="25"/>
        <v>-1563294.1183680252</v>
      </c>
      <c r="AF26" s="1066">
        <f t="shared" si="25"/>
        <v>-1600670.6079134177</v>
      </c>
      <c r="AG26" s="359"/>
      <c r="AH26" s="7"/>
      <c r="AI26" s="7"/>
      <c r="AJ26" s="7"/>
      <c r="AK26" s="10"/>
      <c r="AL26" s="10"/>
      <c r="AM26" s="10"/>
      <c r="AN26" s="10"/>
    </row>
    <row r="27" spans="1:40" ht="14.25">
      <c r="A27" s="1529"/>
      <c r="B27" s="233">
        <v>20</v>
      </c>
      <c r="C27" s="252" t="s">
        <v>921</v>
      </c>
      <c r="D27" s="995">
        <f>Inputs!D71+Inputs!D72</f>
        <v>0</v>
      </c>
      <c r="E27" s="996">
        <f>Inputs!C71+Inputs!C72</f>
        <v>0</v>
      </c>
      <c r="F27" s="1003">
        <f>Inputs!B71+Inputs!B72</f>
        <v>0</v>
      </c>
      <c r="G27" s="1067">
        <f>G6*$D$66</f>
        <v>-18234</v>
      </c>
      <c r="H27" s="1068">
        <f t="shared" ref="H27:J27" si="26">H6*$D$66</f>
        <v>-20422.080000000002</v>
      </c>
      <c r="I27" s="1068">
        <f t="shared" si="26"/>
        <v>-23281.171200000004</v>
      </c>
      <c r="J27" s="1069">
        <f t="shared" si="26"/>
        <v>-27238.970304000002</v>
      </c>
      <c r="K27" s="1070">
        <f>$E$66*K6</f>
        <v>-27238.970304000002</v>
      </c>
      <c r="L27" s="1068">
        <f>$E$66*L6</f>
        <v>-32686.764364799998</v>
      </c>
      <c r="M27" s="1068">
        <f t="shared" ref="M27:AE27" si="27">$E$66*M6</f>
        <v>-39224.117237759994</v>
      </c>
      <c r="N27" s="1068">
        <f t="shared" si="27"/>
        <v>-45892.217168179181</v>
      </c>
      <c r="O27" s="1068">
        <f t="shared" si="27"/>
        <v>-52776.04974340606</v>
      </c>
      <c r="P27" s="1068">
        <f t="shared" si="27"/>
        <v>-60692.457204916966</v>
      </c>
      <c r="Q27" s="1068">
        <f t="shared" si="27"/>
        <v>-66761.702925408666</v>
      </c>
      <c r="R27" s="1068">
        <f t="shared" si="27"/>
        <v>-73437.873217949527</v>
      </c>
      <c r="S27" s="1068">
        <f t="shared" si="27"/>
        <v>-77844.145611026514</v>
      </c>
      <c r="T27" s="1068">
        <f t="shared" si="27"/>
        <v>-82514.794347688105</v>
      </c>
      <c r="U27" s="1068">
        <f t="shared" si="27"/>
        <v>-87465.682008549411</v>
      </c>
      <c r="V27" s="1068">
        <f t="shared" si="27"/>
        <v>-92713.622929062374</v>
      </c>
      <c r="W27" s="1068">
        <f t="shared" si="27"/>
        <v>-98276.440304806121</v>
      </c>
      <c r="X27" s="1068">
        <f t="shared" si="27"/>
        <v>-104173.02672309449</v>
      </c>
      <c r="Y27" s="1068">
        <f t="shared" si="27"/>
        <v>-110423.40832648017</v>
      </c>
      <c r="Z27" s="1068">
        <f t="shared" si="27"/>
        <v>-117048.81282606898</v>
      </c>
      <c r="AA27" s="1068">
        <f t="shared" si="27"/>
        <v>-122901.25346737243</v>
      </c>
      <c r="AB27" s="1068">
        <f t="shared" si="27"/>
        <v>-129046.31614074105</v>
      </c>
      <c r="AC27" s="1068">
        <f t="shared" si="27"/>
        <v>-135498.63194777811</v>
      </c>
      <c r="AD27" s="1068">
        <f t="shared" si="27"/>
        <v>-142273.56354516701</v>
      </c>
      <c r="AE27" s="1068">
        <f t="shared" si="27"/>
        <v>-149387.24172242539</v>
      </c>
      <c r="AF27" s="1071">
        <f>$E$66*AF6</f>
        <v>-153121.922765486</v>
      </c>
      <c r="AG27" s="359"/>
      <c r="AH27" s="7"/>
      <c r="AI27" s="7"/>
      <c r="AJ27" s="7"/>
      <c r="AK27" s="10"/>
      <c r="AL27" s="10"/>
      <c r="AM27" s="10"/>
      <c r="AN27" s="10"/>
    </row>
    <row r="28" spans="1:40" ht="14.25">
      <c r="A28" s="1529"/>
      <c r="B28" s="233">
        <v>21</v>
      </c>
      <c r="C28" s="252" t="s">
        <v>922</v>
      </c>
      <c r="D28" s="1001">
        <f>+SUM(Inputs!D69:D70)</f>
        <v>0</v>
      </c>
      <c r="E28" s="996">
        <f>+SUM(Inputs!C69:C70)</f>
        <v>0</v>
      </c>
      <c r="F28" s="997">
        <f>+SUM(Inputs!B69:B70)</f>
        <v>0</v>
      </c>
      <c r="G28" s="1064">
        <f>G44-F44</f>
        <v>325000</v>
      </c>
      <c r="H28" s="993">
        <f t="shared" ref="H28:AF28" si="28">H44-G44</f>
        <v>-32500</v>
      </c>
      <c r="I28" s="993">
        <f t="shared" si="28"/>
        <v>-32500</v>
      </c>
      <c r="J28" s="994">
        <f t="shared" si="28"/>
        <v>-32500</v>
      </c>
      <c r="K28" s="992">
        <f t="shared" si="28"/>
        <v>-32500</v>
      </c>
      <c r="L28" s="993">
        <f t="shared" si="28"/>
        <v>-32500</v>
      </c>
      <c r="M28" s="993">
        <f t="shared" si="28"/>
        <v>-32500</v>
      </c>
      <c r="N28" s="993">
        <f t="shared" si="28"/>
        <v>-65000</v>
      </c>
      <c r="O28" s="993">
        <f t="shared" si="28"/>
        <v>-32500</v>
      </c>
      <c r="P28" s="993">
        <f t="shared" si="28"/>
        <v>-32500</v>
      </c>
      <c r="Q28" s="993">
        <f t="shared" si="28"/>
        <v>0</v>
      </c>
      <c r="R28" s="993">
        <f t="shared" si="28"/>
        <v>0</v>
      </c>
      <c r="S28" s="993">
        <f t="shared" si="28"/>
        <v>0</v>
      </c>
      <c r="T28" s="993">
        <f t="shared" si="28"/>
        <v>0</v>
      </c>
      <c r="U28" s="993">
        <f t="shared" si="28"/>
        <v>0</v>
      </c>
      <c r="V28" s="993">
        <f t="shared" si="28"/>
        <v>0</v>
      </c>
      <c r="W28" s="993">
        <f t="shared" si="28"/>
        <v>0</v>
      </c>
      <c r="X28" s="993">
        <f t="shared" si="28"/>
        <v>0</v>
      </c>
      <c r="Y28" s="993">
        <f t="shared" si="28"/>
        <v>0</v>
      </c>
      <c r="Z28" s="993">
        <f t="shared" si="28"/>
        <v>0</v>
      </c>
      <c r="AA28" s="993">
        <f t="shared" si="28"/>
        <v>0</v>
      </c>
      <c r="AB28" s="993">
        <f t="shared" si="28"/>
        <v>0</v>
      </c>
      <c r="AC28" s="993">
        <f t="shared" si="28"/>
        <v>0</v>
      </c>
      <c r="AD28" s="993">
        <f t="shared" si="28"/>
        <v>0</v>
      </c>
      <c r="AE28" s="993">
        <f t="shared" si="28"/>
        <v>0</v>
      </c>
      <c r="AF28" s="1058">
        <f t="shared" si="28"/>
        <v>0</v>
      </c>
      <c r="AG28" s="359"/>
      <c r="AH28" s="7"/>
      <c r="AI28" s="7"/>
      <c r="AJ28" s="7"/>
      <c r="AK28" s="10"/>
      <c r="AL28" s="10"/>
      <c r="AM28" s="10"/>
      <c r="AN28" s="10"/>
    </row>
    <row r="29" spans="1:40" ht="14.25">
      <c r="A29" s="1529"/>
      <c r="B29" s="233">
        <v>22</v>
      </c>
      <c r="C29" s="252" t="s">
        <v>923</v>
      </c>
      <c r="D29" s="1001">
        <f>'Fin. Data'!D28</f>
        <v>0</v>
      </c>
      <c r="E29" s="996">
        <f>'Fin. Data'!C28</f>
        <v>-150000</v>
      </c>
      <c r="F29" s="1003">
        <f>Assumptions!M256</f>
        <v>-150000</v>
      </c>
      <c r="G29" s="1064">
        <f>Assumptions!N256</f>
        <v>-150000</v>
      </c>
      <c r="H29" s="993">
        <f>Assumptions!O256</f>
        <v>-200000</v>
      </c>
      <c r="I29" s="993">
        <f>Assumptions!P256</f>
        <v>-200000</v>
      </c>
      <c r="J29" s="994">
        <f>Assumptions!Q256</f>
        <v>-250000</v>
      </c>
      <c r="K29" s="992">
        <f>-J36-J43*0.1</f>
        <v>-443721.10536234442</v>
      </c>
      <c r="L29" s="993">
        <f t="shared" ref="L29:O29" si="29">-K36-K43*0.1</f>
        <v>-288666.79411300772</v>
      </c>
      <c r="M29" s="993">
        <f t="shared" si="29"/>
        <v>-607322.25814051984</v>
      </c>
      <c r="N29" s="993">
        <f t="shared" si="29"/>
        <v>-464793.49578439619</v>
      </c>
      <c r="O29" s="993">
        <f t="shared" si="29"/>
        <v>-787425.90212462726</v>
      </c>
      <c r="P29" s="993">
        <f>-O36-O43*0.2</f>
        <v>-1028835.0367101503</v>
      </c>
      <c r="Q29" s="993">
        <f t="shared" ref="Q29:U29" si="30">-P36-P43*0.2</f>
        <v>-1049492.7829912498</v>
      </c>
      <c r="R29" s="993">
        <f t="shared" si="30"/>
        <v>-1342561.658085346</v>
      </c>
      <c r="S29" s="993">
        <f t="shared" si="30"/>
        <v>-1316552.6002315036</v>
      </c>
      <c r="T29" s="993">
        <f t="shared" si="30"/>
        <v>-1616367.8633652064</v>
      </c>
      <c r="U29" s="993">
        <f t="shared" si="30"/>
        <v>-1559259.7342887789</v>
      </c>
      <c r="V29" s="993">
        <f>-U36-U43*0.35</f>
        <v>-2837674.7766492758</v>
      </c>
      <c r="W29" s="993">
        <f t="shared" ref="W29:AF29" si="31">-V36-V43*0.35</f>
        <v>-1576339.4726503845</v>
      </c>
      <c r="X29" s="993">
        <f t="shared" si="31"/>
        <v>-3339238.5129627171</v>
      </c>
      <c r="Y29" s="993">
        <f t="shared" si="31"/>
        <v>-1567866.6532326732</v>
      </c>
      <c r="Z29" s="993">
        <f t="shared" si="31"/>
        <v>-3992309.4071714166</v>
      </c>
      <c r="AA29" s="993">
        <f t="shared" si="31"/>
        <v>-1501338.6111962828</v>
      </c>
      <c r="AB29" s="993">
        <f t="shared" si="31"/>
        <v>-4810360.7793696038</v>
      </c>
      <c r="AC29" s="993">
        <f t="shared" si="31"/>
        <v>-1299639.9633572618</v>
      </c>
      <c r="AD29" s="993">
        <f t="shared" si="31"/>
        <v>-5850618.104929368</v>
      </c>
      <c r="AE29" s="993">
        <f t="shared" si="31"/>
        <v>-923659.0366184297</v>
      </c>
      <c r="AF29" s="1058">
        <f t="shared" si="31"/>
        <v>-7192699.9156830162</v>
      </c>
      <c r="AG29" s="359"/>
      <c r="AH29" s="7"/>
      <c r="AI29" s="7"/>
      <c r="AJ29" s="7"/>
      <c r="AK29" s="10"/>
      <c r="AL29" s="10"/>
      <c r="AM29" s="10"/>
      <c r="AN29" s="10"/>
    </row>
    <row r="30" spans="1:40" s="7" customFormat="1" ht="14.25">
      <c r="A30" s="1529"/>
      <c r="B30" s="233">
        <v>23</v>
      </c>
      <c r="C30" s="252" t="s">
        <v>924</v>
      </c>
      <c r="D30" s="995">
        <f>'Fin. Data'!D27</f>
        <v>0</v>
      </c>
      <c r="E30" s="996">
        <f>'Fin. Data'!C27</f>
        <v>0</v>
      </c>
      <c r="F30" s="997">
        <f>'Fin. Data'!B27</f>
        <v>0</v>
      </c>
      <c r="G30" s="1064">
        <f>-$D$64*G17</f>
        <v>0</v>
      </c>
      <c r="H30" s="993">
        <f t="shared" ref="H30:J30" si="32">-$D$64*H17</f>
        <v>0</v>
      </c>
      <c r="I30" s="993">
        <f t="shared" si="32"/>
        <v>0</v>
      </c>
      <c r="J30" s="994">
        <f t="shared" si="32"/>
        <v>0</v>
      </c>
      <c r="K30" s="992">
        <f t="shared" ref="K30:AF30" si="33">-$E$64*K17</f>
        <v>0</v>
      </c>
      <c r="L30" s="993">
        <f t="shared" si="33"/>
        <v>0</v>
      </c>
      <c r="M30" s="993">
        <f t="shared" si="33"/>
        <v>0</v>
      </c>
      <c r="N30" s="993">
        <f t="shared" si="33"/>
        <v>0</v>
      </c>
      <c r="O30" s="993">
        <f t="shared" si="33"/>
        <v>0</v>
      </c>
      <c r="P30" s="993">
        <f t="shared" si="33"/>
        <v>0</v>
      </c>
      <c r="Q30" s="993">
        <f t="shared" si="33"/>
        <v>0</v>
      </c>
      <c r="R30" s="993">
        <f t="shared" si="33"/>
        <v>0</v>
      </c>
      <c r="S30" s="993">
        <f t="shared" si="33"/>
        <v>0</v>
      </c>
      <c r="T30" s="993">
        <f t="shared" si="33"/>
        <v>0</v>
      </c>
      <c r="U30" s="993">
        <f t="shared" si="33"/>
        <v>0</v>
      </c>
      <c r="V30" s="993">
        <f t="shared" si="33"/>
        <v>0</v>
      </c>
      <c r="W30" s="993">
        <f t="shared" si="33"/>
        <v>0</v>
      </c>
      <c r="X30" s="993">
        <f t="shared" si="33"/>
        <v>0</v>
      </c>
      <c r="Y30" s="993">
        <f t="shared" si="33"/>
        <v>0</v>
      </c>
      <c r="Z30" s="993">
        <f t="shared" si="33"/>
        <v>0</v>
      </c>
      <c r="AA30" s="993">
        <f t="shared" si="33"/>
        <v>0</v>
      </c>
      <c r="AB30" s="993">
        <f t="shared" si="33"/>
        <v>0</v>
      </c>
      <c r="AC30" s="993">
        <f t="shared" si="33"/>
        <v>0</v>
      </c>
      <c r="AD30" s="993">
        <f t="shared" si="33"/>
        <v>0</v>
      </c>
      <c r="AE30" s="993">
        <f t="shared" si="33"/>
        <v>0</v>
      </c>
      <c r="AF30" s="1058">
        <f t="shared" si="33"/>
        <v>0</v>
      </c>
      <c r="AG30" s="359"/>
      <c r="AK30" s="10"/>
      <c r="AL30" s="10"/>
      <c r="AM30" s="10"/>
      <c r="AN30" s="10"/>
    </row>
    <row r="31" spans="1:40" s="3" customFormat="1" ht="14.25">
      <c r="A31" s="1529"/>
      <c r="B31" s="233">
        <v>24</v>
      </c>
      <c r="C31" s="252" t="s">
        <v>925</v>
      </c>
      <c r="D31" s="1004">
        <f>Inputs!D75</f>
        <v>0</v>
      </c>
      <c r="E31" s="1005">
        <f>Inputs!C75</f>
        <v>0</v>
      </c>
      <c r="F31" s="1006">
        <f>Inputs!B75</f>
        <v>0</v>
      </c>
      <c r="G31" s="1064">
        <f t="shared" ref="G31:AF31" si="34">(1+G5)*AVERAGE(D31:F31)</f>
        <v>0</v>
      </c>
      <c r="H31" s="993">
        <f t="shared" si="34"/>
        <v>0</v>
      </c>
      <c r="I31" s="993">
        <f t="shared" si="34"/>
        <v>0</v>
      </c>
      <c r="J31" s="994">
        <f t="shared" si="34"/>
        <v>0</v>
      </c>
      <c r="K31" s="1072">
        <f t="shared" si="34"/>
        <v>0</v>
      </c>
      <c r="L31" s="1073">
        <f t="shared" si="34"/>
        <v>0</v>
      </c>
      <c r="M31" s="1073">
        <f t="shared" si="34"/>
        <v>0</v>
      </c>
      <c r="N31" s="1073">
        <f t="shared" si="34"/>
        <v>0</v>
      </c>
      <c r="O31" s="1073">
        <f t="shared" si="34"/>
        <v>0</v>
      </c>
      <c r="P31" s="1073">
        <f t="shared" si="34"/>
        <v>0</v>
      </c>
      <c r="Q31" s="1073">
        <f t="shared" si="34"/>
        <v>0</v>
      </c>
      <c r="R31" s="1073">
        <f t="shared" si="34"/>
        <v>0</v>
      </c>
      <c r="S31" s="1073">
        <f t="shared" si="34"/>
        <v>0</v>
      </c>
      <c r="T31" s="1073">
        <f t="shared" si="34"/>
        <v>0</v>
      </c>
      <c r="U31" s="1073">
        <f t="shared" si="34"/>
        <v>0</v>
      </c>
      <c r="V31" s="1073">
        <f t="shared" si="34"/>
        <v>0</v>
      </c>
      <c r="W31" s="1073">
        <f t="shared" si="34"/>
        <v>0</v>
      </c>
      <c r="X31" s="1073">
        <f t="shared" si="34"/>
        <v>0</v>
      </c>
      <c r="Y31" s="1073">
        <f t="shared" si="34"/>
        <v>0</v>
      </c>
      <c r="Z31" s="1073">
        <f t="shared" si="34"/>
        <v>0</v>
      </c>
      <c r="AA31" s="1073">
        <f t="shared" si="34"/>
        <v>0</v>
      </c>
      <c r="AB31" s="1073">
        <f t="shared" si="34"/>
        <v>0</v>
      </c>
      <c r="AC31" s="1073">
        <f t="shared" si="34"/>
        <v>0</v>
      </c>
      <c r="AD31" s="1073">
        <f t="shared" si="34"/>
        <v>0</v>
      </c>
      <c r="AE31" s="1073">
        <f t="shared" si="34"/>
        <v>0</v>
      </c>
      <c r="AF31" s="1074">
        <f t="shared" si="34"/>
        <v>0</v>
      </c>
      <c r="AG31" s="359"/>
      <c r="AH31" s="377"/>
      <c r="AI31" s="377"/>
      <c r="AJ31" s="377"/>
      <c r="AK31" s="375"/>
      <c r="AL31" s="375"/>
      <c r="AM31" s="375"/>
      <c r="AN31" s="375"/>
    </row>
    <row r="32" spans="1:40" s="7" customFormat="1" ht="16.5" customHeight="1">
      <c r="A32" s="1529"/>
      <c r="B32" s="234">
        <v>25</v>
      </c>
      <c r="C32" s="258" t="s">
        <v>926</v>
      </c>
      <c r="D32" s="1007">
        <f t="shared" ref="D32:AF32" si="35">D27+D28+D29+D30+D31</f>
        <v>0</v>
      </c>
      <c r="E32" s="1008">
        <f t="shared" si="35"/>
        <v>-150000</v>
      </c>
      <c r="F32" s="1009">
        <f t="shared" si="35"/>
        <v>-150000</v>
      </c>
      <c r="G32" s="1075">
        <f>G27+G28+G29+G30+G31</f>
        <v>156766</v>
      </c>
      <c r="H32" s="1076">
        <f t="shared" si="35"/>
        <v>-252922.08000000002</v>
      </c>
      <c r="I32" s="1076">
        <f t="shared" si="35"/>
        <v>-255781.17120000001</v>
      </c>
      <c r="J32" s="1077">
        <f t="shared" si="35"/>
        <v>-309738.97030400002</v>
      </c>
      <c r="K32" s="1078">
        <f t="shared" si="35"/>
        <v>-503460.07566634443</v>
      </c>
      <c r="L32" s="1076">
        <f t="shared" si="35"/>
        <v>-353853.55847780773</v>
      </c>
      <c r="M32" s="1076">
        <f t="shared" si="35"/>
        <v>-679046.37537827983</v>
      </c>
      <c r="N32" s="1076">
        <f t="shared" si="35"/>
        <v>-575685.71295257541</v>
      </c>
      <c r="O32" s="1076">
        <f t="shared" si="35"/>
        <v>-872701.95186803327</v>
      </c>
      <c r="P32" s="1076">
        <f t="shared" si="35"/>
        <v>-1122027.4939150673</v>
      </c>
      <c r="Q32" s="1076">
        <f t="shared" si="35"/>
        <v>-1116254.4859166585</v>
      </c>
      <c r="R32" s="1076">
        <f t="shared" si="35"/>
        <v>-1415999.5313032954</v>
      </c>
      <c r="S32" s="1076">
        <f t="shared" si="35"/>
        <v>-1394396.7458425302</v>
      </c>
      <c r="T32" s="1076">
        <f t="shared" si="35"/>
        <v>-1698882.6577128945</v>
      </c>
      <c r="U32" s="1076">
        <f t="shared" si="35"/>
        <v>-1646725.4162973282</v>
      </c>
      <c r="V32" s="1076">
        <f t="shared" si="35"/>
        <v>-2930388.399578338</v>
      </c>
      <c r="W32" s="1076">
        <f t="shared" si="35"/>
        <v>-1674615.9129551908</v>
      </c>
      <c r="X32" s="1076">
        <f t="shared" si="35"/>
        <v>-3443411.5396858114</v>
      </c>
      <c r="Y32" s="1076">
        <f t="shared" si="35"/>
        <v>-1678290.0615591533</v>
      </c>
      <c r="Z32" s="1076">
        <f t="shared" si="35"/>
        <v>-4109358.2199974856</v>
      </c>
      <c r="AA32" s="1076">
        <f t="shared" si="35"/>
        <v>-1624239.8646636552</v>
      </c>
      <c r="AB32" s="1076">
        <f t="shared" si="35"/>
        <v>-4939407.095510345</v>
      </c>
      <c r="AC32" s="1076">
        <f t="shared" si="35"/>
        <v>-1435138.59530504</v>
      </c>
      <c r="AD32" s="1076">
        <f t="shared" si="35"/>
        <v>-5992891.6684745355</v>
      </c>
      <c r="AE32" s="1076">
        <f t="shared" si="35"/>
        <v>-1073046.2783408551</v>
      </c>
      <c r="AF32" s="1079">
        <f t="shared" si="35"/>
        <v>-7345821.8384485021</v>
      </c>
      <c r="AG32" s="359"/>
      <c r="AH32" s="20"/>
      <c r="AK32" s="10"/>
      <c r="AL32" s="10"/>
      <c r="AM32" s="10"/>
      <c r="AN32" s="10"/>
    </row>
    <row r="33" spans="1:40">
      <c r="A33" s="1517"/>
      <c r="B33" s="1518"/>
      <c r="C33" s="1518"/>
      <c r="D33" s="1518"/>
      <c r="E33" s="1518"/>
      <c r="F33" s="1518"/>
      <c r="G33" s="1519"/>
      <c r="H33" s="1519"/>
      <c r="I33" s="1519"/>
      <c r="J33" s="1519"/>
      <c r="K33" s="1519"/>
      <c r="L33" s="1519"/>
      <c r="M33" s="1519"/>
      <c r="N33" s="1519"/>
      <c r="O33" s="1519"/>
      <c r="P33" s="1519"/>
      <c r="Q33" s="1519"/>
      <c r="R33" s="1519"/>
      <c r="S33" s="1519"/>
      <c r="T33" s="1519"/>
      <c r="U33" s="1519"/>
      <c r="V33" s="1519"/>
      <c r="W33" s="1519"/>
      <c r="X33" s="1519"/>
      <c r="Y33" s="1519"/>
      <c r="Z33" s="1519"/>
      <c r="AA33" s="1519"/>
      <c r="AB33" s="1519"/>
      <c r="AC33" s="1519"/>
      <c r="AD33" s="1519"/>
      <c r="AE33" s="1519"/>
      <c r="AF33" s="1520"/>
      <c r="AG33" s="10"/>
      <c r="AH33" s="10"/>
      <c r="AI33" s="7"/>
      <c r="AJ33" s="7"/>
      <c r="AK33" s="10"/>
      <c r="AL33" s="10"/>
      <c r="AM33" s="10"/>
      <c r="AN33" s="10"/>
    </row>
    <row r="34" spans="1:40" ht="14.25">
      <c r="A34" s="1536" t="s">
        <v>927</v>
      </c>
      <c r="B34" s="233">
        <v>26</v>
      </c>
      <c r="C34" s="237" t="s">
        <v>928</v>
      </c>
      <c r="D34" s="972">
        <f>D22+D26+D27+D28+D31</f>
        <v>-324721</v>
      </c>
      <c r="E34" s="973">
        <f>E22+E26+E27+E28+E31</f>
        <v>62561</v>
      </c>
      <c r="F34" s="974">
        <f>F22+F26+F27+F28+F31</f>
        <v>282779</v>
      </c>
      <c r="G34" s="975">
        <f t="shared" ref="G34:AF34" si="36">G22+G26+G27+G28+G31</f>
        <v>621896.84590397635</v>
      </c>
      <c r="H34" s="976">
        <f t="shared" si="36"/>
        <v>337662.89637475973</v>
      </c>
      <c r="I34" s="976">
        <f t="shared" si="36"/>
        <v>424527.18068121269</v>
      </c>
      <c r="J34" s="977">
        <f t="shared" si="36"/>
        <v>541028.46642395412</v>
      </c>
      <c r="K34" s="978">
        <f t="shared" si="36"/>
        <v>567333.9737029057</v>
      </c>
      <c r="L34" s="976">
        <f t="shared" si="36"/>
        <v>690728.91444761993</v>
      </c>
      <c r="M34" s="976">
        <f t="shared" si="36"/>
        <v>843261.67448460031</v>
      </c>
      <c r="N34" s="976">
        <f t="shared" si="36"/>
        <v>972586.06186104298</v>
      </c>
      <c r="O34" s="976">
        <f t="shared" si="36"/>
        <v>1178732.8726364519</v>
      </c>
      <c r="P34" s="976">
        <f t="shared" si="36"/>
        <v>1372138.9673709203</v>
      </c>
      <c r="Q34" s="976">
        <f t="shared" si="36"/>
        <v>1579803.4544536383</v>
      </c>
      <c r="R34" s="976">
        <f t="shared" si="36"/>
        <v>1762813.0027591344</v>
      </c>
      <c r="S34" s="976">
        <f t="shared" si="36"/>
        <v>1916608.1067377464</v>
      </c>
      <c r="T34" s="976">
        <f t="shared" si="36"/>
        <v>2068824.0112233856</v>
      </c>
      <c r="U34" s="976">
        <f t="shared" si="36"/>
        <v>2226495.6605078354</v>
      </c>
      <c r="V34" s="976">
        <f t="shared" si="36"/>
        <v>2397601.1634790283</v>
      </c>
      <c r="W34" s="976">
        <f t="shared" si="36"/>
        <v>2556210.1594222994</v>
      </c>
      <c r="X34" s="976">
        <f t="shared" si="36"/>
        <v>2752941.3478085473</v>
      </c>
      <c r="Y34" s="976">
        <f t="shared" si="36"/>
        <v>2929455.9782582833</v>
      </c>
      <c r="Z34" s="976">
        <f t="shared" si="36"/>
        <v>3155730.5398013988</v>
      </c>
      <c r="AA34" s="976">
        <f t="shared" si="36"/>
        <v>3332778.0932728038</v>
      </c>
      <c r="AB34" s="976">
        <f t="shared" si="36"/>
        <v>3566448.6801578845</v>
      </c>
      <c r="AC34" s="976">
        <f t="shared" si="36"/>
        <v>3749318.5132538448</v>
      </c>
      <c r="AD34" s="976">
        <f t="shared" si="36"/>
        <v>4015595.4986965121</v>
      </c>
      <c r="AE34" s="976">
        <f t="shared" si="36"/>
        <v>4208117.0164937852</v>
      </c>
      <c r="AF34" s="977">
        <f t="shared" si="36"/>
        <v>4456241.0653134799</v>
      </c>
      <c r="AG34" s="359"/>
      <c r="AH34" s="7"/>
      <c r="AI34" s="7"/>
      <c r="AJ34" s="7"/>
      <c r="AK34" s="10"/>
      <c r="AL34" s="10"/>
      <c r="AM34" s="10"/>
      <c r="AN34" s="10"/>
    </row>
    <row r="35" spans="1:40" s="3" customFormat="1" ht="14.25">
      <c r="A35" s="1536"/>
      <c r="B35" s="233">
        <v>27</v>
      </c>
      <c r="C35" s="237" t="s">
        <v>929</v>
      </c>
      <c r="D35" s="958">
        <f>-1*(D29+D30)</f>
        <v>0</v>
      </c>
      <c r="E35" s="959">
        <f t="shared" ref="E35:AF35" si="37">-1*(E29+E30)</f>
        <v>150000</v>
      </c>
      <c r="F35" s="960">
        <f>-1*(F29+F30)</f>
        <v>150000</v>
      </c>
      <c r="G35" s="972">
        <f t="shared" si="37"/>
        <v>150000</v>
      </c>
      <c r="H35" s="979">
        <f t="shared" si="37"/>
        <v>200000</v>
      </c>
      <c r="I35" s="979">
        <f t="shared" si="37"/>
        <v>200000</v>
      </c>
      <c r="J35" s="980">
        <f t="shared" si="37"/>
        <v>250000</v>
      </c>
      <c r="K35" s="979">
        <f t="shared" si="37"/>
        <v>443721.10536234442</v>
      </c>
      <c r="L35" s="979">
        <f t="shared" si="37"/>
        <v>288666.79411300772</v>
      </c>
      <c r="M35" s="979">
        <f t="shared" si="37"/>
        <v>607322.25814051984</v>
      </c>
      <c r="N35" s="979">
        <f t="shared" si="37"/>
        <v>464793.49578439619</v>
      </c>
      <c r="O35" s="979">
        <f t="shared" si="37"/>
        <v>787425.90212462726</v>
      </c>
      <c r="P35" s="979">
        <f t="shared" si="37"/>
        <v>1028835.0367101503</v>
      </c>
      <c r="Q35" s="979">
        <f t="shared" si="37"/>
        <v>1049492.7829912498</v>
      </c>
      <c r="R35" s="979">
        <f t="shared" si="37"/>
        <v>1342561.658085346</v>
      </c>
      <c r="S35" s="979">
        <f t="shared" si="37"/>
        <v>1316552.6002315036</v>
      </c>
      <c r="T35" s="979">
        <f t="shared" si="37"/>
        <v>1616367.8633652064</v>
      </c>
      <c r="U35" s="979">
        <f t="shared" si="37"/>
        <v>1559259.7342887789</v>
      </c>
      <c r="V35" s="979">
        <f t="shared" si="37"/>
        <v>2837674.7766492758</v>
      </c>
      <c r="W35" s="979">
        <f t="shared" si="37"/>
        <v>1576339.4726503845</v>
      </c>
      <c r="X35" s="979">
        <f t="shared" si="37"/>
        <v>3339238.5129627171</v>
      </c>
      <c r="Y35" s="979">
        <f t="shared" si="37"/>
        <v>1567866.6532326732</v>
      </c>
      <c r="Z35" s="979">
        <f t="shared" si="37"/>
        <v>3992309.4071714166</v>
      </c>
      <c r="AA35" s="979">
        <f t="shared" si="37"/>
        <v>1501338.6111962828</v>
      </c>
      <c r="AB35" s="979">
        <f t="shared" si="37"/>
        <v>4810360.7793696038</v>
      </c>
      <c r="AC35" s="979">
        <f t="shared" si="37"/>
        <v>1299639.9633572618</v>
      </c>
      <c r="AD35" s="979">
        <f t="shared" si="37"/>
        <v>5850618.104929368</v>
      </c>
      <c r="AE35" s="979">
        <f t="shared" si="37"/>
        <v>923659.0366184297</v>
      </c>
      <c r="AF35" s="980">
        <f t="shared" si="37"/>
        <v>7192699.9156830162</v>
      </c>
      <c r="AG35" s="359"/>
      <c r="AH35" s="377"/>
      <c r="AI35" s="377"/>
      <c r="AJ35" s="377"/>
      <c r="AK35" s="375"/>
      <c r="AL35" s="375"/>
      <c r="AM35" s="375"/>
      <c r="AN35" s="375"/>
    </row>
    <row r="36" spans="1:40" s="7" customFormat="1" ht="14.65" thickBot="1">
      <c r="A36" s="1536"/>
      <c r="B36" s="234">
        <v>28</v>
      </c>
      <c r="C36" s="232" t="s">
        <v>930</v>
      </c>
      <c r="D36" s="981">
        <f>D34-D35</f>
        <v>-324721</v>
      </c>
      <c r="E36" s="982">
        <f>E34-E35</f>
        <v>-87439</v>
      </c>
      <c r="F36" s="983">
        <f>F34-F35</f>
        <v>132779</v>
      </c>
      <c r="G36" s="984">
        <f>G34-G35</f>
        <v>471896.84590397635</v>
      </c>
      <c r="H36" s="985">
        <f t="shared" ref="H36:AF36" si="38">H34-H35</f>
        <v>137662.89637475973</v>
      </c>
      <c r="I36" s="985">
        <f t="shared" si="38"/>
        <v>224527.18068121269</v>
      </c>
      <c r="J36" s="986">
        <f t="shared" si="38"/>
        <v>291028.46642395412</v>
      </c>
      <c r="K36" s="985">
        <f t="shared" si="38"/>
        <v>123612.86834056128</v>
      </c>
      <c r="L36" s="985">
        <f t="shared" si="38"/>
        <v>402062.12033461221</v>
      </c>
      <c r="M36" s="985">
        <f t="shared" si="38"/>
        <v>235939.41634408047</v>
      </c>
      <c r="N36" s="985">
        <f t="shared" si="38"/>
        <v>507792.56607664679</v>
      </c>
      <c r="O36" s="985">
        <f t="shared" si="38"/>
        <v>391306.97051182459</v>
      </c>
      <c r="P36" s="985">
        <f t="shared" si="38"/>
        <v>343303.93066077004</v>
      </c>
      <c r="Q36" s="985">
        <f t="shared" si="38"/>
        <v>530310.67146238848</v>
      </c>
      <c r="R36" s="985">
        <f t="shared" si="38"/>
        <v>420251.34467378841</v>
      </c>
      <c r="S36" s="985">
        <f t="shared" si="38"/>
        <v>600055.50650624279</v>
      </c>
      <c r="T36" s="985">
        <f t="shared" si="38"/>
        <v>452456.14785817917</v>
      </c>
      <c r="U36" s="985">
        <f t="shared" si="38"/>
        <v>667235.92621905659</v>
      </c>
      <c r="V36" s="985">
        <f t="shared" si="38"/>
        <v>-440073.61317024752</v>
      </c>
      <c r="W36" s="985">
        <f t="shared" si="38"/>
        <v>979870.68677191483</v>
      </c>
      <c r="X36" s="985">
        <f t="shared" si="38"/>
        <v>-586297.16515416978</v>
      </c>
      <c r="Y36" s="985">
        <f t="shared" si="38"/>
        <v>1361589.3250256102</v>
      </c>
      <c r="Z36" s="985">
        <f t="shared" si="38"/>
        <v>-836578.8673700178</v>
      </c>
      <c r="AA36" s="985">
        <f t="shared" si="38"/>
        <v>1831439.482076521</v>
      </c>
      <c r="AB36" s="985">
        <f t="shared" si="38"/>
        <v>-1243912.0992117194</v>
      </c>
      <c r="AC36" s="985">
        <f t="shared" si="38"/>
        <v>2449678.549896583</v>
      </c>
      <c r="AD36" s="985">
        <f t="shared" si="38"/>
        <v>-1835022.6062328559</v>
      </c>
      <c r="AE36" s="985">
        <f t="shared" si="38"/>
        <v>3284457.9798753555</v>
      </c>
      <c r="AF36" s="986">
        <f t="shared" si="38"/>
        <v>-2736458.8503695363</v>
      </c>
      <c r="AG36" s="359"/>
      <c r="AK36" s="10"/>
      <c r="AL36" s="10"/>
      <c r="AM36" s="10"/>
      <c r="AN36" s="10"/>
    </row>
    <row r="37" spans="1:40" ht="14.65" thickBot="1">
      <c r="A37" s="242"/>
      <c r="B37" s="240"/>
      <c r="C37" s="241"/>
      <c r="D37" s="339"/>
      <c r="E37" s="339"/>
      <c r="F37" s="339"/>
      <c r="G37" s="339"/>
      <c r="H37" s="339"/>
      <c r="I37" s="339"/>
      <c r="J37" s="339"/>
      <c r="K37" s="339"/>
      <c r="L37" s="339"/>
      <c r="M37" s="339"/>
      <c r="N37" s="339"/>
      <c r="O37" s="339"/>
      <c r="P37" s="339"/>
      <c r="Q37" s="339"/>
      <c r="R37" s="339"/>
      <c r="S37" s="339"/>
      <c r="T37" s="339"/>
      <c r="U37" s="339"/>
      <c r="V37" s="339"/>
      <c r="W37" s="339"/>
      <c r="X37" s="339"/>
      <c r="Y37" s="339"/>
      <c r="Z37" s="339"/>
      <c r="AA37" s="339"/>
      <c r="AB37" s="339"/>
      <c r="AC37" s="339"/>
      <c r="AD37" s="339"/>
      <c r="AE37" s="339"/>
      <c r="AF37" s="340"/>
      <c r="AG37" s="359"/>
      <c r="AH37" s="7"/>
      <c r="AI37" s="7"/>
      <c r="AJ37" s="7"/>
      <c r="AK37" s="10"/>
      <c r="AL37" s="10"/>
      <c r="AM37" s="10"/>
      <c r="AN37" s="10"/>
    </row>
    <row r="38" spans="1:40" ht="14.25">
      <c r="A38" s="1537" t="s">
        <v>931</v>
      </c>
      <c r="B38" s="235">
        <v>29</v>
      </c>
      <c r="C38" s="237" t="s">
        <v>932</v>
      </c>
      <c r="D38" s="951">
        <v>68569</v>
      </c>
      <c r="E38" s="952">
        <v>68569</v>
      </c>
      <c r="F38" s="953">
        <v>72769</v>
      </c>
      <c r="G38" s="954">
        <f>F38*(1.2)</f>
        <v>87322.8</v>
      </c>
      <c r="H38" s="955">
        <f t="shared" ref="H38:J38" si="39">G38*(1.2)</f>
        <v>104787.36</v>
      </c>
      <c r="I38" s="955">
        <f t="shared" si="39"/>
        <v>125744.83199999999</v>
      </c>
      <c r="J38" s="956">
        <f t="shared" si="39"/>
        <v>150893.7984</v>
      </c>
      <c r="K38" s="957">
        <f>J38*(1.15)</f>
        <v>173527.86815999998</v>
      </c>
      <c r="L38" s="955">
        <f t="shared" ref="L38:R38" si="40">K38*(1.15)</f>
        <v>199557.04838399997</v>
      </c>
      <c r="M38" s="955">
        <f t="shared" si="40"/>
        <v>229490.60564159995</v>
      </c>
      <c r="N38" s="955">
        <f t="shared" si="40"/>
        <v>263914.19648783992</v>
      </c>
      <c r="O38" s="955">
        <f t="shared" si="40"/>
        <v>303501.32596101589</v>
      </c>
      <c r="P38" s="955">
        <f t="shared" si="40"/>
        <v>349026.52485516825</v>
      </c>
      <c r="Q38" s="955">
        <f t="shared" si="40"/>
        <v>401380.50358344347</v>
      </c>
      <c r="R38" s="955">
        <f t="shared" si="40"/>
        <v>461587.57912095997</v>
      </c>
      <c r="S38" s="955">
        <f>R38*(1+R5)</f>
        <v>507746.33703305601</v>
      </c>
      <c r="T38" s="955">
        <f t="shared" ref="T38:AF38" si="41">S38*(1+S5)</f>
        <v>538211.1172550394</v>
      </c>
      <c r="U38" s="955">
        <f t="shared" si="41"/>
        <v>570503.78429034178</v>
      </c>
      <c r="V38" s="955">
        <f t="shared" si="41"/>
        <v>604734.01134776231</v>
      </c>
      <c r="W38" s="955">
        <f t="shared" si="41"/>
        <v>641018.05202862807</v>
      </c>
      <c r="X38" s="955">
        <f t="shared" si="41"/>
        <v>679479.13515034574</v>
      </c>
      <c r="Y38" s="955">
        <f t="shared" si="41"/>
        <v>720247.8832593665</v>
      </c>
      <c r="Z38" s="955">
        <f t="shared" si="41"/>
        <v>763462.75625492854</v>
      </c>
      <c r="AA38" s="955">
        <f t="shared" si="41"/>
        <v>809270.52163022431</v>
      </c>
      <c r="AB38" s="955">
        <f t="shared" si="41"/>
        <v>849734.04771173559</v>
      </c>
      <c r="AC38" s="955">
        <f t="shared" si="41"/>
        <v>892220.75009732239</v>
      </c>
      <c r="AD38" s="955">
        <f t="shared" si="41"/>
        <v>936831.78760218853</v>
      </c>
      <c r="AE38" s="955">
        <f t="shared" si="41"/>
        <v>983673.37698229798</v>
      </c>
      <c r="AF38" s="956">
        <f t="shared" si="41"/>
        <v>1032857.0458314129</v>
      </c>
      <c r="AG38" s="360">
        <f>SUM(G38:AF38)</f>
        <v>13380725.049068676</v>
      </c>
      <c r="AH38" s="7"/>
      <c r="AI38" s="7"/>
      <c r="AJ38" s="7"/>
      <c r="AK38" s="10"/>
      <c r="AL38" s="10"/>
      <c r="AM38" s="10"/>
      <c r="AN38" s="10"/>
    </row>
    <row r="39" spans="1:40" ht="14.25">
      <c r="A39" s="1536"/>
      <c r="B39" s="235">
        <v>30</v>
      </c>
      <c r="C39" s="237" t="s">
        <v>933</v>
      </c>
      <c r="D39" s="958">
        <v>23094</v>
      </c>
      <c r="E39" s="959">
        <v>34042</v>
      </c>
      <c r="F39" s="960">
        <v>44478</v>
      </c>
      <c r="G39" s="961">
        <f>F39-G10</f>
        <v>103738.5</v>
      </c>
      <c r="H39" s="962">
        <f t="shared" ref="H39:AF39" si="42">G39-H10</f>
        <v>170110.26</v>
      </c>
      <c r="I39" s="962">
        <f t="shared" si="42"/>
        <v>245774.06640000001</v>
      </c>
      <c r="J39" s="963">
        <f t="shared" si="42"/>
        <v>334300.71988800005</v>
      </c>
      <c r="K39" s="964">
        <f>J39-K10</f>
        <v>440532.70407360006</v>
      </c>
      <c r="L39" s="962">
        <f t="shared" si="42"/>
        <v>568011.08509632002</v>
      </c>
      <c r="M39" s="962">
        <f t="shared" si="42"/>
        <v>720985.14232358395</v>
      </c>
      <c r="N39" s="962">
        <f t="shared" si="42"/>
        <v>899964.78927948279</v>
      </c>
      <c r="O39" s="962">
        <f t="shared" si="42"/>
        <v>1105791.3832787664</v>
      </c>
      <c r="P39" s="962">
        <f t="shared" si="42"/>
        <v>1342491.9663779426</v>
      </c>
      <c r="Q39" s="962">
        <f t="shared" si="42"/>
        <v>1602862.6077870363</v>
      </c>
      <c r="R39" s="962">
        <f t="shared" si="42"/>
        <v>1889270.3133370394</v>
      </c>
      <c r="S39" s="962">
        <f t="shared" si="42"/>
        <v>2192862.4812200428</v>
      </c>
      <c r="T39" s="962">
        <f t="shared" si="42"/>
        <v>2514670.1791760265</v>
      </c>
      <c r="U39" s="962">
        <f t="shared" si="42"/>
        <v>2855786.3390093693</v>
      </c>
      <c r="V39" s="962">
        <f t="shared" si="42"/>
        <v>3217369.4684327124</v>
      </c>
      <c r="W39" s="962">
        <f t="shared" si="42"/>
        <v>3600647.5856214561</v>
      </c>
      <c r="X39" s="962">
        <f t="shared" si="42"/>
        <v>4006922.3898415249</v>
      </c>
      <c r="Y39" s="962">
        <f t="shared" si="42"/>
        <v>4437573.6823147973</v>
      </c>
      <c r="Z39" s="962">
        <f t="shared" si="42"/>
        <v>4894064.0523364665</v>
      </c>
      <c r="AA39" s="962">
        <f t="shared" si="42"/>
        <v>5373378.9408592191</v>
      </c>
      <c r="AB39" s="962">
        <f t="shared" si="42"/>
        <v>5876659.5738081094</v>
      </c>
      <c r="AC39" s="962">
        <f t="shared" si="42"/>
        <v>6405104.2384044444</v>
      </c>
      <c r="AD39" s="962">
        <f t="shared" si="42"/>
        <v>6959971.1362305954</v>
      </c>
      <c r="AE39" s="962">
        <f t="shared" si="42"/>
        <v>7542581.3789480543</v>
      </c>
      <c r="AF39" s="963">
        <f t="shared" si="42"/>
        <v>8139756.8777334495</v>
      </c>
      <c r="AG39" s="360">
        <f>SUM(G39:AF39)</f>
        <v>77441181.861778051</v>
      </c>
      <c r="AH39" s="7"/>
      <c r="AI39" s="7"/>
      <c r="AJ39" s="7"/>
      <c r="AK39" s="10"/>
      <c r="AL39" s="10"/>
      <c r="AM39" s="10"/>
      <c r="AN39" s="10"/>
    </row>
    <row r="40" spans="1:40" ht="14.25">
      <c r="A40" s="1536"/>
      <c r="B40" s="235">
        <v>31</v>
      </c>
      <c r="C40" s="237" t="s">
        <v>934</v>
      </c>
      <c r="D40" s="958">
        <v>135668</v>
      </c>
      <c r="E40" s="959">
        <v>141955</v>
      </c>
      <c r="F40" s="960">
        <v>135668</v>
      </c>
      <c r="G40" s="961">
        <f>F40+(-G23)</f>
        <v>196448</v>
      </c>
      <c r="H40" s="962">
        <f t="shared" ref="H40:AF40" si="43">G40+(-H23)</f>
        <v>264521.59999999998</v>
      </c>
      <c r="I40" s="962">
        <f t="shared" si="43"/>
        <v>342125.50399999996</v>
      </c>
      <c r="J40" s="963">
        <f t="shared" si="43"/>
        <v>432922.07167999994</v>
      </c>
      <c r="K40" s="964">
        <f t="shared" si="43"/>
        <v>596355.89350399992</v>
      </c>
      <c r="L40" s="962">
        <f t="shared" si="43"/>
        <v>792476.47969279985</v>
      </c>
      <c r="M40" s="962">
        <f t="shared" si="43"/>
        <v>1027821.1831193598</v>
      </c>
      <c r="N40" s="962">
        <f t="shared" si="43"/>
        <v>1303174.486128435</v>
      </c>
      <c r="O40" s="962">
        <f t="shared" si="43"/>
        <v>1619830.7845888713</v>
      </c>
      <c r="P40" s="962">
        <f t="shared" si="43"/>
        <v>1983985.5278183729</v>
      </c>
      <c r="Q40" s="962">
        <f t="shared" si="43"/>
        <v>2384555.7453708248</v>
      </c>
      <c r="R40" s="962">
        <f t="shared" si="43"/>
        <v>2825182.9846785218</v>
      </c>
      <c r="S40" s="962">
        <f t="shared" si="43"/>
        <v>3292247.8583446806</v>
      </c>
      <c r="T40" s="962">
        <f t="shared" si="43"/>
        <v>3787336.6244308092</v>
      </c>
      <c r="U40" s="962">
        <f t="shared" si="43"/>
        <v>4312130.7164821057</v>
      </c>
      <c r="V40" s="962">
        <f t="shared" si="43"/>
        <v>4868412.45405648</v>
      </c>
      <c r="W40" s="962">
        <f t="shared" si="43"/>
        <v>5458071.0958853168</v>
      </c>
      <c r="X40" s="962">
        <f t="shared" si="43"/>
        <v>6083109.2562238835</v>
      </c>
      <c r="Y40" s="962">
        <f t="shared" si="43"/>
        <v>6745649.7061827648</v>
      </c>
      <c r="Z40" s="962">
        <f t="shared" si="43"/>
        <v>7447942.5831391783</v>
      </c>
      <c r="AA40" s="962">
        <f t="shared" si="43"/>
        <v>8185350.1039434131</v>
      </c>
      <c r="AB40" s="962">
        <f t="shared" si="43"/>
        <v>8959628.0007878598</v>
      </c>
      <c r="AC40" s="962">
        <f t="shared" si="43"/>
        <v>9772619.7924745288</v>
      </c>
      <c r="AD40" s="962">
        <f t="shared" si="43"/>
        <v>10626261.173745532</v>
      </c>
      <c r="AE40" s="962">
        <f t="shared" si="43"/>
        <v>11522584.624080084</v>
      </c>
      <c r="AF40" s="963">
        <f t="shared" si="43"/>
        <v>12441316.160673</v>
      </c>
      <c r="AG40" s="360">
        <f>SUM(G40:AF40)</f>
        <v>117272060.4110308</v>
      </c>
      <c r="AH40" s="7"/>
      <c r="AI40" s="7"/>
      <c r="AJ40" s="7"/>
      <c r="AK40" s="10"/>
      <c r="AL40" s="10"/>
      <c r="AM40" s="10"/>
      <c r="AN40" s="10"/>
    </row>
    <row r="41" spans="1:40" ht="14.65" thickBot="1">
      <c r="A41" s="1536"/>
      <c r="B41" s="236">
        <v>32</v>
      </c>
      <c r="C41" s="232" t="s">
        <v>935</v>
      </c>
      <c r="D41" s="965">
        <v>72829</v>
      </c>
      <c r="E41" s="966">
        <v>77886</v>
      </c>
      <c r="F41" s="967">
        <v>90582</v>
      </c>
      <c r="G41" s="968">
        <f>F41-G9</f>
        <v>108218.84</v>
      </c>
      <c r="H41" s="969">
        <f t="shared" ref="H41:AF41" si="44">G41-H9</f>
        <v>133757.07999999999</v>
      </c>
      <c r="I41" s="969">
        <f t="shared" si="44"/>
        <v>168144.88799999998</v>
      </c>
      <c r="J41" s="970">
        <f t="shared" si="44"/>
        <v>212621.20351999998</v>
      </c>
      <c r="K41" s="971">
        <f t="shared" si="44"/>
        <v>255913.41068799997</v>
      </c>
      <c r="L41" s="969">
        <f t="shared" si="44"/>
        <v>315549.00003839994</v>
      </c>
      <c r="M41" s="969">
        <f t="shared" si="44"/>
        <v>394796.64800767996</v>
      </c>
      <c r="N41" s="969">
        <f t="shared" si="44"/>
        <v>497578.76631961594</v>
      </c>
      <c r="O41" s="969">
        <f t="shared" si="44"/>
        <v>627896.21493245941</v>
      </c>
      <c r="P41" s="969">
        <f t="shared" si="44"/>
        <v>789879.29339134658</v>
      </c>
      <c r="Q41" s="969">
        <f t="shared" si="44"/>
        <v>988277.84617318388</v>
      </c>
      <c r="R41" s="969">
        <f t="shared" si="44"/>
        <v>1226733.4207102663</v>
      </c>
      <c r="S41" s="969">
        <f t="shared" si="44"/>
        <v>1509251.7191781185</v>
      </c>
      <c r="T41" s="969">
        <f t="shared" si="44"/>
        <v>1838476.5050125867</v>
      </c>
      <c r="U41" s="969">
        <f t="shared" si="44"/>
        <v>2217210.1674556676</v>
      </c>
      <c r="V41" s="969">
        <f t="shared" si="44"/>
        <v>2648423.2391038784</v>
      </c>
      <c r="W41" s="969">
        <f t="shared" si="44"/>
        <v>3135264.4845095263</v>
      </c>
      <c r="X41" s="969">
        <f t="shared" si="44"/>
        <v>3681071.5940980581</v>
      </c>
      <c r="Y41" s="969">
        <f t="shared" si="44"/>
        <v>4289382.5197204463</v>
      </c>
      <c r="Z41" s="969">
        <f t="shared" si="44"/>
        <v>4963947.4903387232</v>
      </c>
      <c r="AA41" s="969">
        <f t="shared" si="44"/>
        <v>5708741.7486526407</v>
      </c>
      <c r="AB41" s="969">
        <f t="shared" si="44"/>
        <v>6527276.759046982</v>
      </c>
      <c r="AC41" s="969">
        <f t="shared" si="44"/>
        <v>7423239.559125768</v>
      </c>
      <c r="AD41" s="969">
        <f t="shared" si="44"/>
        <v>8400501.5383732207</v>
      </c>
      <c r="AE41" s="969">
        <f t="shared" si="44"/>
        <v>9463127.6557477731</v>
      </c>
      <c r="AF41" s="970">
        <f t="shared" si="44"/>
        <v>10615386.118155781</v>
      </c>
      <c r="AG41" s="360">
        <f>SUM(G41:AF41)</f>
        <v>78140667.710300118</v>
      </c>
      <c r="AH41" s="7"/>
      <c r="AI41" s="7"/>
      <c r="AJ41" s="7"/>
      <c r="AK41" s="10"/>
      <c r="AL41" s="10"/>
      <c r="AM41" s="10"/>
      <c r="AN41" s="10"/>
    </row>
    <row r="42" spans="1:40" s="7" customFormat="1" ht="14.65" thickBot="1">
      <c r="A42" s="1538"/>
      <c r="B42" s="1539"/>
      <c r="C42" s="1539"/>
      <c r="D42" s="1539"/>
      <c r="E42" s="1539"/>
      <c r="F42" s="1539"/>
      <c r="G42" s="1539"/>
      <c r="H42" s="1539"/>
      <c r="I42" s="1539"/>
      <c r="J42" s="1539"/>
      <c r="K42" s="1539"/>
      <c r="L42" s="1539"/>
      <c r="M42" s="1539"/>
      <c r="N42" s="1539"/>
      <c r="O42" s="1539"/>
      <c r="P42" s="1539"/>
      <c r="Q42" s="1539"/>
      <c r="R42" s="1539"/>
      <c r="S42" s="1539"/>
      <c r="T42" s="1539"/>
      <c r="U42" s="1539"/>
      <c r="V42" s="1539"/>
      <c r="W42" s="1539"/>
      <c r="X42" s="1539"/>
      <c r="Y42" s="1539"/>
      <c r="Z42" s="1539"/>
      <c r="AA42" s="1539"/>
      <c r="AB42" s="1539"/>
      <c r="AC42" s="1539"/>
      <c r="AD42" s="1539"/>
      <c r="AE42" s="1539"/>
      <c r="AF42" s="1540"/>
      <c r="AG42" s="359"/>
      <c r="AK42" s="10"/>
      <c r="AL42" s="10"/>
      <c r="AM42" s="10"/>
      <c r="AN42" s="10"/>
    </row>
    <row r="43" spans="1:40" ht="15" customHeight="1">
      <c r="A43" s="1529" t="s">
        <v>936</v>
      </c>
      <c r="B43" s="233">
        <v>33</v>
      </c>
      <c r="C43" s="237" t="s">
        <v>937</v>
      </c>
      <c r="D43" s="937">
        <v>139756</v>
      </c>
      <c r="E43" s="987">
        <v>288767</v>
      </c>
      <c r="F43" s="988">
        <v>401811</v>
      </c>
      <c r="G43" s="937">
        <f>G36+F43</f>
        <v>873707.84590397635</v>
      </c>
      <c r="H43" s="939">
        <f t="shared" ref="H43:AF43" si="45">H36+G43</f>
        <v>1011370.7422787361</v>
      </c>
      <c r="I43" s="939">
        <f t="shared" si="45"/>
        <v>1235897.9229599489</v>
      </c>
      <c r="J43" s="940">
        <f t="shared" si="45"/>
        <v>1526926.389383903</v>
      </c>
      <c r="K43" s="941">
        <f t="shared" si="45"/>
        <v>1650539.2577244644</v>
      </c>
      <c r="L43" s="524">
        <f t="shared" si="45"/>
        <v>2052601.3780590766</v>
      </c>
      <c r="M43" s="942">
        <f t="shared" si="45"/>
        <v>2288540.7944031572</v>
      </c>
      <c r="N43" s="942">
        <f t="shared" si="45"/>
        <v>2796333.3604798038</v>
      </c>
      <c r="O43" s="942">
        <f t="shared" si="45"/>
        <v>3187640.3309916286</v>
      </c>
      <c r="P43" s="942">
        <f t="shared" si="45"/>
        <v>3530944.2616523989</v>
      </c>
      <c r="Q43" s="942">
        <f t="shared" si="45"/>
        <v>4061254.9331147876</v>
      </c>
      <c r="R43" s="942">
        <f t="shared" si="45"/>
        <v>4481506.2777885757</v>
      </c>
      <c r="S43" s="942">
        <f t="shared" si="45"/>
        <v>5081561.7842948185</v>
      </c>
      <c r="T43" s="942">
        <f t="shared" si="45"/>
        <v>5534017.9321529977</v>
      </c>
      <c r="U43" s="942">
        <f t="shared" si="45"/>
        <v>6201253.8583720541</v>
      </c>
      <c r="V43" s="942">
        <f t="shared" si="45"/>
        <v>5761180.2452018065</v>
      </c>
      <c r="W43" s="942">
        <f t="shared" si="45"/>
        <v>6741050.9319737218</v>
      </c>
      <c r="X43" s="942">
        <f t="shared" si="45"/>
        <v>6154753.7668195516</v>
      </c>
      <c r="Y43" s="942">
        <f t="shared" si="45"/>
        <v>7516343.0918451622</v>
      </c>
      <c r="Z43" s="942">
        <f t="shared" si="45"/>
        <v>6679764.2244751444</v>
      </c>
      <c r="AA43" s="942">
        <f t="shared" si="45"/>
        <v>8511203.7065516654</v>
      </c>
      <c r="AB43" s="942">
        <f t="shared" si="45"/>
        <v>7267291.6073399466</v>
      </c>
      <c r="AC43" s="942">
        <f t="shared" si="45"/>
        <v>9716970.1572365295</v>
      </c>
      <c r="AD43" s="942">
        <f t="shared" si="45"/>
        <v>7881947.551003674</v>
      </c>
      <c r="AE43" s="942">
        <f t="shared" si="45"/>
        <v>11166405.53087903</v>
      </c>
      <c r="AF43" s="943">
        <f t="shared" si="45"/>
        <v>8429946.6805094928</v>
      </c>
      <c r="AG43" s="359"/>
      <c r="AH43" s="7"/>
      <c r="AI43" s="7"/>
      <c r="AJ43" s="7"/>
      <c r="AK43" s="10"/>
      <c r="AL43" s="10"/>
      <c r="AM43" s="10"/>
      <c r="AN43" s="10"/>
    </row>
    <row r="44" spans="1:40" ht="14.25">
      <c r="A44" s="1529"/>
      <c r="B44" s="233">
        <v>34</v>
      </c>
      <c r="C44" s="237" t="s">
        <v>299</v>
      </c>
      <c r="D44" s="937">
        <v>0</v>
      </c>
      <c r="E44" s="987">
        <v>0</v>
      </c>
      <c r="F44" s="933">
        <v>0</v>
      </c>
      <c r="G44" s="933">
        <f>Assumptions!F266</f>
        <v>325000</v>
      </c>
      <c r="H44" s="933">
        <f>Assumptions!F267</f>
        <v>292500</v>
      </c>
      <c r="I44" s="933">
        <f>Assumptions!F268</f>
        <v>260000</v>
      </c>
      <c r="J44" s="933">
        <f>Assumptions!F269</f>
        <v>227500</v>
      </c>
      <c r="K44" s="936">
        <f>Assumptions!F270</f>
        <v>195000</v>
      </c>
      <c r="L44" s="938">
        <f>Assumptions!F271</f>
        <v>162500</v>
      </c>
      <c r="M44" s="938">
        <f>Assumptions!F272</f>
        <v>130000</v>
      </c>
      <c r="N44" s="938">
        <f>Assumptions!F274</f>
        <v>65000</v>
      </c>
      <c r="O44" s="938">
        <f>Assumptions!F275</f>
        <v>32500</v>
      </c>
      <c r="P44" s="938"/>
      <c r="Q44" s="938"/>
      <c r="R44" s="938"/>
      <c r="S44" s="938"/>
      <c r="T44" s="938"/>
      <c r="U44" s="938"/>
      <c r="V44" s="938"/>
      <c r="W44" s="938"/>
      <c r="X44" s="938"/>
      <c r="Y44" s="938"/>
      <c r="Z44" s="938"/>
      <c r="AA44" s="938"/>
      <c r="AB44" s="938"/>
      <c r="AC44" s="938"/>
      <c r="AD44" s="938"/>
      <c r="AE44" s="938"/>
      <c r="AF44" s="938"/>
      <c r="AG44" s="374"/>
      <c r="AH44" s="10"/>
      <c r="AI44" s="10"/>
      <c r="AJ44" s="10"/>
      <c r="AK44" s="10"/>
      <c r="AL44" s="10"/>
      <c r="AM44" s="10"/>
      <c r="AN44" s="10"/>
    </row>
    <row r="45" spans="1:40" ht="14.25">
      <c r="A45" s="1529"/>
      <c r="B45" s="233">
        <v>35</v>
      </c>
      <c r="C45" s="237" t="s">
        <v>938</v>
      </c>
      <c r="D45" s="436"/>
      <c r="E45" s="338"/>
      <c r="F45" s="437">
        <f>1/((1+$F$50)^G50)</f>
        <v>1</v>
      </c>
      <c r="G45" s="297">
        <f t="shared" ref="G45:AF45" si="46">1/((1+$F$50)^G49)</f>
        <v>0.91240875912408748</v>
      </c>
      <c r="H45" s="283">
        <f t="shared" si="46"/>
        <v>0.83248974372635709</v>
      </c>
      <c r="I45" s="283">
        <f t="shared" si="46"/>
        <v>0.75957093405689513</v>
      </c>
      <c r="J45" s="298">
        <f t="shared" si="46"/>
        <v>0.69303917340957566</v>
      </c>
      <c r="K45" s="297">
        <f t="shared" si="46"/>
        <v>0.6323350122350142</v>
      </c>
      <c r="L45" s="283">
        <f t="shared" si="46"/>
        <v>0.57694800386406409</v>
      </c>
      <c r="M45" s="283">
        <f t="shared" si="46"/>
        <v>0.52641241228473001</v>
      </c>
      <c r="N45" s="283">
        <f t="shared" si="46"/>
        <v>0.48030329588022797</v>
      </c>
      <c r="O45" s="283">
        <f t="shared" si="46"/>
        <v>0.43823293419728826</v>
      </c>
      <c r="P45" s="283">
        <f t="shared" si="46"/>
        <v>0.39984756769825563</v>
      </c>
      <c r="Q45" s="283">
        <f t="shared" si="46"/>
        <v>0.36482442308235002</v>
      </c>
      <c r="R45" s="283">
        <f t="shared" si="46"/>
        <v>0.332868999162728</v>
      </c>
      <c r="S45" s="283">
        <f t="shared" si="46"/>
        <v>0.3037125904769416</v>
      </c>
      <c r="T45" s="283">
        <f t="shared" si="46"/>
        <v>0.27711002780742844</v>
      </c>
      <c r="U45" s="283">
        <f t="shared" si="46"/>
        <v>0.25283761661261722</v>
      </c>
      <c r="V45" s="283">
        <f t="shared" si="46"/>
        <v>0.23069125603340976</v>
      </c>
      <c r="W45" s="283">
        <f t="shared" si="46"/>
        <v>0.21048472265822055</v>
      </c>
      <c r="X45" s="283">
        <f t="shared" si="46"/>
        <v>0.19204810461516472</v>
      </c>
      <c r="Y45" s="283">
        <f t="shared" si="46"/>
        <v>0.1752263728240554</v>
      </c>
      <c r="Z45" s="283">
        <f t="shared" si="46"/>
        <v>0.15987807739421109</v>
      </c>
      <c r="AA45" s="283">
        <f t="shared" si="46"/>
        <v>0.14587415820639696</v>
      </c>
      <c r="AB45" s="283">
        <f t="shared" si="46"/>
        <v>0.13309685967736951</v>
      </c>
      <c r="AC45" s="283">
        <f t="shared" si="46"/>
        <v>0.12143874058154151</v>
      </c>
      <c r="AD45" s="283">
        <f t="shared" si="46"/>
        <v>0.11080177060359622</v>
      </c>
      <c r="AE45" s="283">
        <f t="shared" si="46"/>
        <v>0.10109650602517904</v>
      </c>
      <c r="AF45" s="522">
        <f t="shared" si="46"/>
        <v>9.2241337614214436E-2</v>
      </c>
      <c r="AG45" s="374"/>
      <c r="AH45" s="10"/>
      <c r="AI45" s="10"/>
      <c r="AJ45" s="10"/>
      <c r="AK45" s="10"/>
      <c r="AL45" s="10"/>
      <c r="AM45" s="10"/>
      <c r="AN45" s="10"/>
    </row>
    <row r="46" spans="1:40" ht="14.25">
      <c r="A46" s="1529"/>
      <c r="B46" s="233">
        <v>36</v>
      </c>
      <c r="C46" s="237" t="s">
        <v>939</v>
      </c>
      <c r="D46" s="438"/>
      <c r="E46" s="439" t="s">
        <v>940</v>
      </c>
      <c r="F46" s="298">
        <f>1/((1+$F$50+0.001)^G50)</f>
        <v>1</v>
      </c>
      <c r="G46" s="297">
        <f>1/((1+$F$50+0.001)^G49)</f>
        <v>0.91157702825888787</v>
      </c>
      <c r="H46" s="283">
        <f t="shared" ref="H46:AF46" si="47">1/((1+$F$50+0.001)^H49)</f>
        <v>0.83097267844930534</v>
      </c>
      <c r="I46" s="283">
        <f t="shared" si="47"/>
        <v>0.7574956047851461</v>
      </c>
      <c r="J46" s="298">
        <f t="shared" si="47"/>
        <v>0.69051559232921256</v>
      </c>
      <c r="K46" s="297">
        <f t="shared" si="47"/>
        <v>0.62945815162188934</v>
      </c>
      <c r="L46" s="283">
        <f t="shared" si="47"/>
        <v>0.57379959126881441</v>
      </c>
      <c r="M46" s="283">
        <f t="shared" si="47"/>
        <v>0.52306252622499028</v>
      </c>
      <c r="N46" s="283">
        <f t="shared" si="47"/>
        <v>0.47681178324976337</v>
      </c>
      <c r="O46" s="283">
        <f t="shared" si="47"/>
        <v>0.43465066841364025</v>
      </c>
      <c r="P46" s="283">
        <f t="shared" si="47"/>
        <v>0.39621756464324548</v>
      </c>
      <c r="Q46" s="283">
        <f t="shared" si="47"/>
        <v>0.36118283012146352</v>
      </c>
      <c r="R46" s="283">
        <f t="shared" si="47"/>
        <v>0.32924597094025848</v>
      </c>
      <c r="S46" s="283">
        <f t="shared" si="47"/>
        <v>0.30013306375593296</v>
      </c>
      <c r="T46" s="283">
        <f t="shared" si="47"/>
        <v>0.27359440634086873</v>
      </c>
      <c r="U46" s="283">
        <f t="shared" si="47"/>
        <v>0.24940237588046374</v>
      </c>
      <c r="V46" s="283">
        <f t="shared" si="47"/>
        <v>0.22734947664581928</v>
      </c>
      <c r="W46" s="283">
        <f t="shared" si="47"/>
        <v>0.20724656029700939</v>
      </c>
      <c r="X46" s="283">
        <f t="shared" si="47"/>
        <v>0.18892120355242423</v>
      </c>
      <c r="Y46" s="283">
        <f t="shared" si="47"/>
        <v>0.17221622930941136</v>
      </c>
      <c r="Z46" s="283">
        <f t="shared" si="47"/>
        <v>0.15698835853182436</v>
      </c>
      <c r="AA46" s="283">
        <f t="shared" si="47"/>
        <v>0.14310698134168129</v>
      </c>
      <c r="AB46" s="283">
        <f t="shared" si="47"/>
        <v>0.13045303677454995</v>
      </c>
      <c r="AC46" s="283">
        <f t="shared" si="47"/>
        <v>0.11891799159029168</v>
      </c>
      <c r="AD46" s="283">
        <f t="shared" si="47"/>
        <v>0.10840290938039351</v>
      </c>
      <c r="AE46" s="283">
        <f t="shared" si="47"/>
        <v>9.8817601987596634E-2</v>
      </c>
      <c r="AF46" s="298">
        <f t="shared" si="47"/>
        <v>9.007985595952292E-2</v>
      </c>
      <c r="AG46" s="374"/>
      <c r="AH46" s="10"/>
      <c r="AI46" s="10"/>
      <c r="AJ46" s="10"/>
      <c r="AK46" s="10"/>
      <c r="AL46" s="10"/>
      <c r="AM46" s="10"/>
      <c r="AN46" s="10"/>
    </row>
    <row r="47" spans="1:40" ht="14.65" thickBot="1">
      <c r="A47" s="1529"/>
      <c r="B47" s="234">
        <v>37</v>
      </c>
      <c r="C47" s="232" t="s">
        <v>941</v>
      </c>
      <c r="D47" s="438"/>
      <c r="E47" s="439" t="s">
        <v>942</v>
      </c>
      <c r="F47" s="440">
        <f>1/((1+$F$50+0.005)^G50)</f>
        <v>1</v>
      </c>
      <c r="G47" s="441">
        <f t="shared" ref="G47:AF47" si="48">1/((1+$F$50+0.005)^G49)</f>
        <v>0.90826521344232514</v>
      </c>
      <c r="H47" s="442">
        <f t="shared" si="48"/>
        <v>0.82494569794943262</v>
      </c>
      <c r="I47" s="442">
        <f t="shared" si="48"/>
        <v>0.74926948042636932</v>
      </c>
      <c r="J47" s="440">
        <f t="shared" si="48"/>
        <v>0.68053540456527639</v>
      </c>
      <c r="K47" s="525">
        <f t="shared" si="48"/>
        <v>0.61810663448253989</v>
      </c>
      <c r="L47" s="526">
        <f t="shared" si="48"/>
        <v>0.56140475429840142</v>
      </c>
      <c r="M47" s="526">
        <f t="shared" si="48"/>
        <v>0.5099044089903737</v>
      </c>
      <c r="N47" s="526">
        <f t="shared" si="48"/>
        <v>0.46312843686682442</v>
      </c>
      <c r="O47" s="526">
        <f t="shared" si="48"/>
        <v>0.42064344856205671</v>
      </c>
      <c r="P47" s="526">
        <f t="shared" si="48"/>
        <v>0.38205581159133217</v>
      </c>
      <c r="Q47" s="526">
        <f t="shared" si="48"/>
        <v>0.34700800326188214</v>
      </c>
      <c r="R47" s="526">
        <f t="shared" si="48"/>
        <v>0.31517529814884848</v>
      </c>
      <c r="S47" s="526">
        <f t="shared" si="48"/>
        <v>0.28626275944491231</v>
      </c>
      <c r="T47" s="526">
        <f t="shared" si="48"/>
        <v>0.26000250630782229</v>
      </c>
      <c r="U47" s="526">
        <f t="shared" si="48"/>
        <v>0.23615123188721371</v>
      </c>
      <c r="V47" s="526">
        <f t="shared" si="48"/>
        <v>0.21448794903470819</v>
      </c>
      <c r="W47" s="526">
        <f t="shared" si="48"/>
        <v>0.19481194281081579</v>
      </c>
      <c r="X47" s="526">
        <f t="shared" si="48"/>
        <v>0.17694091081817967</v>
      </c>
      <c r="Y47" s="526">
        <f t="shared" si="48"/>
        <v>0.16070927413095337</v>
      </c>
      <c r="Z47" s="526">
        <f t="shared" si="48"/>
        <v>0.14596664317071154</v>
      </c>
      <c r="AA47" s="526">
        <f t="shared" si="48"/>
        <v>0.13257642431490602</v>
      </c>
      <c r="AB47" s="526">
        <f t="shared" si="48"/>
        <v>0.12041455432779839</v>
      </c>
      <c r="AC47" s="526">
        <f t="shared" si="48"/>
        <v>0.10936835088810026</v>
      </c>
      <c r="AD47" s="526">
        <f t="shared" si="48"/>
        <v>9.9335468563215498E-2</v>
      </c>
      <c r="AE47" s="526">
        <f t="shared" si="48"/>
        <v>9.022295055696232E-2</v>
      </c>
      <c r="AF47" s="527">
        <f t="shared" si="48"/>
        <v>8.1946367445015725E-2</v>
      </c>
      <c r="AG47" s="374"/>
      <c r="AH47" s="10"/>
      <c r="AI47" s="10"/>
      <c r="AJ47" s="10"/>
      <c r="AK47" s="10"/>
      <c r="AL47" s="10"/>
      <c r="AM47" s="10"/>
      <c r="AN47" s="10"/>
    </row>
    <row r="48" spans="1:40" ht="14.65" thickBot="1">
      <c r="A48" s="1541" t="s">
        <v>821</v>
      </c>
      <c r="B48" s="1542"/>
      <c r="C48" s="1542"/>
      <c r="D48" s="1542"/>
      <c r="E48" s="1542"/>
      <c r="F48" s="1542"/>
      <c r="G48" s="1542"/>
      <c r="H48" s="1542"/>
      <c r="I48" s="1542"/>
      <c r="J48" s="1542"/>
      <c r="K48" s="1542"/>
      <c r="L48" s="1542"/>
      <c r="M48" s="1542"/>
      <c r="N48" s="1542"/>
      <c r="O48" s="1542"/>
      <c r="P48" s="1542"/>
      <c r="Q48" s="1542"/>
      <c r="R48" s="1542"/>
      <c r="S48" s="1542"/>
      <c r="T48" s="1542"/>
      <c r="U48" s="1542"/>
      <c r="V48" s="1542"/>
      <c r="W48" s="1542"/>
      <c r="X48" s="1542"/>
      <c r="Y48" s="1542"/>
      <c r="Z48" s="1542"/>
      <c r="AA48" s="1542"/>
      <c r="AB48" s="1542"/>
      <c r="AC48" s="1542"/>
      <c r="AD48" s="1542"/>
      <c r="AE48" s="1542"/>
      <c r="AF48" s="1543"/>
      <c r="AG48" s="374"/>
      <c r="AH48" s="10"/>
      <c r="AI48" s="10"/>
      <c r="AJ48" s="376"/>
      <c r="AK48" s="10"/>
      <c r="AL48" s="10"/>
      <c r="AM48" s="10"/>
      <c r="AN48" s="10"/>
    </row>
    <row r="49" spans="1:40" ht="14.25">
      <c r="A49" s="1544" t="s">
        <v>943</v>
      </c>
      <c r="C49" s="247" t="s">
        <v>944</v>
      </c>
      <c r="D49" s="238" t="s">
        <v>945</v>
      </c>
      <c r="E49" s="239" t="s">
        <v>946</v>
      </c>
      <c r="F49" s="248" t="s">
        <v>947</v>
      </c>
      <c r="G49" s="284">
        <v>1</v>
      </c>
      <c r="H49" s="285">
        <v>2</v>
      </c>
      <c r="I49" s="285">
        <v>3</v>
      </c>
      <c r="J49" s="284">
        <v>4</v>
      </c>
      <c r="K49" s="285">
        <v>5</v>
      </c>
      <c r="L49" s="285">
        <v>6</v>
      </c>
      <c r="M49" s="284">
        <v>7</v>
      </c>
      <c r="N49" s="285">
        <v>8</v>
      </c>
      <c r="O49" s="285">
        <v>9</v>
      </c>
      <c r="P49" s="284">
        <v>10</v>
      </c>
      <c r="Q49" s="285">
        <v>11</v>
      </c>
      <c r="R49" s="285">
        <v>12</v>
      </c>
      <c r="S49" s="284">
        <v>13</v>
      </c>
      <c r="T49" s="285">
        <v>14</v>
      </c>
      <c r="U49" s="285">
        <v>15</v>
      </c>
      <c r="V49" s="284">
        <v>16</v>
      </c>
      <c r="W49" s="285">
        <v>17</v>
      </c>
      <c r="X49" s="285">
        <v>18</v>
      </c>
      <c r="Y49" s="284">
        <v>19</v>
      </c>
      <c r="Z49" s="285">
        <v>20</v>
      </c>
      <c r="AA49" s="285">
        <v>21</v>
      </c>
      <c r="AB49" s="284">
        <v>22</v>
      </c>
      <c r="AC49" s="285">
        <v>23</v>
      </c>
      <c r="AD49" s="285">
        <v>24</v>
      </c>
      <c r="AE49" s="284">
        <v>25</v>
      </c>
      <c r="AF49" s="285">
        <v>26</v>
      </c>
      <c r="AG49" s="374"/>
      <c r="AH49" s="10"/>
      <c r="AI49" s="10"/>
      <c r="AJ49" s="10"/>
      <c r="AK49" s="10"/>
      <c r="AL49" s="10"/>
      <c r="AM49" s="10"/>
      <c r="AN49" s="10"/>
    </row>
    <row r="50" spans="1:40" ht="14.65" thickBot="1">
      <c r="A50" s="1545"/>
      <c r="C50" s="244">
        <v>4.4999999999999998E-2</v>
      </c>
      <c r="D50" s="245">
        <v>4.5999999999999999E-2</v>
      </c>
      <c r="E50" s="246">
        <v>5.0000000000000001E-3</v>
      </c>
      <c r="F50" s="781">
        <f>SUM(C50:E50)</f>
        <v>9.6000000000000002E-2</v>
      </c>
      <c r="G50" s="284">
        <v>0</v>
      </c>
      <c r="S50" s="231"/>
      <c r="T50" s="231"/>
      <c r="U50" s="231"/>
      <c r="V50" s="231"/>
      <c r="W50" s="231"/>
      <c r="X50" s="231"/>
      <c r="Y50" s="231"/>
      <c r="Z50" s="231"/>
      <c r="AA50" s="231"/>
      <c r="AB50" s="231"/>
      <c r="AC50" s="231"/>
      <c r="AD50" s="231"/>
      <c r="AE50" s="231"/>
      <c r="AF50" s="231"/>
      <c r="AG50" s="373"/>
      <c r="AH50" s="10"/>
      <c r="AI50" s="10"/>
      <c r="AJ50" s="10"/>
      <c r="AK50" s="10"/>
      <c r="AL50" s="10"/>
      <c r="AM50" s="10"/>
      <c r="AN50" s="10"/>
    </row>
    <row r="51" spans="1:40" ht="14.65" thickBot="1">
      <c r="A51" s="231"/>
      <c r="C51" s="231"/>
      <c r="D51" s="231"/>
      <c r="H51" s="777" t="s">
        <v>948</v>
      </c>
      <c r="I51" s="775">
        <f>I44/I12</f>
        <v>0.34838497429444903</v>
      </c>
      <c r="J51" s="775">
        <f t="shared" ref="J51:AF51" si="49">J44/J12</f>
        <v>0.24529017626125063</v>
      </c>
      <c r="K51" s="775">
        <f t="shared" si="49"/>
        <v>0.17680850016161165</v>
      </c>
      <c r="L51" s="775">
        <f t="shared" si="49"/>
        <v>0.12207483132830242</v>
      </c>
      <c r="M51" s="775">
        <f t="shared" si="49"/>
        <v>8.099356382154875E-2</v>
      </c>
      <c r="N51" s="775">
        <f t="shared" si="49"/>
        <v>3.4428160012578382E-2</v>
      </c>
      <c r="O51" s="775">
        <f t="shared" si="49"/>
        <v>1.4885684013507736E-2</v>
      </c>
      <c r="P51" s="775">
        <f t="shared" si="49"/>
        <v>0</v>
      </c>
      <c r="Q51" s="775">
        <f t="shared" si="49"/>
        <v>0</v>
      </c>
      <c r="R51" s="775">
        <f t="shared" si="49"/>
        <v>0</v>
      </c>
      <c r="S51" s="775">
        <f t="shared" si="49"/>
        <v>0</v>
      </c>
      <c r="T51" s="775">
        <f t="shared" si="49"/>
        <v>0</v>
      </c>
      <c r="U51" s="775">
        <f t="shared" si="49"/>
        <v>0</v>
      </c>
      <c r="V51" s="775">
        <f t="shared" si="49"/>
        <v>0</v>
      </c>
      <c r="W51" s="775">
        <f t="shared" si="49"/>
        <v>0</v>
      </c>
      <c r="X51" s="775">
        <f t="shared" si="49"/>
        <v>0</v>
      </c>
      <c r="Y51" s="775">
        <f t="shared" si="49"/>
        <v>0</v>
      </c>
      <c r="Z51" s="775">
        <f t="shared" si="49"/>
        <v>0</v>
      </c>
      <c r="AA51" s="775">
        <f t="shared" si="49"/>
        <v>0</v>
      </c>
      <c r="AB51" s="775">
        <f t="shared" si="49"/>
        <v>0</v>
      </c>
      <c r="AC51" s="775">
        <f t="shared" si="49"/>
        <v>0</v>
      </c>
      <c r="AD51" s="775">
        <f t="shared" si="49"/>
        <v>0</v>
      </c>
      <c r="AE51" s="775">
        <f t="shared" si="49"/>
        <v>0</v>
      </c>
      <c r="AF51" s="776">
        <f t="shared" si="49"/>
        <v>0</v>
      </c>
      <c r="AG51" s="373"/>
      <c r="AH51" s="10"/>
      <c r="AI51" s="10"/>
      <c r="AJ51" s="10"/>
      <c r="AK51" s="10"/>
      <c r="AL51" s="10"/>
      <c r="AM51" s="10"/>
      <c r="AN51" s="10"/>
    </row>
    <row r="52" spans="1:40" ht="15" customHeight="1" thickBot="1">
      <c r="A52" s="1530" t="s">
        <v>949</v>
      </c>
      <c r="C52" s="345" t="s">
        <v>821</v>
      </c>
      <c r="D52" s="346" t="s">
        <v>891</v>
      </c>
      <c r="E52" s="347" t="s">
        <v>892</v>
      </c>
      <c r="F52" s="346" t="s">
        <v>950</v>
      </c>
      <c r="H52" s="778"/>
      <c r="I52"/>
      <c r="J52"/>
      <c r="K52"/>
      <c r="L52"/>
      <c r="M52"/>
      <c r="N52"/>
      <c r="O52"/>
      <c r="P52"/>
      <c r="S52" s="231"/>
      <c r="T52" s="231"/>
      <c r="U52" s="231"/>
      <c r="V52" s="231"/>
      <c r="W52" s="231"/>
      <c r="X52" s="231"/>
      <c r="Y52" s="231"/>
      <c r="Z52" s="231"/>
      <c r="AA52" s="231"/>
      <c r="AB52" s="231"/>
      <c r="AC52" s="231"/>
      <c r="AD52" s="231"/>
      <c r="AE52" s="231"/>
      <c r="AF52" s="231"/>
      <c r="AG52" s="373"/>
      <c r="AH52" s="10"/>
      <c r="AI52" s="10"/>
      <c r="AJ52" s="10"/>
      <c r="AK52" s="10"/>
      <c r="AL52" s="10"/>
      <c r="AM52" s="10"/>
      <c r="AN52" s="10"/>
    </row>
    <row r="53" spans="1:40" ht="15" customHeight="1" thickBot="1">
      <c r="A53" s="1530"/>
      <c r="C53" s="348" t="s">
        <v>656</v>
      </c>
      <c r="D53" s="330">
        <f>Assumptions!C189</f>
        <v>-0.13</v>
      </c>
      <c r="E53" s="330">
        <v>-0.1</v>
      </c>
      <c r="F53" s="349" t="s">
        <v>951</v>
      </c>
      <c r="H53" s="779" t="s">
        <v>952</v>
      </c>
      <c r="I53" s="773">
        <f>I43/(I6-I8)</f>
        <v>0.94788470044313433</v>
      </c>
      <c r="J53" s="773">
        <f t="shared" ref="J53:AF53" si="50">J43/(J6-J8)</f>
        <v>1.0348926538316834</v>
      </c>
      <c r="K53" s="773">
        <f t="shared" si="50"/>
        <v>0.93222729691696682</v>
      </c>
      <c r="L53" s="773">
        <f t="shared" si="50"/>
        <v>0.96609387172555117</v>
      </c>
      <c r="M53" s="773">
        <f t="shared" si="50"/>
        <v>0.89761917904937905</v>
      </c>
      <c r="N53" s="773">
        <f t="shared" si="50"/>
        <v>0.937425033976795</v>
      </c>
      <c r="O53" s="773">
        <f t="shared" si="50"/>
        <v>0.9292211280538577</v>
      </c>
      <c r="P53" s="773">
        <f t="shared" si="50"/>
        <v>0.89504070047168927</v>
      </c>
      <c r="Q53" s="773">
        <f t="shared" si="50"/>
        <v>0.93587854094511824</v>
      </c>
      <c r="R53" s="773">
        <f t="shared" si="50"/>
        <v>0.93883778772973581</v>
      </c>
      <c r="S53" s="773">
        <f t="shared" si="50"/>
        <v>1.0042871302766523</v>
      </c>
      <c r="T53" s="773">
        <f t="shared" si="50"/>
        <v>1.0317996680570267</v>
      </c>
      <c r="U53" s="773">
        <f t="shared" si="50"/>
        <v>1.0907581501975927</v>
      </c>
      <c r="V53" s="773">
        <f t="shared" si="50"/>
        <v>0.9559926517130044</v>
      </c>
      <c r="W53" s="773">
        <f t="shared" si="50"/>
        <v>1.0552730191983462</v>
      </c>
      <c r="X53" s="773">
        <f t="shared" si="50"/>
        <v>0.90895428949401669</v>
      </c>
      <c r="Y53" s="773">
        <f t="shared" si="50"/>
        <v>1.0472059259840694</v>
      </c>
      <c r="Z53" s="773">
        <f t="shared" si="50"/>
        <v>0.87797219785706293</v>
      </c>
      <c r="AA53" s="773">
        <f t="shared" si="50"/>
        <v>1.065421155530951</v>
      </c>
      <c r="AB53" s="773">
        <f t="shared" si="50"/>
        <v>0.86639037525745188</v>
      </c>
      <c r="AC53" s="773">
        <f t="shared" si="50"/>
        <v>1.1032720140708479</v>
      </c>
      <c r="AD53" s="773">
        <f t="shared" si="50"/>
        <v>0.85230684135782209</v>
      </c>
      <c r="AE53" s="773">
        <f t="shared" si="50"/>
        <v>1.1499700532687951</v>
      </c>
      <c r="AF53" s="774">
        <f t="shared" si="50"/>
        <v>0.84698183676208683</v>
      </c>
      <c r="AG53" s="373"/>
      <c r="AH53" s="10"/>
      <c r="AI53" s="10"/>
      <c r="AJ53" s="10"/>
      <c r="AK53" s="10"/>
      <c r="AL53" s="10"/>
      <c r="AM53" s="10"/>
      <c r="AN53" s="10"/>
    </row>
    <row r="54" spans="1:40" ht="15" customHeight="1" thickBot="1">
      <c r="A54" s="1530"/>
      <c r="C54" s="350" t="s">
        <v>658</v>
      </c>
      <c r="D54" s="330">
        <f>Assumptions!F189</f>
        <v>-3.9E-2</v>
      </c>
      <c r="E54" s="330">
        <v>-3.9E-2</v>
      </c>
      <c r="F54" s="349" t="s">
        <v>800</v>
      </c>
      <c r="H54" s="778"/>
      <c r="I54" s="231"/>
      <c r="J54" s="231"/>
      <c r="K54"/>
      <c r="L54"/>
      <c r="S54" s="231"/>
      <c r="T54" s="231"/>
      <c r="U54" s="231"/>
      <c r="V54" s="231"/>
      <c r="W54" s="231"/>
      <c r="X54" s="231"/>
      <c r="Y54" s="231"/>
      <c r="Z54" s="231"/>
      <c r="AA54" s="231"/>
      <c r="AB54" s="231"/>
      <c r="AC54" s="231"/>
      <c r="AD54" s="231"/>
      <c r="AE54" s="231"/>
      <c r="AF54" s="231"/>
      <c r="AG54" s="373"/>
      <c r="AH54" s="10"/>
      <c r="AI54" s="10"/>
      <c r="AJ54" s="10"/>
      <c r="AK54" s="10"/>
      <c r="AL54" s="10"/>
      <c r="AM54" s="10"/>
      <c r="AN54" s="10"/>
    </row>
    <row r="55" spans="1:40" ht="15" customHeight="1" thickBot="1">
      <c r="A55" s="1530"/>
      <c r="C55" s="337" t="s">
        <v>660</v>
      </c>
      <c r="D55" s="330">
        <f>Assumptions!J106</f>
        <v>-0.11411582793691223</v>
      </c>
      <c r="E55" s="331">
        <v>-0.1</v>
      </c>
      <c r="F55" s="349" t="str">
        <f>Assumptions!V19</f>
        <v>% Revenue</v>
      </c>
      <c r="H55" s="780" t="s">
        <v>953</v>
      </c>
      <c r="I55" s="771">
        <f t="shared" ref="I55:J55" si="51">I43/I6</f>
        <v>0.6370287365748758</v>
      </c>
      <c r="J55" s="771">
        <f t="shared" si="51"/>
        <v>0.67268022499059421</v>
      </c>
      <c r="K55" s="771">
        <f>K43/K6</f>
        <v>0.60594774299602849</v>
      </c>
      <c r="L55" s="771">
        <f t="shared" ref="L55:AF55" si="52">L43/L6</f>
        <v>0.6279610166216083</v>
      </c>
      <c r="M55" s="771">
        <f t="shared" si="52"/>
        <v>0.58345246638209647</v>
      </c>
      <c r="N55" s="771">
        <f t="shared" si="52"/>
        <v>0.60932627208491674</v>
      </c>
      <c r="O55" s="771">
        <f t="shared" si="52"/>
        <v>0.6039937332350076</v>
      </c>
      <c r="P55" s="771">
        <f t="shared" si="52"/>
        <v>0.58177645530659805</v>
      </c>
      <c r="Q55" s="771">
        <f t="shared" si="52"/>
        <v>0.60832105161432681</v>
      </c>
      <c r="R55" s="771">
        <f t="shared" si="52"/>
        <v>0.6102445620243282</v>
      </c>
      <c r="S55" s="771">
        <f t="shared" si="52"/>
        <v>0.65278663467982401</v>
      </c>
      <c r="T55" s="771">
        <f t="shared" si="52"/>
        <v>0.67066978423706747</v>
      </c>
      <c r="U55" s="771">
        <f t="shared" si="52"/>
        <v>0.70899279762843526</v>
      </c>
      <c r="V55" s="771">
        <f t="shared" si="52"/>
        <v>0.6213952236134529</v>
      </c>
      <c r="W55" s="771">
        <f t="shared" si="52"/>
        <v>0.68592746247892511</v>
      </c>
      <c r="X55" s="771">
        <f t="shared" si="52"/>
        <v>0.59082028817111087</v>
      </c>
      <c r="Y55" s="771">
        <f t="shared" si="52"/>
        <v>0.68068385188964509</v>
      </c>
      <c r="Z55" s="771">
        <f t="shared" si="52"/>
        <v>0.57068192860709088</v>
      </c>
      <c r="AA55" s="771">
        <f t="shared" si="52"/>
        <v>0.69252375109511821</v>
      </c>
      <c r="AB55" s="771">
        <f t="shared" si="52"/>
        <v>0.56315374391734374</v>
      </c>
      <c r="AC55" s="771">
        <f t="shared" si="52"/>
        <v>0.71712680914605109</v>
      </c>
      <c r="AD55" s="771">
        <f t="shared" si="52"/>
        <v>0.55399944688258429</v>
      </c>
      <c r="AE55" s="771">
        <f t="shared" si="52"/>
        <v>0.74748053462471664</v>
      </c>
      <c r="AF55" s="772">
        <f t="shared" si="52"/>
        <v>0.55053819389535641</v>
      </c>
      <c r="AG55" s="373"/>
      <c r="AH55" s="10"/>
      <c r="AI55" s="10"/>
      <c r="AJ55" s="10"/>
      <c r="AK55" s="10"/>
      <c r="AL55" s="10"/>
      <c r="AM55" s="10"/>
      <c r="AN55" s="10"/>
    </row>
    <row r="56" spans="1:40" ht="15" customHeight="1" thickBot="1">
      <c r="A56" s="1530"/>
      <c r="C56" s="350" t="s">
        <v>662</v>
      </c>
      <c r="D56" s="330">
        <f>Assumptions!I121</f>
        <v>0.19</v>
      </c>
      <c r="E56" s="330">
        <f>Assumptions!J121</f>
        <v>0.21</v>
      </c>
      <c r="F56" s="349" t="str">
        <f>Assumptions!V20</f>
        <v>% EBT</v>
      </c>
      <c r="G56" s="231"/>
      <c r="I56" s="231"/>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373"/>
      <c r="AH56" s="10"/>
      <c r="AI56" s="10"/>
      <c r="AJ56" s="10"/>
      <c r="AK56" s="10"/>
      <c r="AL56" s="10"/>
      <c r="AM56" s="10"/>
      <c r="AN56" s="10"/>
    </row>
    <row r="57" spans="1:40" ht="15" customHeight="1" thickBot="1">
      <c r="A57" s="1530"/>
      <c r="C57" s="337" t="s">
        <v>664</v>
      </c>
      <c r="D57" s="330">
        <f>Assumptions!J140</f>
        <v>-4.1000000000000002E-2</v>
      </c>
      <c r="E57" s="330">
        <f>Assumptions!K140</f>
        <v>-5.0750000000000003E-2</v>
      </c>
      <c r="F57" s="349" t="str">
        <f>Assumptions!V21</f>
        <v>% Debt</v>
      </c>
      <c r="G57" s="231"/>
      <c r="H57" s="1226" t="s">
        <v>954</v>
      </c>
      <c r="I57" s="1210">
        <f>(AF6/K6)^(1/21)-1</f>
        <v>8.5692868515951481E-2</v>
      </c>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373"/>
      <c r="AH57" s="10"/>
      <c r="AI57" s="10"/>
      <c r="AJ57" s="10"/>
      <c r="AK57" s="10"/>
      <c r="AL57" s="10"/>
      <c r="AM57" s="10"/>
      <c r="AN57" s="10"/>
    </row>
    <row r="58" spans="1:40" ht="15" customHeight="1">
      <c r="A58" s="1530"/>
      <c r="C58" s="350" t="s">
        <v>666</v>
      </c>
      <c r="D58" s="330">
        <f>Assumptions!C223</f>
        <v>0.03</v>
      </c>
      <c r="E58" s="330">
        <f>Assumptions!D223</f>
        <v>2.5000000000000001E-2</v>
      </c>
      <c r="F58" s="349" t="str">
        <f>Assumptions!V22</f>
        <v xml:space="preserve">% Cash </v>
      </c>
      <c r="G58" s="231"/>
      <c r="H58" s="231"/>
      <c r="I58" s="232"/>
      <c r="J58" s="250"/>
      <c r="K58" s="250"/>
      <c r="L58" s="250"/>
      <c r="M58" s="250"/>
      <c r="N58" s="250"/>
      <c r="O58" s="231"/>
      <c r="P58" s="231"/>
      <c r="Q58" s="231"/>
      <c r="R58" s="231"/>
      <c r="S58" s="231"/>
      <c r="T58" s="231"/>
      <c r="U58" s="231"/>
      <c r="V58" s="231"/>
      <c r="W58" s="231"/>
      <c r="X58" s="231"/>
      <c r="Y58" s="231"/>
      <c r="Z58" s="231"/>
      <c r="AA58" s="231"/>
      <c r="AB58" s="231"/>
      <c r="AC58" s="231"/>
      <c r="AD58" s="231"/>
      <c r="AE58" s="231"/>
      <c r="AF58" s="231"/>
      <c r="AG58" s="373"/>
      <c r="AH58" s="10"/>
      <c r="AI58" s="10"/>
      <c r="AJ58" s="10"/>
      <c r="AK58" s="10"/>
      <c r="AL58" s="10"/>
      <c r="AM58" s="10"/>
      <c r="AN58" s="10"/>
    </row>
    <row r="59" spans="1:40" ht="15" customHeight="1">
      <c r="A59" s="1530"/>
      <c r="C59" s="337" t="s">
        <v>668</v>
      </c>
      <c r="D59" s="330" t="str">
        <f>Assumptions!S23</f>
        <v>- -</v>
      </c>
      <c r="E59" s="331" t="str">
        <f>Assumptions!T23</f>
        <v>- -</v>
      </c>
      <c r="F59" s="349" t="str">
        <f>Assumptions!V23</f>
        <v>Growing with CAPEX</v>
      </c>
      <c r="G59" s="231"/>
      <c r="H59" s="231"/>
      <c r="I59"/>
      <c r="J59"/>
      <c r="K59"/>
      <c r="L59"/>
      <c r="M59" s="251"/>
      <c r="N59" s="250"/>
      <c r="O59" s="231"/>
      <c r="P59" s="231"/>
      <c r="Q59" s="231"/>
      <c r="R59" s="231"/>
      <c r="S59" s="231"/>
      <c r="T59" s="231"/>
      <c r="U59" s="231"/>
      <c r="V59" s="231"/>
      <c r="W59" s="231"/>
      <c r="X59" s="231"/>
      <c r="Y59" s="231"/>
      <c r="Z59" s="231"/>
      <c r="AA59" s="231"/>
      <c r="AB59" s="231"/>
      <c r="AC59" s="231"/>
      <c r="AD59" s="231"/>
      <c r="AE59" s="231"/>
      <c r="AF59" s="231"/>
      <c r="AG59" s="373"/>
      <c r="AH59" s="10"/>
      <c r="AI59" s="10"/>
      <c r="AJ59" s="10"/>
      <c r="AK59" s="10"/>
      <c r="AL59" s="10"/>
      <c r="AM59" s="10"/>
      <c r="AN59" s="10"/>
    </row>
    <row r="60" spans="1:40" ht="15" customHeight="1">
      <c r="A60" s="1530"/>
      <c r="C60" s="345" t="s">
        <v>671</v>
      </c>
      <c r="D60" s="330">
        <f>Assumptions!J197</f>
        <v>-0.06</v>
      </c>
      <c r="E60" s="330">
        <f>Assumptions!K197</f>
        <v>-0.05</v>
      </c>
      <c r="F60" s="349" t="s">
        <v>800</v>
      </c>
      <c r="G60" s="231"/>
      <c r="H60" s="231"/>
      <c r="I60"/>
      <c r="J60"/>
      <c r="K60"/>
      <c r="L60"/>
      <c r="M60" s="250"/>
      <c r="N60" s="250"/>
      <c r="O60" s="231"/>
      <c r="P60" s="231"/>
      <c r="Q60" s="231"/>
      <c r="R60" s="231"/>
      <c r="S60" s="231"/>
      <c r="T60" s="231"/>
      <c r="U60" s="231"/>
      <c r="V60" s="231"/>
      <c r="W60" s="231"/>
      <c r="X60" s="231"/>
      <c r="Y60" s="231"/>
      <c r="Z60" s="231"/>
      <c r="AA60" s="231"/>
      <c r="AB60" s="231"/>
      <c r="AC60" s="231"/>
      <c r="AD60" s="231"/>
      <c r="AE60" s="231"/>
      <c r="AF60" s="231"/>
      <c r="AG60" s="373"/>
      <c r="AH60" s="10"/>
      <c r="AI60" s="10"/>
      <c r="AJ60" s="10"/>
      <c r="AK60" s="10"/>
      <c r="AL60" s="10"/>
      <c r="AM60" s="10"/>
      <c r="AN60" s="10"/>
    </row>
    <row r="61" spans="1:40" ht="15" customHeight="1">
      <c r="A61" s="1530"/>
      <c r="C61" s="352" t="s">
        <v>673</v>
      </c>
      <c r="D61" s="330" t="str">
        <f>Assumptions!S25</f>
        <v>- -</v>
      </c>
      <c r="E61" s="331" t="str">
        <f>Assumptions!T25</f>
        <v>- -</v>
      </c>
      <c r="F61" s="349" t="s">
        <v>955</v>
      </c>
      <c r="G61" s="231"/>
      <c r="H61" t="s">
        <v>956</v>
      </c>
      <c r="I61" s="1199">
        <f t="shared" ref="I61:W61" si="53">I40-I41</f>
        <v>173980.61599999998</v>
      </c>
      <c r="J61" s="1199">
        <f t="shared" si="53"/>
        <v>220300.86815999995</v>
      </c>
      <c r="K61" s="1199">
        <f t="shared" si="53"/>
        <v>340442.48281599995</v>
      </c>
      <c r="L61" s="1199">
        <f t="shared" si="53"/>
        <v>476927.47965439991</v>
      </c>
      <c r="M61" s="1199">
        <f t="shared" si="53"/>
        <v>633024.53511167981</v>
      </c>
      <c r="N61" s="1199">
        <f t="shared" si="53"/>
        <v>805595.71980881901</v>
      </c>
      <c r="O61" s="1199">
        <f t="shared" si="53"/>
        <v>991934.56965641188</v>
      </c>
      <c r="P61" s="1199">
        <f t="shared" si="53"/>
        <v>1194106.2344270265</v>
      </c>
      <c r="Q61" s="1199">
        <f t="shared" si="53"/>
        <v>1396277.8991976408</v>
      </c>
      <c r="R61" s="1199">
        <f t="shared" si="53"/>
        <v>1598449.5639682554</v>
      </c>
      <c r="S61" s="1199">
        <f t="shared" si="53"/>
        <v>1782996.1391665621</v>
      </c>
      <c r="T61" s="1199">
        <f t="shared" si="53"/>
        <v>1948860.1194182225</v>
      </c>
      <c r="U61" s="1199">
        <f t="shared" si="53"/>
        <v>2094920.549026438</v>
      </c>
      <c r="V61" s="1199">
        <f t="shared" si="53"/>
        <v>2219989.2149526016</v>
      </c>
      <c r="W61" s="1199">
        <f t="shared" si="53"/>
        <v>2322806.6113757906</v>
      </c>
      <c r="X61" s="1199">
        <f>X40-X41</f>
        <v>2402037.6621258254</v>
      </c>
      <c r="Y61" s="1199">
        <f t="shared" ref="Y61:AF61" si="54">Y40-Y41</f>
        <v>2456267.1864623185</v>
      </c>
      <c r="Z61" s="1199">
        <f t="shared" si="54"/>
        <v>2483995.0928004552</v>
      </c>
      <c r="AA61" s="1199">
        <f t="shared" si="54"/>
        <v>2476608.3552907724</v>
      </c>
      <c r="AB61" s="1199">
        <f t="shared" si="54"/>
        <v>2432351.2417408777</v>
      </c>
      <c r="AC61" s="1199">
        <f t="shared" si="54"/>
        <v>2349380.2333487608</v>
      </c>
      <c r="AD61" s="1199">
        <f t="shared" si="54"/>
        <v>2225759.6353723109</v>
      </c>
      <c r="AE61" s="1199">
        <f t="shared" si="54"/>
        <v>2059456.9683323111</v>
      </c>
      <c r="AF61" s="1199">
        <f t="shared" si="54"/>
        <v>1825930.0425172187</v>
      </c>
      <c r="AG61" s="373"/>
      <c r="AH61" s="10"/>
      <c r="AI61" s="10"/>
      <c r="AJ61" s="10"/>
      <c r="AK61" s="10"/>
      <c r="AL61" s="10"/>
      <c r="AM61" s="10"/>
      <c r="AN61" s="10"/>
    </row>
    <row r="62" spans="1:40" ht="15" customHeight="1">
      <c r="A62" s="1530"/>
      <c r="C62" s="352" t="s">
        <v>957</v>
      </c>
      <c r="D62" s="330">
        <f>Assumptions!S26</f>
        <v>-0.04</v>
      </c>
      <c r="E62" s="330">
        <f>Assumptions!T26</f>
        <v>-0.06</v>
      </c>
      <c r="F62" s="349" t="str">
        <f>Assumptions!V26</f>
        <v>% Revenue</v>
      </c>
      <c r="G62" s="231"/>
      <c r="H62" s="231" t="s">
        <v>168</v>
      </c>
      <c r="I62"/>
      <c r="J62" s="495">
        <f>J61/I61-1</f>
        <v>0.26623800527295516</v>
      </c>
      <c r="K62" s="495">
        <f t="shared" ref="K62:AF62" si="55">K61/J61-1</f>
        <v>0.54535243396654987</v>
      </c>
      <c r="L62" s="495">
        <f t="shared" si="55"/>
        <v>0.40090471585523724</v>
      </c>
      <c r="M62" s="495">
        <f t="shared" si="55"/>
        <v>0.32729725611615801</v>
      </c>
      <c r="N62" s="495">
        <f t="shared" si="55"/>
        <v>0.27261373789673682</v>
      </c>
      <c r="O62" s="495">
        <f t="shared" si="55"/>
        <v>0.23130566022845067</v>
      </c>
      <c r="P62" s="495">
        <f t="shared" si="55"/>
        <v>0.20381552468792696</v>
      </c>
      <c r="Q62" s="495">
        <f t="shared" si="55"/>
        <v>0.16930793839094505</v>
      </c>
      <c r="R62" s="495">
        <f t="shared" si="55"/>
        <v>0.1447932856967733</v>
      </c>
      <c r="S62" s="495">
        <f t="shared" si="55"/>
        <v>0.11545348652738086</v>
      </c>
      <c r="T62" s="495">
        <f t="shared" si="55"/>
        <v>9.3025428719767822E-2</v>
      </c>
      <c r="U62" s="495">
        <f t="shared" si="55"/>
        <v>7.4946594757051122E-2</v>
      </c>
      <c r="V62" s="495">
        <f t="shared" si="55"/>
        <v>5.9700911323002703E-2</v>
      </c>
      <c r="W62" s="495">
        <f t="shared" si="55"/>
        <v>4.6314367534161294E-2</v>
      </c>
      <c r="X62" s="495">
        <f t="shared" si="55"/>
        <v>3.4110050471703568E-2</v>
      </c>
      <c r="Y62" s="495">
        <f t="shared" si="55"/>
        <v>2.2576467135198675E-2</v>
      </c>
      <c r="Z62" s="495">
        <f t="shared" si="55"/>
        <v>1.1288636061646207E-2</v>
      </c>
      <c r="AA62" s="495">
        <f t="shared" si="55"/>
        <v>-2.9737327304277805E-3</v>
      </c>
      <c r="AB62" s="495">
        <f t="shared" si="55"/>
        <v>-1.787004935816694E-2</v>
      </c>
      <c r="AC62" s="495">
        <f t="shared" si="55"/>
        <v>-3.4111442035293038E-2</v>
      </c>
      <c r="AD62" s="495">
        <f t="shared" si="55"/>
        <v>-5.2618386850153853E-2</v>
      </c>
      <c r="AE62" s="495">
        <f t="shared" si="55"/>
        <v>-7.471726254581923E-2</v>
      </c>
      <c r="AF62" s="495">
        <f t="shared" si="55"/>
        <v>-0.11339247646635497</v>
      </c>
      <c r="AG62" s="373"/>
      <c r="AH62" s="10"/>
      <c r="AI62" s="10"/>
      <c r="AJ62" s="10"/>
      <c r="AK62" s="10"/>
      <c r="AL62" s="10"/>
      <c r="AM62" s="10"/>
      <c r="AN62" s="10"/>
    </row>
    <row r="63" spans="1:40" ht="15" customHeight="1">
      <c r="A63" s="1530"/>
      <c r="C63" s="352" t="s">
        <v>676</v>
      </c>
      <c r="D63" s="330">
        <f>Assumptions!J153</f>
        <v>-3.7621318881502573E-2</v>
      </c>
      <c r="E63" s="330">
        <v>-0.04</v>
      </c>
      <c r="F63" s="349" t="str">
        <f>Assumptions!V27</f>
        <v>% Revenue</v>
      </c>
      <c r="G63" s="231"/>
      <c r="H63" s="231"/>
      <c r="I63"/>
      <c r="J63"/>
      <c r="K63"/>
      <c r="L63"/>
      <c r="M63" s="231"/>
      <c r="N63" s="231"/>
      <c r="O63" s="231"/>
      <c r="P63" s="231"/>
      <c r="Q63" s="231"/>
      <c r="R63" s="231"/>
      <c r="S63" s="231"/>
      <c r="T63" s="231"/>
      <c r="U63" s="231"/>
      <c r="V63" s="231"/>
      <c r="W63" s="231"/>
      <c r="X63" s="231"/>
      <c r="Y63" s="231"/>
      <c r="Z63" s="231"/>
      <c r="AA63" s="231"/>
      <c r="AB63" s="231"/>
      <c r="AC63" s="231"/>
      <c r="AD63" s="231"/>
      <c r="AE63" s="231"/>
      <c r="AF63" s="231"/>
      <c r="AG63" s="373"/>
      <c r="AH63" s="10"/>
      <c r="AI63" s="10"/>
      <c r="AJ63" s="10"/>
      <c r="AK63" s="10"/>
      <c r="AL63" s="10"/>
      <c r="AM63" s="10"/>
      <c r="AN63" s="10"/>
    </row>
    <row r="64" spans="1:40" ht="15" customHeight="1">
      <c r="A64" s="1530"/>
      <c r="C64" s="352" t="s">
        <v>134</v>
      </c>
      <c r="D64" s="330">
        <f>Assumptions!S28</f>
        <v>0</v>
      </c>
      <c r="E64" s="331">
        <f>Assumptions!T28</f>
        <v>0</v>
      </c>
      <c r="F64" s="349" t="str">
        <f>Assumptions!V28</f>
        <v>% Net Income</v>
      </c>
      <c r="G64" s="231"/>
      <c r="I64"/>
      <c r="J64"/>
      <c r="K64"/>
      <c r="L64"/>
      <c r="M64" s="231"/>
      <c r="N64" s="231"/>
      <c r="O64" s="231"/>
      <c r="P64" s="231"/>
      <c r="Q64" s="231"/>
      <c r="R64" s="231"/>
      <c r="S64" s="231"/>
      <c r="T64" s="231"/>
      <c r="U64" s="231"/>
      <c r="V64" s="231"/>
      <c r="W64" s="231"/>
      <c r="X64" s="231"/>
      <c r="Y64" s="231"/>
      <c r="Z64" s="231"/>
      <c r="AA64" s="231"/>
      <c r="AB64" s="231"/>
      <c r="AC64" s="231"/>
      <c r="AD64" s="231"/>
      <c r="AE64" s="231"/>
      <c r="AF64" s="231"/>
      <c r="AG64" s="231"/>
    </row>
    <row r="65" spans="1:33" ht="15" customHeight="1">
      <c r="A65" s="1530"/>
      <c r="C65" s="352" t="s">
        <v>678</v>
      </c>
      <c r="D65" s="330">
        <f>Assumptions!S29</f>
        <v>0</v>
      </c>
      <c r="E65" s="331">
        <f>Assumptions!T29</f>
        <v>0</v>
      </c>
      <c r="F65" s="349" t="str">
        <f>Assumptions!V29</f>
        <v>% Net Income</v>
      </c>
      <c r="G65" s="231"/>
      <c r="I65"/>
      <c r="J65"/>
      <c r="K65"/>
      <c r="L65"/>
      <c r="M65" s="231"/>
      <c r="N65" s="231"/>
      <c r="O65" s="231"/>
      <c r="P65" s="231"/>
      <c r="Q65" s="231"/>
      <c r="R65" s="231"/>
      <c r="S65" s="231"/>
      <c r="T65" s="231"/>
      <c r="U65" s="231"/>
      <c r="V65" s="231"/>
      <c r="W65" s="231"/>
      <c r="X65" s="231"/>
      <c r="Y65" s="231"/>
      <c r="Z65" s="231"/>
      <c r="AA65" s="231"/>
      <c r="AB65" s="231"/>
      <c r="AC65" s="231"/>
      <c r="AD65" s="231"/>
      <c r="AE65" s="231"/>
      <c r="AF65" s="231"/>
      <c r="AG65" s="231"/>
    </row>
    <row r="66" spans="1:33" ht="15" customHeight="1">
      <c r="A66" s="1530"/>
      <c r="C66" s="352" t="s">
        <v>679</v>
      </c>
      <c r="D66" s="330">
        <f>Assumptions!I230</f>
        <v>-1.2E-2</v>
      </c>
      <c r="E66" s="330">
        <f>Assumptions!J230</f>
        <v>-0.01</v>
      </c>
      <c r="F66" s="349" t="str">
        <f>Assumptions!V30</f>
        <v>% Revenue</v>
      </c>
      <c r="G66" s="231"/>
      <c r="I66"/>
      <c r="J66"/>
      <c r="K66"/>
      <c r="L66"/>
      <c r="M66" s="231"/>
      <c r="N66" s="231"/>
      <c r="O66" s="231"/>
      <c r="P66" s="231"/>
      <c r="Q66" s="231"/>
      <c r="R66" s="231"/>
      <c r="S66" s="231"/>
      <c r="T66" s="231"/>
      <c r="U66" s="231"/>
      <c r="V66" s="231"/>
      <c r="W66" s="231"/>
      <c r="X66" s="231"/>
      <c r="Y66" s="231"/>
      <c r="Z66" s="231"/>
      <c r="AA66" s="231"/>
      <c r="AB66" s="231"/>
      <c r="AC66" s="231"/>
      <c r="AD66" s="231"/>
      <c r="AE66" s="231"/>
      <c r="AF66" s="231"/>
      <c r="AG66" s="231"/>
    </row>
    <row r="67" spans="1:33" ht="15.75" customHeight="1">
      <c r="A67" s="1530"/>
      <c r="C67" s="350" t="s">
        <v>299</v>
      </c>
      <c r="D67" s="531" t="e">
        <f>Assumptions!#REF!</f>
        <v>#REF!</v>
      </c>
      <c r="E67" s="531" t="e">
        <f>Assumptions!#REF!</f>
        <v>#REF!</v>
      </c>
      <c r="F67" s="530" t="s">
        <v>958</v>
      </c>
      <c r="G67" s="231"/>
      <c r="I67"/>
      <c r="J67"/>
      <c r="K67"/>
      <c r="L67"/>
      <c r="M67" s="231"/>
      <c r="N67" s="231"/>
      <c r="O67" s="231"/>
      <c r="P67" s="231"/>
      <c r="Q67" s="231"/>
      <c r="R67" s="231"/>
      <c r="S67" s="231"/>
      <c r="T67" s="231"/>
      <c r="U67" s="231"/>
      <c r="V67" s="231"/>
      <c r="W67" s="231"/>
      <c r="X67" s="231"/>
      <c r="Y67" s="231"/>
      <c r="Z67" s="231"/>
      <c r="AA67" s="231"/>
      <c r="AB67" s="231"/>
      <c r="AC67" s="231"/>
      <c r="AD67" s="231"/>
      <c r="AE67" s="231"/>
      <c r="AF67" s="231"/>
      <c r="AG67" s="231"/>
    </row>
    <row r="68" spans="1:33" ht="14.25">
      <c r="A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row>
    <row r="69" spans="1:33" ht="14.25">
      <c r="A69" s="1531" t="s">
        <v>109</v>
      </c>
      <c r="C69" s="286"/>
      <c r="D69" s="332" t="s">
        <v>959</v>
      </c>
      <c r="E69" s="2"/>
      <c r="G69" s="231"/>
      <c r="H69" s="231"/>
      <c r="I69" s="231"/>
      <c r="L69" s="231"/>
      <c r="M69" s="231"/>
      <c r="N69" s="231"/>
      <c r="O69" s="231"/>
      <c r="P69" s="231"/>
      <c r="Q69" s="231"/>
      <c r="R69" s="231"/>
      <c r="S69" s="231"/>
      <c r="T69" s="231"/>
      <c r="U69" s="231"/>
      <c r="V69" s="231"/>
      <c r="W69" s="231"/>
      <c r="X69" s="231"/>
      <c r="Y69" s="231"/>
      <c r="Z69" s="231"/>
      <c r="AA69" s="231"/>
      <c r="AB69" s="231"/>
      <c r="AC69" s="231"/>
      <c r="AD69" s="231"/>
      <c r="AE69" s="231"/>
      <c r="AF69" s="231"/>
      <c r="AG69" s="231"/>
    </row>
    <row r="70" spans="1:33" ht="14.25">
      <c r="A70" s="1532"/>
      <c r="C70" s="286" t="s">
        <v>960</v>
      </c>
      <c r="D70" s="1080">
        <f>SUMPRODUCT(G35:AF35,G45:AF45)+((AF43-AF44)*AF45)</f>
        <v>10187338.278372962</v>
      </c>
      <c r="E70" s="299">
        <f>D70/D72</f>
        <v>0.63763441664545883</v>
      </c>
      <c r="G70" s="231"/>
      <c r="H70" s="231"/>
      <c r="I70" s="231"/>
      <c r="J70" s="231"/>
      <c r="K70" s="1209"/>
      <c r="L70" s="231"/>
      <c r="M70" s="231"/>
      <c r="N70" s="231"/>
      <c r="O70" s="231"/>
      <c r="P70" s="231"/>
      <c r="Q70" s="231"/>
      <c r="R70" s="231"/>
      <c r="S70" s="231"/>
      <c r="T70" s="231"/>
      <c r="U70" s="231"/>
      <c r="V70" s="231"/>
      <c r="W70" s="231"/>
      <c r="X70" s="231"/>
      <c r="Y70" s="231"/>
      <c r="Z70" s="231"/>
      <c r="AA70" s="231"/>
      <c r="AB70" s="231"/>
      <c r="AC70" s="231"/>
      <c r="AD70" s="231"/>
      <c r="AE70" s="231"/>
      <c r="AF70" s="231"/>
      <c r="AG70" s="231"/>
    </row>
    <row r="71" spans="1:33" ht="14.25">
      <c r="A71" s="1532"/>
      <c r="C71" s="286" t="s">
        <v>961</v>
      </c>
      <c r="D71" s="1080">
        <f>(AF34/(F50-AF5))*AF45</f>
        <v>5789431.501350807</v>
      </c>
      <c r="E71" s="299">
        <f>D71/D72</f>
        <v>0.36236558335454111</v>
      </c>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row>
    <row r="72" spans="1:33" ht="14.25">
      <c r="A72" s="1532"/>
      <c r="C72" s="286" t="s">
        <v>962</v>
      </c>
      <c r="D72" s="1080">
        <f>D70+D71</f>
        <v>15976769.779723769</v>
      </c>
      <c r="E72" s="2"/>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row>
    <row r="73" spans="1:33" ht="14.25">
      <c r="A73" s="1532"/>
      <c r="C73" s="613" t="s">
        <v>964</v>
      </c>
      <c r="D73" s="614">
        <f ca="1">OP!C20</f>
        <v>191.11</v>
      </c>
      <c r="E73" s="287"/>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row>
    <row r="74" spans="1:33" ht="14.25">
      <c r="A74" s="1532"/>
      <c r="C74" s="613" t="s">
        <v>965</v>
      </c>
      <c r="D74" s="333">
        <f ca="1">D75/D73-1</f>
        <v>0.49586753033623454</v>
      </c>
      <c r="H74" s="231"/>
      <c r="I74" s="231"/>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row>
    <row r="75" spans="1:33" ht="14.25">
      <c r="A75" s="1533"/>
      <c r="C75" s="334" t="s">
        <v>966</v>
      </c>
      <c r="D75" s="335">
        <f ca="1">D72/OP!C21</f>
        <v>285.8752437225578</v>
      </c>
    </row>
    <row r="76" spans="1:33" ht="14.25">
      <c r="A76" s="319"/>
      <c r="C76" s="287"/>
      <c r="D76" s="615"/>
    </row>
    <row r="77" spans="1:33" ht="14.25">
      <c r="A77" s="1534" t="s">
        <v>967</v>
      </c>
      <c r="C77" s="344" t="s">
        <v>968</v>
      </c>
      <c r="D77" s="1081">
        <f ca="1">(SUMPRODUCT(G35:AF35,G45:AF45)+((AF43-AF44)*AF45)+(AF34/(F50+0.001-AF5))*AF45)*1000/OP!C21</f>
        <v>284436.47498008353</v>
      </c>
      <c r="E77" s="336">
        <f ca="1">D77/D75-1</f>
        <v>993.96714467563129</v>
      </c>
    </row>
    <row r="78" spans="1:33" ht="14.25">
      <c r="A78" s="1535"/>
      <c r="C78" s="344" t="s">
        <v>969</v>
      </c>
      <c r="D78" s="1081">
        <f ca="1">(SUMPRODUCT(G35:AF35,G45:AF45)+((AF43-AF44)*AF45)+(AF34/(F50+0.005-AF5))*AF45)*1000/OP!C21</f>
        <v>279060.02336346923</v>
      </c>
      <c r="E78" s="336">
        <f ca="1">D78/D75-1</f>
        <v>975.16015898983278</v>
      </c>
    </row>
    <row r="79" spans="1:33" ht="14.25">
      <c r="A79" s="342"/>
      <c r="C79" s="343"/>
      <c r="D79" s="615"/>
      <c r="E79" s="336"/>
    </row>
    <row r="80" spans="1:33" ht="14.25">
      <c r="A80" s="542" t="s">
        <v>970</v>
      </c>
      <c r="C80" s="533" t="s">
        <v>971</v>
      </c>
      <c r="D80" s="335">
        <f ca="1">D75/1.15</f>
        <v>248.5871684543981</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topLeftCell="A64" zoomScale="94" workbookViewId="0">
      <selection activeCell="C17" sqref="C17"/>
    </sheetView>
  </sheetViews>
  <sheetFormatPr defaultColWidth="10.265625" defaultRowHeight="13.5"/>
  <cols>
    <col min="1" max="1" width="40" style="22" bestFit="1" customWidth="1"/>
    <col min="2" max="5" width="13.265625" style="22" customWidth="1"/>
    <col min="6" max="6" width="13" style="22" customWidth="1"/>
    <col min="7" max="9" width="13.86328125" style="22" customWidth="1"/>
    <col min="10" max="10" width="14" style="22" customWidth="1"/>
    <col min="11" max="11" width="15" style="24" customWidth="1"/>
    <col min="12" max="12" width="17" style="24" customWidth="1"/>
    <col min="13" max="13" width="14" style="22" customWidth="1"/>
    <col min="14" max="14" width="21.265625" style="22" bestFit="1" customWidth="1"/>
    <col min="15" max="15" width="32" style="22" customWidth="1"/>
    <col min="16" max="16" width="11.265625" style="22" customWidth="1"/>
    <col min="17" max="23" width="0" style="22" hidden="1" customWidth="1"/>
    <col min="24" max="24" width="15.265625" style="22" bestFit="1" customWidth="1"/>
    <col min="25" max="25" width="17.265625" style="22" bestFit="1" customWidth="1"/>
    <col min="26" max="33" width="0" style="22" hidden="1" customWidth="1"/>
    <col min="34" max="16384" width="10.265625" style="22"/>
  </cols>
  <sheetData>
    <row r="1" spans="1:33" ht="13.9">
      <c r="A1" s="1217">
        <f>AVERAGE(B1:M1)</f>
        <v>0.36377748358835155</v>
      </c>
      <c r="B1" s="1216">
        <f>B28/(B6-B8)</f>
        <v>0.35171854183480361</v>
      </c>
      <c r="C1" s="1216">
        <f t="shared" ref="C1:M1" si="0">C28/(C6-C8)</f>
        <v>0.28322374486549257</v>
      </c>
      <c r="D1" s="1216">
        <f t="shared" si="0"/>
        <v>0.1819604534559284</v>
      </c>
      <c r="E1" s="1216">
        <f t="shared" si="0"/>
        <v>0.35022957699659268</v>
      </c>
      <c r="F1" s="1216">
        <f t="shared" si="0"/>
        <v>0.5066079917925187</v>
      </c>
      <c r="G1" s="1216">
        <f t="shared" si="0"/>
        <v>0.32200559540505919</v>
      </c>
      <c r="H1" s="1216">
        <f t="shared" si="0"/>
        <v>0.37942850505285169</v>
      </c>
      <c r="I1" s="1216">
        <f t="shared" si="0"/>
        <v>0.35347813907090198</v>
      </c>
      <c r="J1" s="1216">
        <f t="shared" si="0"/>
        <v>0.3692449551976299</v>
      </c>
      <c r="K1" s="1216">
        <f t="shared" si="0"/>
        <v>0.48768747861888501</v>
      </c>
      <c r="L1" s="1216">
        <f t="shared" si="0"/>
        <v>0.68145715396914563</v>
      </c>
      <c r="M1" s="1216">
        <f t="shared" si="0"/>
        <v>9.8287666800408999E-2</v>
      </c>
      <c r="N1"/>
      <c r="O1"/>
    </row>
    <row r="2" spans="1:33">
      <c r="G2" s="1548" t="s">
        <v>972</v>
      </c>
      <c r="H2" s="1548"/>
      <c r="I2" s="1548"/>
      <c r="J2" s="1548"/>
      <c r="K2" s="25"/>
      <c r="L2" s="25"/>
      <c r="M2" s="25"/>
      <c r="N2" s="25"/>
      <c r="O2" s="25"/>
    </row>
    <row r="3" spans="1:33">
      <c r="A3" s="22" t="s">
        <v>973</v>
      </c>
      <c r="B3" s="22">
        <v>76426</v>
      </c>
      <c r="G3" s="22" t="s">
        <v>974</v>
      </c>
      <c r="H3" s="22" t="s">
        <v>975</v>
      </c>
      <c r="M3"/>
      <c r="N3"/>
      <c r="O3"/>
    </row>
    <row r="4" spans="1:33">
      <c r="D4" s="1548" t="s">
        <v>976</v>
      </c>
      <c r="E4" s="1548"/>
      <c r="F4" s="1548"/>
      <c r="G4" s="1548"/>
      <c r="H4" s="1548"/>
      <c r="I4" s="1548"/>
      <c r="J4" s="1548"/>
      <c r="K4" s="1548"/>
      <c r="L4" s="1548"/>
      <c r="M4" s="1548"/>
      <c r="N4"/>
      <c r="O4"/>
    </row>
    <row r="5" spans="1:33" ht="13.9">
      <c r="A5" s="50" t="s">
        <v>977</v>
      </c>
      <c r="B5" s="301">
        <v>2024</v>
      </c>
      <c r="C5" s="301">
        <f>B5-1</f>
        <v>2023</v>
      </c>
      <c r="D5" s="301">
        <f t="shared" ref="D5:M5" si="1">C5-1</f>
        <v>2022</v>
      </c>
      <c r="E5" s="301">
        <f t="shared" si="1"/>
        <v>2021</v>
      </c>
      <c r="F5" s="301">
        <f t="shared" si="1"/>
        <v>2020</v>
      </c>
      <c r="G5" s="301">
        <f t="shared" si="1"/>
        <v>2019</v>
      </c>
      <c r="H5" s="301">
        <f t="shared" si="1"/>
        <v>2018</v>
      </c>
      <c r="I5" s="301">
        <f t="shared" si="1"/>
        <v>2017</v>
      </c>
      <c r="J5" s="301">
        <f t="shared" si="1"/>
        <v>2016</v>
      </c>
      <c r="K5" s="301">
        <f t="shared" si="1"/>
        <v>2015</v>
      </c>
      <c r="L5" s="301">
        <f t="shared" si="1"/>
        <v>2014</v>
      </c>
      <c r="M5" s="301">
        <f t="shared" si="1"/>
        <v>2013</v>
      </c>
      <c r="N5"/>
      <c r="O5"/>
      <c r="Q5" s="9" t="s">
        <v>978</v>
      </c>
      <c r="R5" s="1549" t="s">
        <v>979</v>
      </c>
      <c r="S5" s="1549"/>
      <c r="T5" s="22" t="s">
        <v>980</v>
      </c>
      <c r="Z5" s="50">
        <v>2016</v>
      </c>
      <c r="AA5" s="50">
        <v>2015</v>
      </c>
      <c r="AB5" s="50">
        <v>2014</v>
      </c>
      <c r="AC5" s="50">
        <v>2013</v>
      </c>
      <c r="AD5" s="50">
        <v>2012</v>
      </c>
      <c r="AE5" s="50">
        <v>2011</v>
      </c>
      <c r="AF5" s="50">
        <v>2010</v>
      </c>
      <c r="AG5" s="50">
        <v>2009</v>
      </c>
    </row>
    <row r="6" spans="1:33">
      <c r="A6" s="26" t="s">
        <v>123</v>
      </c>
      <c r="B6" s="265">
        <f>1402515</f>
        <v>1402515</v>
      </c>
      <c r="C6" s="265">
        <f>1174598</f>
        <v>1174598</v>
      </c>
      <c r="D6" s="265">
        <v>852651</v>
      </c>
      <c r="E6" s="265">
        <v>635627</v>
      </c>
      <c r="F6" s="265">
        <v>561329</v>
      </c>
      <c r="G6" s="265">
        <v>467633</v>
      </c>
      <c r="H6" s="302">
        <v>377527</v>
      </c>
      <c r="I6" s="265">
        <v>300010</v>
      </c>
      <c r="J6" s="265">
        <v>230701</v>
      </c>
      <c r="K6" s="265">
        <v>152698</v>
      </c>
      <c r="L6" s="265">
        <v>108687</v>
      </c>
      <c r="M6" s="265">
        <v>77294</v>
      </c>
      <c r="N6" s="28" t="s">
        <v>981</v>
      </c>
      <c r="O6" t="s">
        <v>730</v>
      </c>
      <c r="P6"/>
      <c r="Q6" s="22" t="s">
        <v>982</v>
      </c>
      <c r="R6" s="22" t="s">
        <v>982</v>
      </c>
      <c r="X6" s="29"/>
      <c r="Y6" s="29"/>
      <c r="Z6" s="27">
        <v>38537</v>
      </c>
      <c r="AA6" s="27">
        <v>47011</v>
      </c>
      <c r="AB6" s="27">
        <v>55184</v>
      </c>
      <c r="AC6" s="27">
        <v>55656</v>
      </c>
      <c r="AD6" s="27">
        <v>65875</v>
      </c>
      <c r="AE6" s="27">
        <v>60138</v>
      </c>
      <c r="AF6" s="27">
        <v>42588</v>
      </c>
      <c r="AG6" s="27">
        <v>32396</v>
      </c>
    </row>
    <row r="7" spans="1:33">
      <c r="A7" s="26" t="s">
        <v>605</v>
      </c>
      <c r="B7" s="265">
        <v>960786</v>
      </c>
      <c r="C7" s="265">
        <v>807559</v>
      </c>
      <c r="D7" s="265">
        <v>565649</v>
      </c>
      <c r="E7" s="265">
        <v>416329</v>
      </c>
      <c r="F7" s="265">
        <v>379319</v>
      </c>
      <c r="G7" s="265">
        <v>313782</v>
      </c>
      <c r="H7" s="303">
        <v>228330</v>
      </c>
      <c r="I7" s="304">
        <v>176023</v>
      </c>
      <c r="J7" s="265">
        <v>132616</v>
      </c>
      <c r="K7" s="265">
        <v>81802</v>
      </c>
      <c r="L7" s="265">
        <v>53593</v>
      </c>
      <c r="M7" s="265">
        <v>37628</v>
      </c>
      <c r="N7" s="28" t="s">
        <v>981</v>
      </c>
      <c r="O7" t="str">
        <f>+A7</f>
        <v>Gross Profit</v>
      </c>
      <c r="P7"/>
      <c r="Q7" s="22" t="s">
        <v>982</v>
      </c>
      <c r="R7" s="22" t="s">
        <v>983</v>
      </c>
      <c r="Z7" s="31">
        <f>Z6-28044</f>
        <v>10493</v>
      </c>
      <c r="AA7" s="31">
        <f>AA6-33546</f>
        <v>13465</v>
      </c>
      <c r="AB7" s="31">
        <f>AB6-40718</f>
        <v>14466</v>
      </c>
      <c r="AC7" s="31">
        <f>AC6-40727</f>
        <v>14929</v>
      </c>
      <c r="AD7" s="32">
        <f>+AD6-47055</f>
        <v>18820</v>
      </c>
      <c r="AE7" s="32">
        <f>+AE6-43578</f>
        <v>16560</v>
      </c>
      <c r="AF7" s="32">
        <f>+AF6-30367</f>
        <v>12221</v>
      </c>
      <c r="AG7" s="32">
        <f>+AG6-23886</f>
        <v>8510</v>
      </c>
    </row>
    <row r="8" spans="1:33">
      <c r="A8" s="26" t="s">
        <v>287</v>
      </c>
      <c r="B8" s="265">
        <v>260093</v>
      </c>
      <c r="C8" s="265">
        <v>155026</v>
      </c>
      <c r="D8" s="265">
        <v>84594</v>
      </c>
      <c r="E8" s="265">
        <v>58043</v>
      </c>
      <c r="F8" s="265">
        <v>66171</v>
      </c>
      <c r="G8" s="265">
        <v>56224</v>
      </c>
      <c r="H8" s="303">
        <v>15949</v>
      </c>
      <c r="I8" s="304">
        <v>7296</v>
      </c>
      <c r="J8" s="304">
        <v>-3550</v>
      </c>
      <c r="K8" s="304">
        <v>-13921</v>
      </c>
      <c r="L8" s="304">
        <v>-7018</v>
      </c>
      <c r="M8" s="304">
        <v>31</v>
      </c>
      <c r="N8" s="28" t="s">
        <v>981</v>
      </c>
      <c r="O8" t="s">
        <v>287</v>
      </c>
      <c r="P8"/>
      <c r="Q8" s="22" t="s">
        <v>982</v>
      </c>
      <c r="R8" s="33" t="s">
        <v>984</v>
      </c>
      <c r="Z8" s="31">
        <f>Z7-4383</f>
        <v>6110</v>
      </c>
      <c r="AA8" s="31">
        <f>AA7-4951</f>
        <v>8514</v>
      </c>
      <c r="AB8" s="31">
        <f>AB7-6529</f>
        <v>7937</v>
      </c>
      <c r="AC8" s="31">
        <f>AC7-5547</f>
        <v>9382</v>
      </c>
      <c r="AD8" s="32">
        <f>AD7-5919-2466-797-580-485</f>
        <v>8573</v>
      </c>
      <c r="AE8" s="32">
        <f>+AE7-5203-2297-826-1081</f>
        <v>7153</v>
      </c>
      <c r="AF8" s="32">
        <f>+AF7-4248-1905-914-1191</f>
        <v>3963</v>
      </c>
      <c r="AG8" s="32">
        <f>+AG7-3645-1421-1045-1822</f>
        <v>577</v>
      </c>
    </row>
    <row r="9" spans="1:33">
      <c r="A9" s="26" t="s">
        <v>608</v>
      </c>
      <c r="B9" s="265">
        <v>16922</v>
      </c>
      <c r="C9" s="265">
        <v>3588</v>
      </c>
      <c r="D9" s="265">
        <v>-997</v>
      </c>
      <c r="E9" s="265">
        <v>-939</v>
      </c>
      <c r="F9" s="265">
        <v>947</v>
      </c>
      <c r="G9" s="265">
        <v>1822</v>
      </c>
      <c r="H9" s="265">
        <v>802</v>
      </c>
      <c r="I9" s="265">
        <v>73</v>
      </c>
      <c r="J9" s="265">
        <v>-124</v>
      </c>
      <c r="K9" s="265">
        <v>54</v>
      </c>
      <c r="L9" s="265">
        <v>163</v>
      </c>
      <c r="M9" s="265">
        <v>-16</v>
      </c>
      <c r="N9" s="28" t="s">
        <v>981</v>
      </c>
      <c r="O9" t="s">
        <v>985</v>
      </c>
      <c r="P9"/>
      <c r="Q9" s="22" t="s">
        <v>982</v>
      </c>
      <c r="R9" s="22" t="s">
        <v>986</v>
      </c>
      <c r="S9" s="22" t="s">
        <v>987</v>
      </c>
      <c r="T9" s="22" t="s">
        <v>988</v>
      </c>
      <c r="U9" s="22" t="s">
        <v>989</v>
      </c>
      <c r="V9" s="22" t="s">
        <v>990</v>
      </c>
      <c r="Z9" s="31">
        <f>1853+596+595+1904+6+8</f>
        <v>4962</v>
      </c>
      <c r="AA9" s="31">
        <f>2119+587+2023+11</f>
        <v>4740</v>
      </c>
      <c r="AB9" s="31">
        <f>2380+624+1619-8+16</f>
        <v>4631</v>
      </c>
      <c r="AC9" s="31">
        <f>2046+727+981+6+14</f>
        <v>3774</v>
      </c>
      <c r="AD9" s="32">
        <f>-14+41</f>
        <v>27</v>
      </c>
      <c r="AE9" s="31">
        <v>53</v>
      </c>
      <c r="AF9" s="31">
        <f>58+24</f>
        <v>82</v>
      </c>
      <c r="AG9" s="31">
        <f>12-68</f>
        <v>-56</v>
      </c>
    </row>
    <row r="10" spans="1:33">
      <c r="A10" s="26" t="s">
        <v>288</v>
      </c>
      <c r="B10" s="566">
        <v>0</v>
      </c>
      <c r="C10" s="566">
        <v>0</v>
      </c>
      <c r="D10" s="566">
        <v>0</v>
      </c>
      <c r="E10" s="566">
        <v>0</v>
      </c>
      <c r="F10" s="566">
        <v>0</v>
      </c>
      <c r="G10" s="566">
        <v>0</v>
      </c>
      <c r="H10" s="567">
        <v>0</v>
      </c>
      <c r="I10" s="568">
        <v>0</v>
      </c>
      <c r="J10" s="566">
        <v>0</v>
      </c>
      <c r="K10" s="566">
        <v>0</v>
      </c>
      <c r="L10" s="566">
        <v>0</v>
      </c>
      <c r="M10" s="566">
        <v>0</v>
      </c>
      <c r="N10" s="28" t="s">
        <v>981</v>
      </c>
      <c r="O10" t="s">
        <v>991</v>
      </c>
      <c r="P10"/>
      <c r="Q10" s="22" t="s">
        <v>982</v>
      </c>
      <c r="R10" s="22" t="s">
        <v>992</v>
      </c>
      <c r="Z10" s="31">
        <f>505+518</f>
        <v>1023</v>
      </c>
      <c r="AA10" s="31">
        <f>507-161</f>
        <v>346</v>
      </c>
      <c r="AB10" s="31">
        <f>484-322</f>
        <v>162</v>
      </c>
      <c r="AC10" s="31">
        <f>465+35</f>
        <v>500</v>
      </c>
      <c r="AD10" s="32">
        <f>467-130</f>
        <v>337</v>
      </c>
      <c r="AE10" s="31">
        <f>396+32</f>
        <v>428</v>
      </c>
      <c r="AF10" s="31">
        <f>343-130</f>
        <v>213</v>
      </c>
      <c r="AG10" s="31">
        <f>389-381</f>
        <v>8</v>
      </c>
    </row>
    <row r="11" spans="1:33">
      <c r="A11" s="26" t="s">
        <v>289</v>
      </c>
      <c r="B11" s="265">
        <v>-70249</v>
      </c>
      <c r="C11" s="265">
        <v>-17792</v>
      </c>
      <c r="D11" s="265">
        <v>7180</v>
      </c>
      <c r="E11" s="265">
        <v>13715</v>
      </c>
      <c r="F11" s="265">
        <v>-2663</v>
      </c>
      <c r="G11" s="265">
        <v>-4223</v>
      </c>
      <c r="H11" s="303">
        <v>21847</v>
      </c>
      <c r="I11" s="304">
        <v>-651</v>
      </c>
      <c r="J11" s="265">
        <v>-177</v>
      </c>
      <c r="K11" s="265">
        <v>-105</v>
      </c>
      <c r="L11" s="265">
        <v>-255</v>
      </c>
      <c r="M11" s="265">
        <v>602</v>
      </c>
      <c r="N11" s="28" t="s">
        <v>981</v>
      </c>
      <c r="O11" t="s">
        <v>289</v>
      </c>
      <c r="P11"/>
      <c r="Q11" s="22" t="s">
        <v>982</v>
      </c>
      <c r="R11" s="22" t="s">
        <v>993</v>
      </c>
      <c r="Z11" s="27">
        <v>192</v>
      </c>
      <c r="AA11" s="27">
        <v>916</v>
      </c>
      <c r="AB11" s="27">
        <v>692</v>
      </c>
      <c r="AC11" s="27">
        <v>1319</v>
      </c>
      <c r="AD11" s="30">
        <f>2528</f>
        <v>2528</v>
      </c>
      <c r="AE11" s="27">
        <f>1720</f>
        <v>1720</v>
      </c>
      <c r="AF11" s="27">
        <f>968</f>
        <v>968</v>
      </c>
      <c r="AG11" s="27">
        <f>-270</f>
        <v>-270</v>
      </c>
    </row>
    <row r="12" spans="1:33">
      <c r="A12" s="26" t="s">
        <v>65</v>
      </c>
      <c r="B12" s="265">
        <v>206766</v>
      </c>
      <c r="C12" s="265">
        <v>140822</v>
      </c>
      <c r="D12" s="265">
        <v>90777</v>
      </c>
      <c r="E12" s="265">
        <v>70819</v>
      </c>
      <c r="F12" s="265">
        <v>64455</v>
      </c>
      <c r="G12" s="265">
        <v>53823</v>
      </c>
      <c r="H12" s="302">
        <v>38598</v>
      </c>
      <c r="I12" s="265">
        <v>6718</v>
      </c>
      <c r="J12" s="265">
        <v>-3851</v>
      </c>
      <c r="K12" s="265">
        <v>-13972</v>
      </c>
      <c r="L12" s="566">
        <v>-7110</v>
      </c>
      <c r="M12" s="265">
        <v>617</v>
      </c>
      <c r="N12" s="28" t="s">
        <v>981</v>
      </c>
      <c r="O12" t="s">
        <v>65</v>
      </c>
      <c r="P12"/>
      <c r="Q12" s="22" t="s">
        <v>994</v>
      </c>
      <c r="R12" s="22" t="s">
        <v>995</v>
      </c>
      <c r="Z12" s="27">
        <v>-67</v>
      </c>
      <c r="AA12" s="27">
        <v>2512</v>
      </c>
      <c r="AB12" s="27">
        <v>2452</v>
      </c>
      <c r="AC12" s="27">
        <v>3789</v>
      </c>
      <c r="AD12" s="27">
        <v>5681</v>
      </c>
      <c r="AE12" s="27">
        <f>4928+24</f>
        <v>4952</v>
      </c>
      <c r="AF12" s="27">
        <v>2700</v>
      </c>
      <c r="AG12" s="27">
        <v>895</v>
      </c>
    </row>
    <row r="13" spans="1:33">
      <c r="B13" s="305">
        <f>SUM(B8:B11)</f>
        <v>206766</v>
      </c>
      <c r="C13" s="305">
        <f t="shared" ref="C13:M13" si="2">SUM(C8:C11)</f>
        <v>140822</v>
      </c>
      <c r="D13" s="305">
        <f t="shared" si="2"/>
        <v>90777</v>
      </c>
      <c r="E13" s="305">
        <f t="shared" si="2"/>
        <v>70819</v>
      </c>
      <c r="F13" s="305">
        <f>SUM(F8:F11)</f>
        <v>64455</v>
      </c>
      <c r="G13" s="305">
        <f t="shared" si="2"/>
        <v>53823</v>
      </c>
      <c r="H13" s="305">
        <f t="shared" si="2"/>
        <v>38598</v>
      </c>
      <c r="I13" s="305">
        <f t="shared" si="2"/>
        <v>6718</v>
      </c>
      <c r="J13" s="305">
        <f t="shared" si="2"/>
        <v>-3851</v>
      </c>
      <c r="K13" s="305">
        <f t="shared" si="2"/>
        <v>-13972</v>
      </c>
      <c r="L13" s="305">
        <f t="shared" si="2"/>
        <v>-7110</v>
      </c>
      <c r="M13" s="305">
        <f t="shared" si="2"/>
        <v>617</v>
      </c>
      <c r="N13"/>
      <c r="O13"/>
      <c r="P13"/>
      <c r="Z13" s="24">
        <f t="shared" ref="Z13:AG13" si="3">Z8-Z10-Z9-Z11</f>
        <v>-67</v>
      </c>
      <c r="AA13" s="24">
        <f t="shared" si="3"/>
        <v>2512</v>
      </c>
      <c r="AB13" s="24">
        <f t="shared" si="3"/>
        <v>2452</v>
      </c>
      <c r="AC13" s="24">
        <f t="shared" si="3"/>
        <v>3789</v>
      </c>
      <c r="AD13" s="24">
        <f t="shared" si="3"/>
        <v>5681</v>
      </c>
      <c r="AE13" s="24">
        <f t="shared" si="3"/>
        <v>4952</v>
      </c>
      <c r="AF13" s="24">
        <f t="shared" si="3"/>
        <v>2700</v>
      </c>
      <c r="AG13" s="24">
        <f t="shared" si="3"/>
        <v>895</v>
      </c>
    </row>
    <row r="14" spans="1:33" ht="13.9">
      <c r="A14" s="50" t="s">
        <v>996</v>
      </c>
      <c r="B14" s="306">
        <f>B12-B13</f>
        <v>0</v>
      </c>
      <c r="C14" s="306">
        <f t="shared" ref="C14:M14" si="4">C12-C13</f>
        <v>0</v>
      </c>
      <c r="D14" s="306">
        <f t="shared" si="4"/>
        <v>0</v>
      </c>
      <c r="E14" s="306">
        <f t="shared" si="4"/>
        <v>0</v>
      </c>
      <c r="F14" s="306">
        <f>F12-F13</f>
        <v>0</v>
      </c>
      <c r="G14" s="306">
        <f t="shared" si="4"/>
        <v>0</v>
      </c>
      <c r="H14" s="306">
        <f t="shared" si="4"/>
        <v>0</v>
      </c>
      <c r="I14" s="306">
        <f t="shared" si="4"/>
        <v>0</v>
      </c>
      <c r="J14" s="306">
        <f t="shared" si="4"/>
        <v>0</v>
      </c>
      <c r="K14" s="306">
        <f t="shared" si="4"/>
        <v>0</v>
      </c>
      <c r="L14" s="306">
        <f t="shared" si="4"/>
        <v>0</v>
      </c>
      <c r="M14" s="306">
        <f t="shared" si="4"/>
        <v>0</v>
      </c>
      <c r="N14"/>
      <c r="O14"/>
      <c r="P14"/>
      <c r="Z14" s="35">
        <f t="shared" ref="Z14:AG14" si="5">Z12-Z13</f>
        <v>0</v>
      </c>
      <c r="AA14" s="35">
        <f t="shared" si="5"/>
        <v>0</v>
      </c>
      <c r="AB14" s="35">
        <f t="shared" si="5"/>
        <v>0</v>
      </c>
      <c r="AC14" s="35">
        <f t="shared" si="5"/>
        <v>0</v>
      </c>
      <c r="AD14" s="35">
        <f t="shared" si="5"/>
        <v>0</v>
      </c>
      <c r="AE14" s="35">
        <f t="shared" si="5"/>
        <v>0</v>
      </c>
      <c r="AF14" s="35">
        <f t="shared" si="5"/>
        <v>0</v>
      </c>
      <c r="AG14" s="35">
        <f t="shared" si="5"/>
        <v>0</v>
      </c>
    </row>
    <row r="15" spans="1:33">
      <c r="A15"/>
      <c r="B15" s="310"/>
      <c r="C15" s="310"/>
      <c r="D15" s="310"/>
      <c r="E15" s="310"/>
      <c r="F15" s="310"/>
      <c r="G15" s="310"/>
      <c r="H15" s="310"/>
      <c r="I15" s="310"/>
      <c r="J15" s="310"/>
      <c r="K15" s="310"/>
      <c r="L15" s="310"/>
      <c r="M15" s="310"/>
      <c r="N15"/>
      <c r="O15"/>
      <c r="P15"/>
      <c r="Z15" s="27"/>
      <c r="AA15" s="27"/>
      <c r="AB15" s="27"/>
      <c r="AC15" s="27"/>
      <c r="AD15" s="27"/>
      <c r="AE15" s="27"/>
      <c r="AF15" s="27"/>
      <c r="AG15" s="27"/>
    </row>
    <row r="16" spans="1:33">
      <c r="A16" s="26" t="s">
        <v>997</v>
      </c>
      <c r="B16" s="307">
        <v>56214</v>
      </c>
      <c r="C16" s="307">
        <v>55706</v>
      </c>
      <c r="D16" s="307">
        <v>55036</v>
      </c>
      <c r="E16" s="307">
        <v>54318</v>
      </c>
      <c r="F16" s="307">
        <v>53547</v>
      </c>
      <c r="G16" s="307">
        <v>52914</v>
      </c>
      <c r="H16" s="308">
        <v>52425</v>
      </c>
      <c r="I16" s="307">
        <v>51415</v>
      </c>
      <c r="J16" s="307">
        <v>50913</v>
      </c>
      <c r="K16" s="307">
        <v>50127</v>
      </c>
      <c r="L16" s="307">
        <v>36707</v>
      </c>
      <c r="M16" s="307">
        <v>31988</v>
      </c>
      <c r="N16" s="28"/>
      <c r="O16"/>
      <c r="P16"/>
      <c r="Z16" s="27"/>
      <c r="AA16" s="27"/>
      <c r="AB16" s="27"/>
      <c r="AC16" s="27"/>
      <c r="AD16" s="27"/>
      <c r="AE16" s="27"/>
      <c r="AF16" s="27"/>
      <c r="AG16" s="27"/>
    </row>
    <row r="17" spans="1:152">
      <c r="A17" s="26" t="s">
        <v>998</v>
      </c>
      <c r="B17" s="307">
        <v>56976</v>
      </c>
      <c r="C17" s="307">
        <v>56596</v>
      </c>
      <c r="D17" s="307">
        <v>56445</v>
      </c>
      <c r="E17" s="307">
        <v>56305</v>
      </c>
      <c r="F17" s="307">
        <v>55807</v>
      </c>
      <c r="G17" s="307">
        <v>55414</v>
      </c>
      <c r="H17" s="308">
        <v>54887</v>
      </c>
      <c r="I17" s="307">
        <v>54057</v>
      </c>
      <c r="J17" s="307">
        <v>50913</v>
      </c>
      <c r="K17" s="307">
        <v>50127</v>
      </c>
      <c r="L17" s="307">
        <v>36707</v>
      </c>
      <c r="M17" s="307">
        <v>31988</v>
      </c>
      <c r="N17" s="28"/>
      <c r="O17"/>
      <c r="P17"/>
      <c r="Z17" s="27"/>
      <c r="AA17" s="27"/>
      <c r="AB17" s="27"/>
      <c r="AC17" s="27"/>
      <c r="AD17" s="27"/>
      <c r="AE17" s="27"/>
      <c r="AF17" s="27"/>
      <c r="AG17" s="27"/>
    </row>
    <row r="18" spans="1:152" customFormat="1" ht="12.75">
      <c r="B18" s="310"/>
      <c r="C18" s="310"/>
      <c r="D18" s="310"/>
      <c r="E18" s="310"/>
      <c r="F18" s="310"/>
      <c r="G18" s="310"/>
      <c r="H18" s="310"/>
      <c r="I18" s="310"/>
      <c r="J18" s="310"/>
      <c r="K18" s="310"/>
      <c r="L18" s="310"/>
      <c r="M18" s="310"/>
    </row>
    <row r="19" spans="1:152">
      <c r="A19" s="26" t="s">
        <v>999</v>
      </c>
      <c r="B19" s="265">
        <v>0</v>
      </c>
      <c r="C19" s="265">
        <v>0</v>
      </c>
      <c r="D19" s="265">
        <v>0</v>
      </c>
      <c r="E19" s="265">
        <v>0</v>
      </c>
      <c r="F19" s="265">
        <v>0</v>
      </c>
      <c r="G19" s="265">
        <v>0</v>
      </c>
      <c r="H19" s="265">
        <v>0</v>
      </c>
      <c r="I19" s="265">
        <v>0</v>
      </c>
      <c r="J19" s="265">
        <v>0</v>
      </c>
      <c r="K19" s="265">
        <v>0</v>
      </c>
      <c r="L19" s="265">
        <v>0</v>
      </c>
      <c r="M19" s="265">
        <v>0</v>
      </c>
      <c r="N19" s="28"/>
      <c r="O19"/>
      <c r="P19"/>
      <c r="Z19" s="27"/>
      <c r="AA19" s="27"/>
      <c r="AB19" s="27"/>
      <c r="AC19" s="27"/>
      <c r="AD19" s="27"/>
      <c r="AE19" s="27"/>
      <c r="AF19" s="27"/>
      <c r="AG19" s="27"/>
    </row>
    <row r="20" spans="1:152" ht="13.9">
      <c r="A20" s="9" t="s">
        <v>1000</v>
      </c>
      <c r="B20" s="265">
        <v>210345</v>
      </c>
      <c r="C20" s="265">
        <v>138610</v>
      </c>
      <c r="D20" s="265">
        <v>88408</v>
      </c>
      <c r="E20" s="265">
        <v>70210</v>
      </c>
      <c r="F20" s="265">
        <v>65018</v>
      </c>
      <c r="G20" s="265">
        <v>54074</v>
      </c>
      <c r="H20" s="302">
        <v>38459</v>
      </c>
      <c r="I20" s="265">
        <v>6718</v>
      </c>
      <c r="J20" s="265">
        <v>0</v>
      </c>
      <c r="K20" s="265">
        <v>0</v>
      </c>
      <c r="L20" s="265">
        <v>0</v>
      </c>
      <c r="M20" s="265">
        <v>0</v>
      </c>
      <c r="N20" s="28"/>
      <c r="O20"/>
      <c r="P20"/>
      <c r="Z20" s="27"/>
      <c r="AA20" s="27"/>
      <c r="AB20" s="27"/>
      <c r="AC20" s="27"/>
      <c r="AD20" s="27"/>
      <c r="AE20" s="27"/>
      <c r="AF20" s="27"/>
      <c r="AG20" s="27"/>
    </row>
    <row r="21" spans="1:152" customFormat="1" ht="12.75">
      <c r="B21" s="310"/>
      <c r="C21" s="310"/>
      <c r="D21" s="310"/>
      <c r="E21" s="310"/>
      <c r="F21" s="310"/>
      <c r="G21" s="310"/>
      <c r="H21" s="310"/>
      <c r="I21" s="310"/>
      <c r="J21" s="310"/>
      <c r="K21" s="310"/>
      <c r="L21" s="310"/>
      <c r="M21" s="310"/>
    </row>
    <row r="22" spans="1:152">
      <c r="A22" s="22" t="s">
        <v>609</v>
      </c>
      <c r="B22" s="305">
        <f t="shared" ref="B22:J22" si="6">B23-C23</f>
        <v>20446</v>
      </c>
      <c r="C22" s="305">
        <f t="shared" si="6"/>
        <v>13482</v>
      </c>
      <c r="D22" s="305">
        <f>D23-E23</f>
        <v>7813</v>
      </c>
      <c r="E22" s="305">
        <f t="shared" si="6"/>
        <v>-39783</v>
      </c>
      <c r="F22" s="305">
        <f t="shared" si="6"/>
        <v>-4302</v>
      </c>
      <c r="G22" s="305">
        <f t="shared" si="6"/>
        <v>37463</v>
      </c>
      <c r="H22" s="305">
        <f t="shared" si="6"/>
        <v>-14370</v>
      </c>
      <c r="I22" s="305">
        <f>I23-J23</f>
        <v>2082</v>
      </c>
      <c r="J22" s="305">
        <f t="shared" si="6"/>
        <v>-5548</v>
      </c>
      <c r="K22" s="305">
        <f>K23-L23</f>
        <v>-251</v>
      </c>
      <c r="L22" s="305">
        <f>L23-M23</f>
        <v>-6422</v>
      </c>
      <c r="M22" s="305">
        <f>M23-N23</f>
        <v>-5289</v>
      </c>
      <c r="N22" s="34" t="s">
        <v>1001</v>
      </c>
      <c r="O22" t="s">
        <v>818</v>
      </c>
      <c r="P22"/>
      <c r="Q22" s="22" t="s">
        <v>994</v>
      </c>
      <c r="Z22" s="27"/>
      <c r="AA22" s="27"/>
      <c r="AB22" s="27"/>
      <c r="AC22" s="27"/>
      <c r="AD22" s="30"/>
      <c r="AE22" s="27"/>
      <c r="AF22" s="27"/>
      <c r="AG22" s="27"/>
    </row>
    <row r="23" spans="1:152">
      <c r="A23" s="26" t="s">
        <v>1002</v>
      </c>
      <c r="B23" s="265">
        <f t="shared" ref="B23" si="7">B27-B42-B28</f>
        <v>5321</v>
      </c>
      <c r="C23" s="265">
        <f t="shared" ref="C23:M23" si="8">C27-C42-C28</f>
        <v>-15125</v>
      </c>
      <c r="D23" s="265">
        <f t="shared" si="8"/>
        <v>-28607</v>
      </c>
      <c r="E23" s="265">
        <f t="shared" si="8"/>
        <v>-36420</v>
      </c>
      <c r="F23" s="265">
        <f t="shared" si="8"/>
        <v>3363</v>
      </c>
      <c r="G23" s="265">
        <f t="shared" si="8"/>
        <v>7665</v>
      </c>
      <c r="H23" s="265">
        <f t="shared" si="8"/>
        <v>-29798</v>
      </c>
      <c r="I23" s="265">
        <f t="shared" si="8"/>
        <v>-15428</v>
      </c>
      <c r="J23" s="265">
        <f t="shared" si="8"/>
        <v>-17510</v>
      </c>
      <c r="K23" s="265">
        <f t="shared" si="8"/>
        <v>-11962</v>
      </c>
      <c r="L23" s="265">
        <f t="shared" si="8"/>
        <v>-11711</v>
      </c>
      <c r="M23" s="265">
        <f t="shared" si="8"/>
        <v>-5289</v>
      </c>
      <c r="N23" s="34"/>
      <c r="O23"/>
      <c r="P23"/>
      <c r="Z23" s="27"/>
      <c r="AA23" s="27"/>
      <c r="AB23" s="27"/>
      <c r="AC23" s="27"/>
      <c r="AD23" s="30"/>
      <c r="AE23" s="27"/>
      <c r="AF23" s="27"/>
      <c r="AG23" s="27"/>
    </row>
    <row r="24" spans="1:152">
      <c r="A24" s="7">
        <v>2625</v>
      </c>
      <c r="B24" s="311">
        <v>2625</v>
      </c>
      <c r="C24" s="311">
        <v>2625</v>
      </c>
      <c r="D24" s="311">
        <v>2625</v>
      </c>
      <c r="E24" s="311">
        <v>2625</v>
      </c>
      <c r="F24" s="311">
        <v>2625</v>
      </c>
      <c r="G24" s="311">
        <v>2625</v>
      </c>
      <c r="H24" s="311">
        <v>2625</v>
      </c>
      <c r="I24" s="311">
        <v>2625</v>
      </c>
      <c r="J24" s="311">
        <v>2625</v>
      </c>
      <c r="K24" s="311">
        <v>2625</v>
      </c>
      <c r="L24" s="311">
        <v>2625</v>
      </c>
      <c r="M24" s="311">
        <v>2625</v>
      </c>
      <c r="N24" s="7">
        <v>2625</v>
      </c>
      <c r="O24"/>
      <c r="P24"/>
      <c r="Q24" s="22" t="s">
        <v>994</v>
      </c>
      <c r="R24" s="22" t="s">
        <v>1003</v>
      </c>
      <c r="T24" s="22" t="s">
        <v>1004</v>
      </c>
      <c r="Z24" s="27">
        <v>1799</v>
      </c>
      <c r="AA24" s="27">
        <v>1757</v>
      </c>
      <c r="AB24" s="27">
        <v>1620</v>
      </c>
      <c r="AC24" s="27">
        <v>1111</v>
      </c>
      <c r="AD24" s="27">
        <v>1617</v>
      </c>
      <c r="AE24" s="27">
        <v>1159</v>
      </c>
      <c r="AF24" s="27">
        <v>1084</v>
      </c>
      <c r="AG24" s="27">
        <v>1029</v>
      </c>
    </row>
    <row r="25" spans="1:152" ht="13.9">
      <c r="A25" s="50" t="s">
        <v>931</v>
      </c>
      <c r="B25" s="311">
        <v>2625</v>
      </c>
      <c r="C25" s="311">
        <v>2625</v>
      </c>
      <c r="D25" s="311">
        <v>2625</v>
      </c>
      <c r="E25" s="311">
        <v>2625</v>
      </c>
      <c r="F25" s="311">
        <v>2625</v>
      </c>
      <c r="G25" s="311">
        <v>2625</v>
      </c>
      <c r="H25" s="311">
        <v>2625</v>
      </c>
      <c r="I25" s="311">
        <v>2625</v>
      </c>
      <c r="J25" s="311">
        <v>2625</v>
      </c>
      <c r="K25" s="311">
        <v>2625</v>
      </c>
      <c r="L25" s="311">
        <v>2625</v>
      </c>
      <c r="M25" s="311">
        <v>2625</v>
      </c>
      <c r="N25" s="7">
        <v>2625</v>
      </c>
      <c r="O25"/>
      <c r="P25"/>
      <c r="Q25" s="22" t="s">
        <v>994</v>
      </c>
      <c r="R25" s="22" t="s">
        <v>1005</v>
      </c>
      <c r="S25" s="22" t="s">
        <v>1006</v>
      </c>
      <c r="T25" s="22" t="s">
        <v>1007</v>
      </c>
      <c r="Z25" s="27">
        <v>23</v>
      </c>
      <c r="AA25" s="27">
        <f>-33+2025</f>
        <v>1992</v>
      </c>
      <c r="AB25" s="27">
        <v>3817</v>
      </c>
      <c r="AC25" s="27">
        <v>1776</v>
      </c>
      <c r="AD25" s="27">
        <v>-244</v>
      </c>
      <c r="AE25" s="27">
        <v>-312</v>
      </c>
      <c r="AF25" s="27">
        <v>-449</v>
      </c>
      <c r="AG25" s="27">
        <v>-110</v>
      </c>
    </row>
    <row r="26" spans="1:152" ht="13.9">
      <c r="A26" s="105" t="s">
        <v>1008</v>
      </c>
      <c r="B26" s="353"/>
      <c r="C26" s="353"/>
      <c r="D26" s="353"/>
      <c r="E26" s="353"/>
      <c r="F26" s="353"/>
      <c r="G26" s="353"/>
      <c r="H26" s="353"/>
      <c r="I26" s="353"/>
      <c r="J26" s="353"/>
      <c r="K26" s="353"/>
      <c r="L26" s="353"/>
      <c r="M26" s="353"/>
      <c r="N26" s="7">
        <v>1922</v>
      </c>
      <c r="O26" s="7">
        <v>2625</v>
      </c>
      <c r="P26"/>
      <c r="Z26" s="27"/>
      <c r="AA26" s="27"/>
      <c r="AB26" s="27"/>
      <c r="AC26" s="27"/>
      <c r="AD26" s="27"/>
      <c r="AE26" s="27"/>
      <c r="AF26" s="27"/>
      <c r="AG26" s="27"/>
    </row>
    <row r="27" spans="1:152" ht="13.9">
      <c r="A27" s="9" t="s">
        <v>1009</v>
      </c>
      <c r="B27" s="264">
        <v>3524492</v>
      </c>
      <c r="C27" s="264">
        <v>3048437</v>
      </c>
      <c r="D27" s="264">
        <v>4231683</v>
      </c>
      <c r="E27" s="264">
        <v>2032883</v>
      </c>
      <c r="F27" s="264">
        <v>1663154</v>
      </c>
      <c r="G27" s="264">
        <v>1596189</v>
      </c>
      <c r="H27" s="264">
        <v>1378240</v>
      </c>
      <c r="I27" s="264">
        <v>1062846</v>
      </c>
      <c r="J27" s="264">
        <v>1335208</v>
      </c>
      <c r="K27" s="264">
        <v>678783</v>
      </c>
      <c r="L27" s="264">
        <v>500265</v>
      </c>
      <c r="M27" s="264">
        <v>366716</v>
      </c>
      <c r="N27" s="7"/>
      <c r="O27" s="7"/>
      <c r="P27"/>
      <c r="Z27" s="27"/>
      <c r="AA27" s="27"/>
      <c r="AB27" s="27"/>
      <c r="AC27" s="27"/>
      <c r="AD27" s="27"/>
      <c r="AE27" s="27"/>
      <c r="AF27" s="27"/>
      <c r="AG27" s="27"/>
    </row>
    <row r="28" spans="1:152" ht="13.9">
      <c r="A28" s="102" t="s">
        <v>292</v>
      </c>
      <c r="B28" s="265">
        <v>401811</v>
      </c>
      <c r="C28" s="265">
        <v>288767</v>
      </c>
      <c r="D28" s="265">
        <v>139756</v>
      </c>
      <c r="E28" s="265">
        <v>202287</v>
      </c>
      <c r="F28" s="265">
        <v>250851</v>
      </c>
      <c r="G28" s="265">
        <v>132476</v>
      </c>
      <c r="H28" s="265">
        <v>137193</v>
      </c>
      <c r="I28" s="265">
        <v>103468</v>
      </c>
      <c r="J28" s="265">
        <v>86496</v>
      </c>
      <c r="K28" s="265">
        <v>81258</v>
      </c>
      <c r="L28" s="265">
        <v>78848</v>
      </c>
      <c r="M28" s="265">
        <v>7594</v>
      </c>
      <c r="N28" s="37" t="s">
        <v>1010</v>
      </c>
      <c r="O28" t="s">
        <v>292</v>
      </c>
      <c r="P28"/>
      <c r="Z28" s="36"/>
      <c r="AA28" s="36"/>
      <c r="AB28" s="36"/>
      <c r="AC28" s="36"/>
      <c r="AD28" s="36"/>
      <c r="AE28" s="35"/>
      <c r="AF28" s="35"/>
      <c r="AG28" s="35"/>
    </row>
    <row r="29" spans="1:152" ht="13.9">
      <c r="A29" s="103" t="s">
        <v>618</v>
      </c>
      <c r="B29" s="265">
        <v>32997</v>
      </c>
      <c r="C29" s="265">
        <v>25085</v>
      </c>
      <c r="D29" s="265">
        <v>15754</v>
      </c>
      <c r="E29" s="265">
        <v>6267</v>
      </c>
      <c r="F29" s="265">
        <v>4923</v>
      </c>
      <c r="G29" s="265">
        <v>4358</v>
      </c>
      <c r="H29" s="265">
        <v>3453</v>
      </c>
      <c r="I29" s="265">
        <v>2040</v>
      </c>
      <c r="J29" s="265">
        <v>1681</v>
      </c>
      <c r="K29" s="265">
        <v>1115</v>
      </c>
      <c r="L29" s="265">
        <v>756</v>
      </c>
      <c r="M29" s="265">
        <v>740</v>
      </c>
      <c r="N29" s="37" t="s">
        <v>1010</v>
      </c>
      <c r="O29" t="s">
        <v>618</v>
      </c>
      <c r="P29"/>
      <c r="Z29" s="36"/>
      <c r="AA29" s="36"/>
      <c r="AB29" s="36"/>
      <c r="AC29" s="36"/>
      <c r="AD29" s="36"/>
      <c r="AE29" s="35"/>
      <c r="AF29" s="35"/>
      <c r="AG29" s="35"/>
    </row>
    <row r="30" spans="1:152">
      <c r="A30" s="102" t="s">
        <v>294</v>
      </c>
      <c r="B30" s="265">
        <v>0</v>
      </c>
      <c r="C30" s="265">
        <v>0</v>
      </c>
      <c r="D30" s="265">
        <v>0</v>
      </c>
      <c r="E30" s="265">
        <v>0</v>
      </c>
      <c r="F30" s="265">
        <v>0</v>
      </c>
      <c r="G30" s="265">
        <v>0</v>
      </c>
      <c r="H30" s="265">
        <v>0</v>
      </c>
      <c r="I30" s="265">
        <v>0</v>
      </c>
      <c r="J30" s="265">
        <v>0</v>
      </c>
      <c r="K30" s="265">
        <v>0</v>
      </c>
      <c r="L30" s="265">
        <v>0</v>
      </c>
      <c r="M30" s="265">
        <v>0</v>
      </c>
      <c r="N30" s="37" t="s">
        <v>1010</v>
      </c>
      <c r="O30" t="s">
        <v>294</v>
      </c>
      <c r="P30"/>
      <c r="Q30" s="22" t="s">
        <v>1011</v>
      </c>
      <c r="R30" s="22" t="s">
        <v>1012</v>
      </c>
      <c r="Z30" s="27">
        <v>7168</v>
      </c>
      <c r="AA30" s="27">
        <v>6460</v>
      </c>
      <c r="AB30" s="27">
        <v>7341</v>
      </c>
      <c r="AC30" s="27">
        <v>6081</v>
      </c>
      <c r="AD30" s="27">
        <v>5490</v>
      </c>
      <c r="AE30" s="27">
        <v>3057</v>
      </c>
      <c r="AF30" s="27">
        <v>3592</v>
      </c>
      <c r="AG30" s="27">
        <v>4867</v>
      </c>
    </row>
    <row r="31" spans="1:152" s="23" customFormat="1">
      <c r="A31" s="102" t="s">
        <v>1013</v>
      </c>
      <c r="B31" s="265">
        <f t="shared" ref="B31" si="9">B27-SUM(B28:B30)</f>
        <v>3089684</v>
      </c>
      <c r="C31" s="265">
        <f t="shared" ref="C31:M31" si="10">C27-SUM(C28:C30)</f>
        <v>2734585</v>
      </c>
      <c r="D31" s="265">
        <f t="shared" si="10"/>
        <v>4076173</v>
      </c>
      <c r="E31" s="265">
        <f t="shared" si="10"/>
        <v>1824329</v>
      </c>
      <c r="F31" s="265">
        <f t="shared" si="10"/>
        <v>1407380</v>
      </c>
      <c r="G31" s="265">
        <f t="shared" si="10"/>
        <v>1459355</v>
      </c>
      <c r="H31" s="265">
        <f t="shared" si="10"/>
        <v>1237594</v>
      </c>
      <c r="I31" s="265">
        <f t="shared" si="10"/>
        <v>957338</v>
      </c>
      <c r="J31" s="265">
        <f t="shared" si="10"/>
        <v>1247031</v>
      </c>
      <c r="K31" s="265">
        <f t="shared" si="10"/>
        <v>596410</v>
      </c>
      <c r="L31" s="265">
        <f t="shared" si="10"/>
        <v>420661</v>
      </c>
      <c r="M31" s="265">
        <f t="shared" si="10"/>
        <v>358382</v>
      </c>
      <c r="N31" s="37" t="s">
        <v>1010</v>
      </c>
      <c r="O31" t="s">
        <v>294</v>
      </c>
      <c r="P31"/>
      <c r="Q31" s="22" t="s">
        <v>1011</v>
      </c>
      <c r="R31" s="22" t="s">
        <v>1014</v>
      </c>
      <c r="S31" s="22" t="s">
        <v>1015</v>
      </c>
      <c r="T31" s="22" t="s">
        <v>1016</v>
      </c>
      <c r="U31" s="22"/>
      <c r="V31" s="22"/>
      <c r="W31" s="22"/>
      <c r="X31" s="22"/>
      <c r="Y31" s="22"/>
      <c r="Z31" s="31">
        <f>5981+8522+1029+13556</f>
        <v>29088</v>
      </c>
      <c r="AA31" s="31">
        <f>6695+8991+1170+13651</f>
        <v>30507</v>
      </c>
      <c r="AB31" s="31">
        <f>7737+9027+1364+14644</f>
        <v>32772</v>
      </c>
      <c r="AC31" s="31">
        <v>33499</v>
      </c>
      <c r="AD31" s="31">
        <v>33911</v>
      </c>
      <c r="AE31" s="31">
        <v>31031</v>
      </c>
      <c r="AF31" s="31">
        <v>28849</v>
      </c>
      <c r="AG31" s="31">
        <v>27162</v>
      </c>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s="23" customFormat="1" ht="13.9">
      <c r="A32" s="9" t="s">
        <v>1017</v>
      </c>
      <c r="B32" s="264">
        <f t="shared" ref="B32:M32" si="11">B38-B27</f>
        <v>720968</v>
      </c>
      <c r="C32" s="264">
        <f t="shared" si="11"/>
        <v>647243</v>
      </c>
      <c r="D32" s="264">
        <f t="shared" si="11"/>
        <v>577331</v>
      </c>
      <c r="E32" s="264">
        <f t="shared" si="11"/>
        <v>382002</v>
      </c>
      <c r="F32" s="264">
        <f t="shared" si="11"/>
        <v>322494</v>
      </c>
      <c r="G32" s="264">
        <f t="shared" si="11"/>
        <v>207752</v>
      </c>
      <c r="H32" s="264">
        <f t="shared" si="11"/>
        <v>129359</v>
      </c>
      <c r="I32" s="264">
        <f t="shared" si="11"/>
        <v>74595</v>
      </c>
      <c r="J32" s="264">
        <f t="shared" si="11"/>
        <v>55481</v>
      </c>
      <c r="K32" s="264">
        <f t="shared" si="11"/>
        <v>41765</v>
      </c>
      <c r="L32" s="264">
        <f t="shared" si="11"/>
        <v>27886</v>
      </c>
      <c r="M32" s="264">
        <f t="shared" si="11"/>
        <v>11200</v>
      </c>
      <c r="N32" s="37"/>
      <c r="O32"/>
      <c r="P32"/>
      <c r="Q32" s="22"/>
      <c r="R32" s="22"/>
      <c r="S32" s="22"/>
      <c r="T32" s="22"/>
      <c r="U32" s="22"/>
      <c r="V32" s="22"/>
      <c r="W32" s="22"/>
      <c r="X32" s="22"/>
      <c r="Y32" s="22"/>
      <c r="Z32" s="31"/>
      <c r="AA32" s="31"/>
      <c r="AB32" s="31"/>
      <c r="AC32" s="31"/>
      <c r="AD32" s="31"/>
      <c r="AE32" s="31"/>
      <c r="AF32" s="31"/>
      <c r="AG32" s="31"/>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row>
    <row r="33" spans="1:33">
      <c r="A33" s="104" t="s">
        <v>619</v>
      </c>
      <c r="B33" s="265">
        <v>60640</v>
      </c>
      <c r="C33" s="265">
        <v>64069</v>
      </c>
      <c r="D33" s="265">
        <v>62839</v>
      </c>
      <c r="E33" s="265">
        <v>59835</v>
      </c>
      <c r="F33" s="265">
        <v>66737</v>
      </c>
      <c r="G33" s="265">
        <v>70056</v>
      </c>
      <c r="H33" s="265">
        <v>62029</v>
      </c>
      <c r="I33" s="265">
        <v>40756</v>
      </c>
      <c r="J33" s="265">
        <v>26787</v>
      </c>
      <c r="K33" s="265">
        <v>16061</v>
      </c>
      <c r="L33" s="265">
        <v>13125</v>
      </c>
      <c r="M33" s="265">
        <v>8586</v>
      </c>
      <c r="N33" s="37"/>
      <c r="O33"/>
      <c r="P33"/>
      <c r="Q33" s="22" t="s">
        <v>1011</v>
      </c>
      <c r="R33" s="22" t="s">
        <v>1018</v>
      </c>
      <c r="Z33" s="27">
        <v>8614</v>
      </c>
      <c r="AA33" s="27">
        <v>9700</v>
      </c>
      <c r="AB33" s="27">
        <v>12205</v>
      </c>
      <c r="AC33" s="27">
        <v>12625</v>
      </c>
      <c r="AD33" s="27">
        <v>15547</v>
      </c>
      <c r="AE33" s="27">
        <v>14544</v>
      </c>
      <c r="AF33" s="27">
        <v>9587</v>
      </c>
      <c r="AG33" s="27">
        <v>6360</v>
      </c>
    </row>
    <row r="34" spans="1:33">
      <c r="A34" s="104" t="s">
        <v>1019</v>
      </c>
      <c r="B34" s="566">
        <v>33792</v>
      </c>
      <c r="C34" s="265">
        <v>44067</v>
      </c>
      <c r="D34" s="265">
        <v>49210</v>
      </c>
      <c r="E34" s="265">
        <v>43984</v>
      </c>
      <c r="F34" s="265">
        <v>48658</v>
      </c>
      <c r="G34" s="265">
        <v>0</v>
      </c>
      <c r="H34" s="265">
        <v>0</v>
      </c>
      <c r="I34" s="265">
        <v>0</v>
      </c>
      <c r="J34" s="265">
        <v>0</v>
      </c>
      <c r="K34" s="265">
        <v>0</v>
      </c>
      <c r="L34" s="265">
        <v>0</v>
      </c>
      <c r="M34" s="265">
        <v>0</v>
      </c>
      <c r="N34" s="37"/>
      <c r="O34"/>
      <c r="P34"/>
      <c r="Z34" s="27"/>
      <c r="AA34" s="27"/>
      <c r="AB34" s="27"/>
      <c r="AC34" s="27"/>
      <c r="AD34" s="27"/>
      <c r="AE34" s="27"/>
      <c r="AF34" s="27"/>
      <c r="AG34" s="27"/>
    </row>
    <row r="35" spans="1:33">
      <c r="A35" s="104" t="s">
        <v>1020</v>
      </c>
      <c r="B35" s="566">
        <v>0</v>
      </c>
      <c r="C35" s="566">
        <v>0</v>
      </c>
      <c r="D35" s="566">
        <v>0</v>
      </c>
      <c r="E35" s="566">
        <v>0</v>
      </c>
      <c r="F35" s="566">
        <v>0</v>
      </c>
      <c r="G35" s="566"/>
      <c r="H35" s="566">
        <v>0</v>
      </c>
      <c r="I35" s="566">
        <v>0</v>
      </c>
      <c r="J35" s="566">
        <v>0</v>
      </c>
      <c r="K35" s="566">
        <v>0</v>
      </c>
      <c r="L35" s="566">
        <v>0</v>
      </c>
      <c r="M35" s="566">
        <v>0</v>
      </c>
      <c r="N35" s="37"/>
      <c r="O35"/>
      <c r="P35"/>
      <c r="Z35" s="27"/>
      <c r="AA35" s="27"/>
      <c r="AB35" s="27"/>
      <c r="AC35" s="27"/>
      <c r="AD35" s="27"/>
      <c r="AE35" s="27"/>
      <c r="AF35" s="27"/>
      <c r="AG35" s="27"/>
    </row>
    <row r="36" spans="1:33">
      <c r="A36" s="104" t="s">
        <v>1021</v>
      </c>
      <c r="B36" s="265">
        <f t="shared" ref="B36" si="12">B32-SUM(B33:B35)</f>
        <v>626536</v>
      </c>
      <c r="C36" s="265">
        <f t="shared" ref="C36" si="13">C32-SUM(C33:C35)</f>
        <v>539107</v>
      </c>
      <c r="D36" s="265">
        <f t="shared" ref="D36" si="14">D32-SUM(D33:D35)</f>
        <v>465282</v>
      </c>
      <c r="E36" s="265">
        <f>E32-SUM(E33:E35)</f>
        <v>278183</v>
      </c>
      <c r="F36" s="265">
        <f t="shared" ref="F36" si="15">F32-SUM(F33:F35)</f>
        <v>207099</v>
      </c>
      <c r="G36" s="265">
        <f t="shared" ref="G36" si="16">G32-SUM(G33:G35)</f>
        <v>137696</v>
      </c>
      <c r="H36" s="265">
        <f t="shared" ref="H36" si="17">H32-SUM(H33:H35)</f>
        <v>67330</v>
      </c>
      <c r="I36" s="265">
        <f t="shared" ref="I36" si="18">I32-SUM(I33:I35)</f>
        <v>33839</v>
      </c>
      <c r="J36" s="265">
        <f t="shared" ref="J36" si="19">J32-SUM(J33:J35)</f>
        <v>28694</v>
      </c>
      <c r="K36" s="265">
        <f t="shared" ref="K36" si="20">K32-SUM(K33:K35)</f>
        <v>25704</v>
      </c>
      <c r="L36" s="265">
        <f t="shared" ref="L36" si="21">L32-SUM(L33:L35)</f>
        <v>14761</v>
      </c>
      <c r="M36" s="265">
        <f t="shared" ref="M36" si="22">M32-SUM(M33:M35)</f>
        <v>2614</v>
      </c>
      <c r="N36" s="37" t="s">
        <v>1010</v>
      </c>
      <c r="O36" t="s">
        <v>619</v>
      </c>
      <c r="P36"/>
      <c r="Z36" s="27"/>
      <c r="AA36" s="27"/>
      <c r="AB36" s="27"/>
      <c r="AC36" s="27"/>
      <c r="AD36" s="27"/>
      <c r="AE36" s="27"/>
      <c r="AF36" s="27"/>
      <c r="AG36" s="27"/>
    </row>
    <row r="37" spans="1:33">
      <c r="A37" s="22" t="s">
        <v>620</v>
      </c>
      <c r="B37" s="305">
        <f>B31+B36</f>
        <v>3716220</v>
      </c>
      <c r="C37" s="305">
        <f>C31+C36</f>
        <v>3273692</v>
      </c>
      <c r="D37" s="305">
        <f t="shared" ref="D37:M37" si="23">D31+D36</f>
        <v>4541455</v>
      </c>
      <c r="E37" s="305">
        <f t="shared" si="23"/>
        <v>2102512</v>
      </c>
      <c r="F37" s="305">
        <f t="shared" si="23"/>
        <v>1614479</v>
      </c>
      <c r="G37" s="305">
        <f t="shared" si="23"/>
        <v>1597051</v>
      </c>
      <c r="H37" s="305">
        <f t="shared" si="23"/>
        <v>1304924</v>
      </c>
      <c r="I37" s="305">
        <f t="shared" si="23"/>
        <v>991177</v>
      </c>
      <c r="J37" s="305">
        <f t="shared" si="23"/>
        <v>1275725</v>
      </c>
      <c r="K37" s="305">
        <f t="shared" si="23"/>
        <v>622114</v>
      </c>
      <c r="L37" s="305">
        <f t="shared" si="23"/>
        <v>435422</v>
      </c>
      <c r="M37" s="305">
        <f t="shared" si="23"/>
        <v>360996</v>
      </c>
      <c r="N37" s="37" t="s">
        <v>1010</v>
      </c>
      <c r="O37"/>
      <c r="P37"/>
      <c r="Z37" s="27"/>
      <c r="AA37" s="27"/>
      <c r="AB37" s="27"/>
      <c r="AC37" s="27"/>
      <c r="AD37" s="27"/>
      <c r="AE37" s="27"/>
      <c r="AF37" s="27"/>
      <c r="AG37" s="27"/>
    </row>
    <row r="38" spans="1:33" ht="13.9">
      <c r="A38" s="9" t="s">
        <v>39</v>
      </c>
      <c r="B38" s="264">
        <v>4245460</v>
      </c>
      <c r="C38" s="264">
        <v>3695680</v>
      </c>
      <c r="D38" s="264">
        <v>4809014</v>
      </c>
      <c r="E38" s="264">
        <v>2414885</v>
      </c>
      <c r="F38" s="264">
        <v>1985648</v>
      </c>
      <c r="G38" s="264">
        <v>1803941</v>
      </c>
      <c r="H38" s="264">
        <v>1507599</v>
      </c>
      <c r="I38" s="264">
        <v>1137441</v>
      </c>
      <c r="J38" s="264">
        <v>1390689</v>
      </c>
      <c r="K38" s="264">
        <v>720548</v>
      </c>
      <c r="L38" s="264">
        <v>528151</v>
      </c>
      <c r="M38" s="264">
        <v>377916</v>
      </c>
      <c r="N38" s="37" t="s">
        <v>1010</v>
      </c>
      <c r="O38" t="s">
        <v>39</v>
      </c>
      <c r="P38"/>
      <c r="Q38" s="22" t="s">
        <v>1011</v>
      </c>
      <c r="R38" s="22" t="s">
        <v>1022</v>
      </c>
      <c r="Z38" s="27">
        <v>15322</v>
      </c>
      <c r="AA38" s="27">
        <v>16090</v>
      </c>
      <c r="AB38" s="27">
        <f>16577</f>
        <v>16577</v>
      </c>
      <c r="AC38" s="27">
        <v>17075</v>
      </c>
      <c r="AD38" s="27">
        <v>16461</v>
      </c>
      <c r="AE38" s="27">
        <v>14395</v>
      </c>
      <c r="AF38" s="27">
        <v>12539</v>
      </c>
      <c r="AG38" s="27">
        <v>12386</v>
      </c>
    </row>
    <row r="39" spans="1:33">
      <c r="B39" s="305"/>
      <c r="C39" s="305"/>
      <c r="D39" s="305"/>
      <c r="E39" s="305"/>
      <c r="F39" s="305"/>
      <c r="G39" s="305"/>
      <c r="H39" s="305"/>
      <c r="I39" s="305"/>
      <c r="J39" s="305"/>
      <c r="K39" s="305"/>
      <c r="L39" s="305"/>
      <c r="M39" s="305"/>
      <c r="N39" s="37" t="s">
        <v>1010</v>
      </c>
      <c r="O39"/>
      <c r="P39"/>
      <c r="Z39" s="24">
        <f t="shared" ref="Z39:AG39" si="24">Z40-SUM(Z30:Z38)</f>
        <v>14512</v>
      </c>
      <c r="AA39" s="24">
        <f t="shared" si="24"/>
        <v>15585</v>
      </c>
      <c r="AB39" s="24">
        <f t="shared" si="24"/>
        <v>15786</v>
      </c>
      <c r="AC39" s="24">
        <f t="shared" si="24"/>
        <v>15616</v>
      </c>
      <c r="AD39" s="24">
        <f t="shared" si="24"/>
        <v>17947</v>
      </c>
      <c r="AE39" s="24">
        <f t="shared" si="24"/>
        <v>18419</v>
      </c>
      <c r="AF39" s="24">
        <f t="shared" si="24"/>
        <v>9453</v>
      </c>
      <c r="AG39" s="24">
        <f t="shared" si="24"/>
        <v>9263</v>
      </c>
    </row>
    <row r="40" spans="1:33" ht="13.9">
      <c r="B40" s="305"/>
      <c r="C40" s="305"/>
      <c r="D40" s="305"/>
      <c r="E40" s="305"/>
      <c r="F40" s="305"/>
      <c r="G40" s="305"/>
      <c r="H40" s="305"/>
      <c r="I40" s="305"/>
      <c r="J40" s="305"/>
      <c r="K40" s="305"/>
      <c r="L40" s="305"/>
      <c r="M40" s="305"/>
      <c r="N40" s="37" t="s">
        <v>1010</v>
      </c>
      <c r="O40"/>
      <c r="P40"/>
      <c r="Q40" s="22" t="s">
        <v>1011</v>
      </c>
      <c r="R40" s="22" t="s">
        <v>1023</v>
      </c>
      <c r="Z40" s="38">
        <v>74704</v>
      </c>
      <c r="AA40" s="38">
        <v>78342</v>
      </c>
      <c r="AB40" s="38">
        <v>84681</v>
      </c>
      <c r="AC40" s="38">
        <v>84896</v>
      </c>
      <c r="AD40" s="38">
        <v>89356</v>
      </c>
      <c r="AE40" s="38">
        <v>81446</v>
      </c>
      <c r="AF40" s="38">
        <v>64020</v>
      </c>
      <c r="AG40" s="38">
        <v>60038</v>
      </c>
    </row>
    <row r="41" spans="1:33" ht="13.9">
      <c r="A41" s="105" t="s">
        <v>1024</v>
      </c>
      <c r="B41" s="264"/>
      <c r="C41" s="264"/>
      <c r="D41" s="264"/>
      <c r="E41" s="264"/>
      <c r="F41" s="264"/>
      <c r="G41" s="264"/>
      <c r="H41" s="264"/>
      <c r="I41" s="264"/>
      <c r="J41" s="264"/>
      <c r="K41" s="264"/>
      <c r="L41" s="264"/>
      <c r="M41" s="264"/>
      <c r="N41" s="37" t="s">
        <v>1010</v>
      </c>
      <c r="O41"/>
      <c r="P41"/>
      <c r="Z41" s="29"/>
      <c r="AA41" s="29"/>
      <c r="AB41" s="29"/>
      <c r="AC41" s="29"/>
      <c r="AD41" s="29"/>
      <c r="AE41" s="29"/>
      <c r="AF41" s="29"/>
      <c r="AG41" s="29"/>
    </row>
    <row r="42" spans="1:33" ht="13.9">
      <c r="A42" s="9" t="s">
        <v>298</v>
      </c>
      <c r="B42" s="264">
        <v>3117360</v>
      </c>
      <c r="C42" s="264">
        <v>2774795</v>
      </c>
      <c r="D42" s="264">
        <v>4120534</v>
      </c>
      <c r="E42" s="264">
        <v>1867016</v>
      </c>
      <c r="F42" s="264">
        <v>1408940</v>
      </c>
      <c r="G42" s="264">
        <v>1456048</v>
      </c>
      <c r="H42" s="264">
        <v>1270845</v>
      </c>
      <c r="I42" s="264">
        <v>974806</v>
      </c>
      <c r="J42" s="264">
        <v>1266222</v>
      </c>
      <c r="K42" s="264">
        <v>609487</v>
      </c>
      <c r="L42" s="264">
        <v>433128</v>
      </c>
      <c r="M42" s="264">
        <v>364411</v>
      </c>
      <c r="N42" s="37" t="s">
        <v>1010</v>
      </c>
      <c r="O42" t="s">
        <v>298</v>
      </c>
      <c r="P42"/>
      <c r="Z42" s="29"/>
      <c r="AA42" s="29"/>
      <c r="AB42" s="29"/>
      <c r="AC42" s="29"/>
      <c r="AD42" s="29"/>
      <c r="AE42" s="29"/>
      <c r="AF42" s="29"/>
      <c r="AG42" s="29"/>
    </row>
    <row r="43" spans="1:33" ht="13.9">
      <c r="A43" s="102" t="s">
        <v>1025</v>
      </c>
      <c r="B43" s="265">
        <v>8638</v>
      </c>
      <c r="C43" s="265">
        <v>6153</v>
      </c>
      <c r="D43" s="265">
        <v>8399</v>
      </c>
      <c r="E43" s="265">
        <v>4230</v>
      </c>
      <c r="F43" s="265">
        <v>1755</v>
      </c>
      <c r="G43" s="265">
        <v>3954</v>
      </c>
      <c r="H43" s="265">
        <v>2990</v>
      </c>
      <c r="I43" s="265">
        <v>2046</v>
      </c>
      <c r="J43" s="265">
        <v>1621</v>
      </c>
      <c r="K43" s="265">
        <v>1327</v>
      </c>
      <c r="L43" s="265">
        <v>2133</v>
      </c>
      <c r="M43" s="265">
        <v>880</v>
      </c>
      <c r="N43" s="37"/>
      <c r="O43"/>
      <c r="P43"/>
      <c r="Z43" s="36"/>
      <c r="AA43" s="36"/>
      <c r="AB43" s="36"/>
      <c r="AC43" s="36"/>
      <c r="AD43" s="36"/>
      <c r="AE43" s="35"/>
      <c r="AF43" s="35"/>
      <c r="AG43" s="35"/>
    </row>
    <row r="44" spans="1:33" s="9" customFormat="1" ht="13.9">
      <c r="A44" s="26" t="s">
        <v>622</v>
      </c>
      <c r="B44" s="265">
        <v>0</v>
      </c>
      <c r="C44" s="265">
        <v>0</v>
      </c>
      <c r="D44" s="265">
        <v>0</v>
      </c>
      <c r="E44" s="265">
        <v>0</v>
      </c>
      <c r="F44" s="265">
        <v>0</v>
      </c>
      <c r="G44" s="265">
        <v>0</v>
      </c>
      <c r="H44" s="265">
        <v>0</v>
      </c>
      <c r="I44" s="265">
        <v>0</v>
      </c>
      <c r="J44" s="265">
        <v>0</v>
      </c>
      <c r="K44" s="265">
        <v>0</v>
      </c>
      <c r="L44" s="265">
        <v>0</v>
      </c>
      <c r="M44" s="265">
        <v>0</v>
      </c>
      <c r="N44" s="37" t="s">
        <v>1010</v>
      </c>
      <c r="O44" t="s">
        <v>1026</v>
      </c>
      <c r="P44"/>
      <c r="Q44" s="22" t="s">
        <v>1011</v>
      </c>
      <c r="R44" s="9" t="s">
        <v>1027</v>
      </c>
      <c r="Z44" s="38">
        <v>26132</v>
      </c>
      <c r="AA44" s="38">
        <v>26242</v>
      </c>
      <c r="AB44" s="38">
        <v>27877</v>
      </c>
      <c r="AC44" s="38">
        <v>27297</v>
      </c>
      <c r="AD44" s="38">
        <v>29415</v>
      </c>
      <c r="AE44" s="38">
        <f>93+3895+8161+3386+2410+2691+298+1967+558+5102</f>
        <v>28561</v>
      </c>
      <c r="AF44" s="38">
        <f>204+3852+5856+2880+1670+1831+281+1521+495+3430</f>
        <v>22020</v>
      </c>
      <c r="AG44" s="38">
        <f>433+3650+2993+3351+797+1217+262+888+302+5399</f>
        <v>19292</v>
      </c>
    </row>
    <row r="45" spans="1:33" s="9" customFormat="1" ht="13.9">
      <c r="A45" s="26" t="s">
        <v>624</v>
      </c>
      <c r="B45" s="265">
        <v>158311</v>
      </c>
      <c r="C45" s="265">
        <v>143287</v>
      </c>
      <c r="D45" s="265">
        <v>124384</v>
      </c>
      <c r="E45" s="265">
        <v>103109</v>
      </c>
      <c r="F45" s="265">
        <v>79881</v>
      </c>
      <c r="G45" s="265">
        <v>57625</v>
      </c>
      <c r="H45" s="265">
        <v>42241</v>
      </c>
      <c r="I45" s="265">
        <v>30301</v>
      </c>
      <c r="J45" s="265">
        <v>24979</v>
      </c>
      <c r="K45" s="265">
        <v>16430</v>
      </c>
      <c r="L45" s="265">
        <v>10744</v>
      </c>
      <c r="M45" s="265">
        <v>6794</v>
      </c>
      <c r="N45" s="37"/>
      <c r="O45"/>
      <c r="P45"/>
      <c r="Q45" s="22"/>
      <c r="Z45" s="38"/>
      <c r="AA45" s="38"/>
      <c r="AB45" s="38"/>
      <c r="AC45" s="38"/>
      <c r="AD45" s="38"/>
      <c r="AE45" s="38"/>
      <c r="AF45" s="38"/>
      <c r="AG45" s="38"/>
    </row>
    <row r="46" spans="1:33">
      <c r="A46" s="102" t="s">
        <v>625</v>
      </c>
      <c r="B46" s="265">
        <f t="shared" ref="B46" si="25">B42-SUM(B43:B45)</f>
        <v>2950411</v>
      </c>
      <c r="C46" s="265">
        <f t="shared" ref="C46:M46" si="26">C42-SUM(C43:C45)</f>
        <v>2625355</v>
      </c>
      <c r="D46" s="265">
        <f t="shared" si="26"/>
        <v>3987751</v>
      </c>
      <c r="E46" s="265">
        <f t="shared" si="26"/>
        <v>1759677</v>
      </c>
      <c r="F46" s="265">
        <f>F42-SUM(F43:F45)</f>
        <v>1327304</v>
      </c>
      <c r="G46" s="265">
        <f t="shared" si="26"/>
        <v>1394469</v>
      </c>
      <c r="H46" s="265">
        <f t="shared" si="26"/>
        <v>1225614</v>
      </c>
      <c r="I46" s="265">
        <f t="shared" si="26"/>
        <v>942459</v>
      </c>
      <c r="J46" s="265">
        <f t="shared" si="26"/>
        <v>1239622</v>
      </c>
      <c r="K46" s="265">
        <f t="shared" si="26"/>
        <v>591730</v>
      </c>
      <c r="L46" s="265">
        <f t="shared" si="26"/>
        <v>420251</v>
      </c>
      <c r="M46" s="265">
        <f t="shared" si="26"/>
        <v>356737</v>
      </c>
      <c r="N46" s="37" t="s">
        <v>1010</v>
      </c>
      <c r="O46"/>
      <c r="P46"/>
      <c r="R46" s="22" t="s">
        <v>1028</v>
      </c>
      <c r="Z46" s="31">
        <v>7303</v>
      </c>
      <c r="AA46" s="31">
        <v>6967</v>
      </c>
      <c r="AB46" s="31">
        <v>4708</v>
      </c>
      <c r="AC46" s="31">
        <v>3679</v>
      </c>
      <c r="AD46" s="31">
        <v>5287</v>
      </c>
      <c r="AE46" s="31">
        <v>5660</v>
      </c>
      <c r="AF46" s="31">
        <v>3925</v>
      </c>
      <c r="AG46" s="31">
        <v>5701</v>
      </c>
    </row>
    <row r="47" spans="1:33" ht="13.9">
      <c r="A47" s="9" t="s">
        <v>626</v>
      </c>
      <c r="B47" s="264">
        <f t="shared" ref="B47:M47" si="27">B51-B42</f>
        <v>95036</v>
      </c>
      <c r="C47" s="264">
        <f t="shared" si="27"/>
        <v>78022</v>
      </c>
      <c r="D47" s="264">
        <f t="shared" si="27"/>
        <v>75017</v>
      </c>
      <c r="E47" s="264">
        <f t="shared" si="27"/>
        <v>70939</v>
      </c>
      <c r="F47" s="264">
        <f t="shared" si="27"/>
        <v>183800</v>
      </c>
      <c r="G47" s="264">
        <f t="shared" si="27"/>
        <v>39929</v>
      </c>
      <c r="H47" s="264">
        <f t="shared" si="27"/>
        <v>23930</v>
      </c>
      <c r="I47" s="264">
        <f t="shared" si="27"/>
        <v>15022</v>
      </c>
      <c r="J47" s="264">
        <f t="shared" si="27"/>
        <v>4895</v>
      </c>
      <c r="K47" s="264">
        <f t="shared" si="27"/>
        <v>3481</v>
      </c>
      <c r="L47" s="264">
        <f t="shared" si="27"/>
        <v>3889</v>
      </c>
      <c r="M47" s="264">
        <f t="shared" si="27"/>
        <v>3524</v>
      </c>
      <c r="N47" s="37" t="s">
        <v>1010</v>
      </c>
      <c r="O47" t="s">
        <v>1029</v>
      </c>
      <c r="P47"/>
      <c r="Z47" s="31"/>
      <c r="AA47" s="31"/>
      <c r="AB47" s="31"/>
      <c r="AC47" s="31"/>
      <c r="AD47" s="31"/>
      <c r="AE47" s="31"/>
      <c r="AF47" s="31"/>
      <c r="AG47" s="31"/>
    </row>
    <row r="48" spans="1:33">
      <c r="A48" s="26" t="s">
        <v>627</v>
      </c>
      <c r="B48" s="265">
        <v>0</v>
      </c>
      <c r="C48" s="265">
        <v>0</v>
      </c>
      <c r="D48" s="265">
        <v>0</v>
      </c>
      <c r="E48" s="265">
        <v>0</v>
      </c>
      <c r="F48" s="265">
        <v>100000</v>
      </c>
      <c r="G48" s="265">
        <v>0</v>
      </c>
      <c r="H48" s="265">
        <v>0</v>
      </c>
      <c r="I48" s="265">
        <v>0</v>
      </c>
      <c r="J48" s="265">
        <v>0</v>
      </c>
      <c r="K48" s="265">
        <v>0</v>
      </c>
      <c r="L48" s="265">
        <v>0</v>
      </c>
      <c r="M48" s="265">
        <v>938</v>
      </c>
      <c r="N48" s="37" t="s">
        <v>1010</v>
      </c>
      <c r="O48" t="s">
        <v>1030</v>
      </c>
      <c r="P48"/>
      <c r="Z48" s="24">
        <f t="shared" ref="Z48:AG48" si="28">Z44-Z46</f>
        <v>18829</v>
      </c>
      <c r="AA48" s="24">
        <f t="shared" si="28"/>
        <v>19275</v>
      </c>
      <c r="AB48" s="24">
        <f t="shared" si="28"/>
        <v>23169</v>
      </c>
      <c r="AC48" s="24">
        <f t="shared" si="28"/>
        <v>23618</v>
      </c>
      <c r="AD48" s="24">
        <f t="shared" si="28"/>
        <v>24128</v>
      </c>
      <c r="AE48" s="24">
        <f t="shared" si="28"/>
        <v>22901</v>
      </c>
      <c r="AF48" s="24">
        <f t="shared" si="28"/>
        <v>18095</v>
      </c>
      <c r="AG48" s="24">
        <f t="shared" si="28"/>
        <v>13591</v>
      </c>
    </row>
    <row r="49" spans="1:33" s="9" customFormat="1" ht="13.9">
      <c r="A49" s="26" t="s">
        <v>628</v>
      </c>
      <c r="B49" s="265">
        <v>46814</v>
      </c>
      <c r="C49" s="265">
        <v>62471</v>
      </c>
      <c r="D49" s="265">
        <v>69119</v>
      </c>
      <c r="E49" s="265">
        <v>67201</v>
      </c>
      <c r="F49" s="265">
        <v>73299</v>
      </c>
      <c r="G49" s="265">
        <v>0</v>
      </c>
      <c r="H49" s="265">
        <v>0</v>
      </c>
      <c r="I49" s="265">
        <v>0</v>
      </c>
      <c r="J49" s="265">
        <v>0</v>
      </c>
      <c r="K49" s="265">
        <v>0</v>
      </c>
      <c r="L49" s="265">
        <v>0</v>
      </c>
      <c r="M49" s="265">
        <v>0</v>
      </c>
      <c r="N49" s="37"/>
      <c r="O49"/>
      <c r="P49"/>
      <c r="Q49" s="22" t="s">
        <v>1011</v>
      </c>
      <c r="R49" s="9" t="s">
        <v>1031</v>
      </c>
      <c r="Z49" s="38">
        <f>61491-Z44</f>
        <v>35359</v>
      </c>
      <c r="AA49" s="38">
        <f>63457-AA44</f>
        <v>37215</v>
      </c>
      <c r="AB49" s="38">
        <f>67855-AB44</f>
        <v>39978</v>
      </c>
      <c r="AC49" s="38">
        <v>36721</v>
      </c>
      <c r="AD49" s="38">
        <v>41973</v>
      </c>
      <c r="AE49" s="38">
        <f>8415+16529+10956+3583</f>
        <v>39483</v>
      </c>
      <c r="AF49" s="38">
        <f>4505+15932+7584+2654</f>
        <v>30675</v>
      </c>
      <c r="AG49" s="38">
        <f>5652+16195+7420+2179</f>
        <v>31446</v>
      </c>
    </row>
    <row r="50" spans="1:33">
      <c r="A50" s="102" t="s">
        <v>629</v>
      </c>
      <c r="B50" s="265">
        <f t="shared" ref="B50" si="29">B47-SUM(B48:B49)</f>
        <v>48222</v>
      </c>
      <c r="C50" s="265">
        <f t="shared" ref="C50:M50" si="30">C47-SUM(C48:C49)</f>
        <v>15551</v>
      </c>
      <c r="D50" s="265">
        <f t="shared" si="30"/>
        <v>5898</v>
      </c>
      <c r="E50" s="265">
        <f t="shared" si="30"/>
        <v>3738</v>
      </c>
      <c r="F50" s="265">
        <f t="shared" si="30"/>
        <v>10501</v>
      </c>
      <c r="G50" s="265">
        <f t="shared" si="30"/>
        <v>39929</v>
      </c>
      <c r="H50" s="265">
        <f t="shared" si="30"/>
        <v>23930</v>
      </c>
      <c r="I50" s="265">
        <f t="shared" si="30"/>
        <v>15022</v>
      </c>
      <c r="J50" s="265">
        <f t="shared" si="30"/>
        <v>4895</v>
      </c>
      <c r="K50" s="265">
        <f>K47-SUM(K48:K49)</f>
        <v>3481</v>
      </c>
      <c r="L50" s="265">
        <f t="shared" si="30"/>
        <v>3889</v>
      </c>
      <c r="M50" s="265">
        <f t="shared" si="30"/>
        <v>2586</v>
      </c>
      <c r="N50" s="37" t="s">
        <v>1010</v>
      </c>
      <c r="O50" t="s">
        <v>1032</v>
      </c>
      <c r="P50"/>
      <c r="R50" s="22" t="s">
        <v>1033</v>
      </c>
      <c r="Z50" s="27">
        <v>22818</v>
      </c>
      <c r="AA50" s="27">
        <v>25169</v>
      </c>
      <c r="AB50" s="27">
        <v>27784</v>
      </c>
      <c r="AC50" s="27">
        <v>26719</v>
      </c>
      <c r="AD50" s="27">
        <v>27752</v>
      </c>
      <c r="AE50" s="27">
        <v>24944</v>
      </c>
      <c r="AF50" s="27">
        <v>20437</v>
      </c>
      <c r="AG50" s="27">
        <v>21847</v>
      </c>
    </row>
    <row r="51" spans="1:33" ht="13.9">
      <c r="A51" s="9" t="s">
        <v>45</v>
      </c>
      <c r="B51" s="264">
        <v>3212396</v>
      </c>
      <c r="C51" s="264">
        <v>2852817</v>
      </c>
      <c r="D51" s="264">
        <v>4195551</v>
      </c>
      <c r="E51" s="264">
        <v>1937955</v>
      </c>
      <c r="F51" s="264">
        <v>1592740</v>
      </c>
      <c r="G51" s="264">
        <v>1495977</v>
      </c>
      <c r="H51" s="264">
        <v>1294775</v>
      </c>
      <c r="I51" s="264">
        <v>989828</v>
      </c>
      <c r="J51" s="264">
        <v>1271117</v>
      </c>
      <c r="K51" s="264">
        <v>612968</v>
      </c>
      <c r="L51" s="264">
        <v>437017</v>
      </c>
      <c r="M51" s="264">
        <v>367935</v>
      </c>
      <c r="N51" s="37" t="s">
        <v>1010</v>
      </c>
      <c r="O51" t="s">
        <v>45</v>
      </c>
      <c r="P51"/>
      <c r="Z51" s="27"/>
      <c r="AA51" s="27"/>
      <c r="AB51" s="27"/>
      <c r="AC51" s="27"/>
      <c r="AD51" s="27"/>
      <c r="AE51" s="27"/>
      <c r="AF51" s="27"/>
      <c r="AG51" s="27"/>
    </row>
    <row r="52" spans="1:33">
      <c r="B52" s="305"/>
      <c r="C52" s="305"/>
      <c r="D52" s="305"/>
      <c r="E52" s="305"/>
      <c r="F52" s="305"/>
      <c r="G52" s="305"/>
      <c r="H52" s="305"/>
      <c r="I52" s="305"/>
      <c r="J52" s="305"/>
      <c r="K52" s="305"/>
      <c r="L52" s="305"/>
      <c r="M52" s="305"/>
      <c r="N52" s="37" t="s">
        <v>1010</v>
      </c>
      <c r="O52"/>
      <c r="P52"/>
      <c r="Z52" s="24">
        <f t="shared" ref="Z52:AG52" si="31">Z49-Z50</f>
        <v>12541</v>
      </c>
      <c r="AA52" s="24">
        <f t="shared" si="31"/>
        <v>12046</v>
      </c>
      <c r="AB52" s="24">
        <f t="shared" si="31"/>
        <v>12194</v>
      </c>
      <c r="AC52" s="24">
        <f t="shared" si="31"/>
        <v>10002</v>
      </c>
      <c r="AD52" s="24">
        <f t="shared" si="31"/>
        <v>14221</v>
      </c>
      <c r="AE52" s="24">
        <f t="shared" si="31"/>
        <v>14539</v>
      </c>
      <c r="AF52" s="24">
        <f t="shared" si="31"/>
        <v>10238</v>
      </c>
      <c r="AG52" s="24">
        <f t="shared" si="31"/>
        <v>9599</v>
      </c>
    </row>
    <row r="53" spans="1:33" s="9" customFormat="1" ht="13.9">
      <c r="A53" s="22"/>
      <c r="B53" s="305"/>
      <c r="C53" s="305"/>
      <c r="D53" s="305"/>
      <c r="E53" s="305"/>
      <c r="F53" s="305"/>
      <c r="G53" s="305"/>
      <c r="H53" s="305"/>
      <c r="I53" s="305"/>
      <c r="J53" s="305"/>
      <c r="K53" s="305"/>
      <c r="L53" s="305"/>
      <c r="M53" s="305"/>
      <c r="N53" s="37" t="s">
        <v>1010</v>
      </c>
      <c r="O53"/>
      <c r="P53"/>
      <c r="Z53" s="35">
        <f>+Z49+Z44</f>
        <v>61491</v>
      </c>
      <c r="AA53" s="35">
        <f>+AA49+AA44</f>
        <v>63457</v>
      </c>
      <c r="AB53" s="35">
        <f>+AB49+AB44</f>
        <v>67855</v>
      </c>
      <c r="AC53" s="35">
        <f>AC44+AC49</f>
        <v>64018</v>
      </c>
      <c r="AD53" s="35">
        <f>AD49+AD44</f>
        <v>71388</v>
      </c>
      <c r="AE53" s="35">
        <f>AE49+AE44</f>
        <v>68044</v>
      </c>
      <c r="AF53" s="35">
        <f>AF49+AF44</f>
        <v>52695</v>
      </c>
      <c r="AG53" s="35">
        <f>AG49+AG44</f>
        <v>50738</v>
      </c>
    </row>
    <row r="54" spans="1:33" ht="13.9">
      <c r="A54" s="39" t="s">
        <v>631</v>
      </c>
      <c r="B54" s="309">
        <v>0</v>
      </c>
      <c r="C54" s="309">
        <v>0</v>
      </c>
      <c r="D54" s="309">
        <v>0</v>
      </c>
      <c r="E54" s="309">
        <v>0</v>
      </c>
      <c r="F54" s="309">
        <v>0</v>
      </c>
      <c r="G54" s="309">
        <v>0</v>
      </c>
      <c r="H54" s="309">
        <v>0</v>
      </c>
      <c r="I54" s="309">
        <v>0</v>
      </c>
      <c r="J54" s="309">
        <v>0</v>
      </c>
      <c r="K54" s="309">
        <v>0</v>
      </c>
      <c r="L54" s="309">
        <v>0</v>
      </c>
      <c r="M54" s="309">
        <v>0</v>
      </c>
      <c r="N54" s="37" t="s">
        <v>1010</v>
      </c>
      <c r="O54" t="s">
        <v>631</v>
      </c>
      <c r="P54"/>
    </row>
    <row r="55" spans="1:33">
      <c r="B55" s="305"/>
      <c r="C55" s="305"/>
      <c r="D55" s="305"/>
      <c r="E55" s="305"/>
      <c r="F55" s="305"/>
      <c r="G55" s="305"/>
      <c r="H55" s="305"/>
      <c r="I55" s="305"/>
      <c r="J55" s="305"/>
      <c r="K55" s="305"/>
      <c r="L55" s="305"/>
      <c r="M55" s="305"/>
      <c r="N55" s="37" t="s">
        <v>1010</v>
      </c>
      <c r="O55"/>
      <c r="P55"/>
    </row>
    <row r="56" spans="1:33" s="9" customFormat="1" ht="13.9">
      <c r="A56" s="9" t="s">
        <v>632</v>
      </c>
      <c r="B56" s="264">
        <f t="shared" ref="B56" si="32">B38-B51-B54</f>
        <v>1033064</v>
      </c>
      <c r="C56" s="264">
        <f t="shared" ref="C56:M56" si="33">C38-C51-C54</f>
        <v>842863</v>
      </c>
      <c r="D56" s="264">
        <f t="shared" si="33"/>
        <v>613463</v>
      </c>
      <c r="E56" s="264">
        <f>E38-E51-E54</f>
        <v>476930</v>
      </c>
      <c r="F56" s="264">
        <f t="shared" si="33"/>
        <v>392908</v>
      </c>
      <c r="G56" s="264">
        <f t="shared" si="33"/>
        <v>307964</v>
      </c>
      <c r="H56" s="264">
        <f t="shared" si="33"/>
        <v>212824</v>
      </c>
      <c r="I56" s="264">
        <f t="shared" si="33"/>
        <v>147613</v>
      </c>
      <c r="J56" s="264">
        <f>J38-J51-J54</f>
        <v>119572</v>
      </c>
      <c r="K56" s="264">
        <f>K38-K51-K54</f>
        <v>107580</v>
      </c>
      <c r="L56" s="264">
        <f t="shared" si="33"/>
        <v>91134</v>
      </c>
      <c r="M56" s="264">
        <f t="shared" si="33"/>
        <v>9981</v>
      </c>
      <c r="N56" s="37" t="s">
        <v>1010</v>
      </c>
      <c r="O56"/>
      <c r="P56"/>
      <c r="Q56" s="22" t="s">
        <v>1011</v>
      </c>
      <c r="R56" s="9" t="s">
        <v>1034</v>
      </c>
    </row>
    <row r="57" spans="1:33" ht="13.9">
      <c r="A57" s="9"/>
      <c r="B57" s="264"/>
      <c r="C57" s="264"/>
      <c r="D57" s="264"/>
      <c r="E57" s="264"/>
      <c r="F57" s="264"/>
      <c r="G57" s="264"/>
      <c r="H57" s="264"/>
      <c r="I57" s="264"/>
      <c r="J57" s="264"/>
      <c r="K57" s="264"/>
      <c r="L57" s="264"/>
      <c r="M57" s="264"/>
      <c r="N57" s="37"/>
      <c r="O57"/>
      <c r="P57"/>
    </row>
    <row r="58" spans="1:33" ht="13.9">
      <c r="A58" s="50" t="s">
        <v>1035</v>
      </c>
      <c r="B58" s="264"/>
      <c r="C58" s="264"/>
      <c r="D58" s="264"/>
      <c r="E58" s="264"/>
      <c r="F58" s="264"/>
      <c r="G58" s="264"/>
      <c r="H58" s="264"/>
      <c r="I58" s="264"/>
      <c r="J58" s="264"/>
      <c r="K58" s="264"/>
      <c r="L58" s="264"/>
      <c r="M58" s="264"/>
      <c r="N58" s="37"/>
      <c r="O58"/>
      <c r="P58"/>
    </row>
    <row r="59" spans="1:33" ht="13.9">
      <c r="A59" s="9" t="s">
        <v>129</v>
      </c>
      <c r="B59" s="264">
        <v>384670</v>
      </c>
      <c r="C59" s="264">
        <v>282723</v>
      </c>
      <c r="D59" s="264">
        <v>155053</v>
      </c>
      <c r="E59" s="264">
        <v>124850</v>
      </c>
      <c r="F59" s="264">
        <v>112655</v>
      </c>
      <c r="G59" s="264">
        <v>115032</v>
      </c>
      <c r="H59" s="264">
        <v>97866</v>
      </c>
      <c r="I59" s="264">
        <v>61980</v>
      </c>
      <c r="J59" s="264">
        <v>32993</v>
      </c>
      <c r="K59" s="264">
        <v>11105</v>
      </c>
      <c r="L59" s="264">
        <v>7199</v>
      </c>
      <c r="M59" s="264">
        <v>6228</v>
      </c>
      <c r="N59" s="37"/>
      <c r="O59"/>
      <c r="P59"/>
    </row>
    <row r="60" spans="1:33">
      <c r="A60" s="26" t="s">
        <v>65</v>
      </c>
      <c r="B60" s="265">
        <f>B12</f>
        <v>206766</v>
      </c>
      <c r="C60" s="265">
        <f t="shared" ref="C60:M60" si="34">C12</f>
        <v>140822</v>
      </c>
      <c r="D60" s="265">
        <f t="shared" si="34"/>
        <v>90777</v>
      </c>
      <c r="E60" s="265">
        <f t="shared" si="34"/>
        <v>70819</v>
      </c>
      <c r="F60" s="265">
        <f t="shared" si="34"/>
        <v>64455</v>
      </c>
      <c r="G60" s="265">
        <f t="shared" si="34"/>
        <v>53823</v>
      </c>
      <c r="H60" s="265">
        <f t="shared" si="34"/>
        <v>38598</v>
      </c>
      <c r="I60" s="265">
        <f t="shared" si="34"/>
        <v>6718</v>
      </c>
      <c r="J60" s="265">
        <f t="shared" si="34"/>
        <v>-3851</v>
      </c>
      <c r="K60" s="265">
        <f t="shared" si="34"/>
        <v>-13972</v>
      </c>
      <c r="L60" s="265">
        <f t="shared" si="34"/>
        <v>-7110</v>
      </c>
      <c r="M60" s="265">
        <f t="shared" si="34"/>
        <v>617</v>
      </c>
      <c r="N60" s="37"/>
      <c r="O60"/>
      <c r="P60"/>
    </row>
    <row r="61" spans="1:33">
      <c r="A61" s="102" t="s">
        <v>56</v>
      </c>
      <c r="B61" s="265">
        <v>76426</v>
      </c>
      <c r="C61" s="265">
        <v>60866</v>
      </c>
      <c r="D61" s="265">
        <v>50218</v>
      </c>
      <c r="E61" s="265">
        <v>42972</v>
      </c>
      <c r="F61" s="265">
        <v>37913</v>
      </c>
      <c r="G61" s="265">
        <v>34594</v>
      </c>
      <c r="H61" s="265">
        <v>30202</v>
      </c>
      <c r="I61" s="265">
        <v>21027</v>
      </c>
      <c r="J61" s="265">
        <v>13873</v>
      </c>
      <c r="K61" s="265">
        <v>8609</v>
      </c>
      <c r="L61" s="265">
        <v>6336</v>
      </c>
      <c r="M61" s="265">
        <v>5571</v>
      </c>
      <c r="N61" s="37"/>
      <c r="O61"/>
      <c r="P61"/>
    </row>
    <row r="62" spans="1:33">
      <c r="A62" s="102" t="s">
        <v>1036</v>
      </c>
      <c r="B62" s="265">
        <v>-68614</v>
      </c>
      <c r="C62" s="265">
        <v>-77320</v>
      </c>
      <c r="D62" s="265">
        <v>-76159</v>
      </c>
      <c r="E62" s="265">
        <v>-56850</v>
      </c>
      <c r="F62" s="265">
        <v>-38982</v>
      </c>
      <c r="G62" s="265">
        <v>-14761</v>
      </c>
      <c r="H62" s="265">
        <v>20500</v>
      </c>
      <c r="I62" s="265">
        <v>6983</v>
      </c>
      <c r="J62" s="265">
        <v>4387</v>
      </c>
      <c r="K62" s="265">
        <v>2862</v>
      </c>
      <c r="L62" s="265">
        <v>2543</v>
      </c>
      <c r="M62" s="265">
        <v>279</v>
      </c>
      <c r="N62" s="37"/>
      <c r="O62"/>
      <c r="P62"/>
    </row>
    <row r="63" spans="1:33">
      <c r="A63" s="102" t="s">
        <v>1037</v>
      </c>
      <c r="B63" s="265">
        <f t="shared" ref="B63" si="35">B59-B60-B61-B62</f>
        <v>170092</v>
      </c>
      <c r="C63" s="265">
        <f t="shared" ref="C63" si="36">C59-C60-C61-C62</f>
        <v>158355</v>
      </c>
      <c r="D63" s="265">
        <f>D59-D60-D61-D62</f>
        <v>90217</v>
      </c>
      <c r="E63" s="265">
        <f t="shared" ref="E63:M63" si="37">E59-E60-E61-E62</f>
        <v>67909</v>
      </c>
      <c r="F63" s="265">
        <f t="shared" si="37"/>
        <v>49269</v>
      </c>
      <c r="G63" s="265">
        <f t="shared" si="37"/>
        <v>41376</v>
      </c>
      <c r="H63" s="265">
        <f t="shared" si="37"/>
        <v>8566</v>
      </c>
      <c r="I63" s="265">
        <f t="shared" si="37"/>
        <v>27252</v>
      </c>
      <c r="J63" s="265">
        <f t="shared" si="37"/>
        <v>18584</v>
      </c>
      <c r="K63" s="265">
        <f t="shared" si="37"/>
        <v>13606</v>
      </c>
      <c r="L63" s="265">
        <f t="shared" si="37"/>
        <v>5430</v>
      </c>
      <c r="M63" s="265">
        <f t="shared" si="37"/>
        <v>-239</v>
      </c>
      <c r="N63" s="37"/>
      <c r="O63"/>
      <c r="P63"/>
    </row>
    <row r="64" spans="1:33" ht="13.9">
      <c r="A64" s="9" t="s">
        <v>130</v>
      </c>
      <c r="B64" s="264">
        <v>-101891</v>
      </c>
      <c r="C64" s="264">
        <v>-220162</v>
      </c>
      <c r="D64" s="264">
        <v>-479774</v>
      </c>
      <c r="E64" s="264">
        <v>48420</v>
      </c>
      <c r="F64" s="264">
        <v>-48757</v>
      </c>
      <c r="G64" s="264">
        <v>-43344</v>
      </c>
      <c r="H64" s="264">
        <v>-179279</v>
      </c>
      <c r="I64" s="264">
        <v>259339</v>
      </c>
      <c r="J64" s="264">
        <v>-673360</v>
      </c>
      <c r="K64" s="264">
        <v>-199172</v>
      </c>
      <c r="L64" s="264">
        <v>-78822</v>
      </c>
      <c r="M64" s="264">
        <v>-98604</v>
      </c>
      <c r="N64" s="37"/>
      <c r="O64"/>
      <c r="P64"/>
    </row>
    <row r="65" spans="1:16">
      <c r="A65" s="102" t="s">
        <v>131</v>
      </c>
      <c r="B65" s="265">
        <v>-60726</v>
      </c>
      <c r="C65" s="265">
        <v>-45004</v>
      </c>
      <c r="D65" s="265">
        <v>-34515</v>
      </c>
      <c r="E65" s="265">
        <v>-28594</v>
      </c>
      <c r="F65" s="265">
        <v>-25715</v>
      </c>
      <c r="G65" s="265">
        <v>-20142</v>
      </c>
      <c r="H65" s="265">
        <v>-15638</v>
      </c>
      <c r="I65" s="265">
        <v>-13641</v>
      </c>
      <c r="J65" s="265">
        <v>-8391</v>
      </c>
      <c r="K65" s="265">
        <v>-4215</v>
      </c>
      <c r="L65" s="265">
        <v>-4349</v>
      </c>
      <c r="M65" s="265">
        <v>-1967</v>
      </c>
      <c r="N65" s="37"/>
      <c r="O65"/>
      <c r="P65"/>
    </row>
    <row r="66" spans="1:16">
      <c r="A66" s="102" t="s">
        <v>132</v>
      </c>
      <c r="B66" s="265">
        <v>-22058</v>
      </c>
      <c r="C66" s="265">
        <v>-152144</v>
      </c>
      <c r="D66" s="265">
        <v>-424690</v>
      </c>
      <c r="E66" s="265">
        <v>86475</v>
      </c>
      <c r="F66" s="265">
        <v>-6464</v>
      </c>
      <c r="G66" s="265">
        <v>-4442</v>
      </c>
      <c r="H66" s="265">
        <v>-130211</v>
      </c>
      <c r="I66" s="265">
        <v>0</v>
      </c>
      <c r="J66" s="265">
        <v>-483</v>
      </c>
      <c r="K66" s="265">
        <v>-11979</v>
      </c>
      <c r="L66" s="265">
        <v>-6450</v>
      </c>
      <c r="M66" s="265">
        <v>0</v>
      </c>
      <c r="N66" s="37"/>
      <c r="O66"/>
      <c r="P66"/>
    </row>
    <row r="67" spans="1:16">
      <c r="A67" s="102" t="s">
        <v>1038</v>
      </c>
      <c r="B67" s="265">
        <f>B64-B65-B66</f>
        <v>-19107</v>
      </c>
      <c r="C67" s="265">
        <f>C64-C65-C66</f>
        <v>-23014</v>
      </c>
      <c r="D67" s="265">
        <f>D64-D65-D66</f>
        <v>-20569</v>
      </c>
      <c r="E67" s="265">
        <f t="shared" ref="E67" si="38">E64-E65-E66</f>
        <v>-9461</v>
      </c>
      <c r="F67" s="265">
        <f t="shared" ref="F67:M67" si="39">F64-F65-F66</f>
        <v>-16578</v>
      </c>
      <c r="G67" s="265">
        <f t="shared" si="39"/>
        <v>-18760</v>
      </c>
      <c r="H67" s="265">
        <f t="shared" si="39"/>
        <v>-33430</v>
      </c>
      <c r="I67" s="265">
        <f t="shared" si="39"/>
        <v>272980</v>
      </c>
      <c r="J67" s="265">
        <f t="shared" si="39"/>
        <v>-664486</v>
      </c>
      <c r="K67" s="265">
        <f t="shared" si="39"/>
        <v>-182978</v>
      </c>
      <c r="L67" s="265">
        <f t="shared" si="39"/>
        <v>-68023</v>
      </c>
      <c r="M67" s="265">
        <f t="shared" si="39"/>
        <v>-96637</v>
      </c>
      <c r="N67" s="37"/>
      <c r="O67"/>
      <c r="P67"/>
    </row>
    <row r="68" spans="1:16" ht="13.9">
      <c r="A68" s="9" t="s">
        <v>133</v>
      </c>
      <c r="B68" s="264">
        <f>SUM(B69:B75)</f>
        <v>0</v>
      </c>
      <c r="C68" s="264">
        <f t="shared" ref="C68:M68" si="40">SUM(C69:C75)</f>
        <v>-150000</v>
      </c>
      <c r="D68" s="264">
        <f t="shared" si="40"/>
        <v>0</v>
      </c>
      <c r="E68" s="264">
        <f t="shared" si="40"/>
        <v>-100000</v>
      </c>
      <c r="F68" s="264">
        <f t="shared" si="40"/>
        <v>100000</v>
      </c>
      <c r="G68" s="264">
        <f t="shared" si="40"/>
        <v>-34991</v>
      </c>
      <c r="H68" s="264">
        <f t="shared" si="40"/>
        <v>0</v>
      </c>
      <c r="I68" s="264">
        <f t="shared" si="40"/>
        <v>0</v>
      </c>
      <c r="J68" s="264">
        <f t="shared" si="40"/>
        <v>0</v>
      </c>
      <c r="K68" s="264">
        <f t="shared" si="40"/>
        <v>0</v>
      </c>
      <c r="L68" s="264">
        <f t="shared" si="40"/>
        <v>0</v>
      </c>
      <c r="M68" s="264">
        <f t="shared" si="40"/>
        <v>0</v>
      </c>
      <c r="N68" s="37"/>
      <c r="O68"/>
      <c r="P68"/>
    </row>
    <row r="69" spans="1:16">
      <c r="A69" s="102" t="s">
        <v>1039</v>
      </c>
      <c r="B69" s="265">
        <v>0</v>
      </c>
      <c r="C69" s="265">
        <v>0</v>
      </c>
      <c r="D69" s="265">
        <v>50000</v>
      </c>
      <c r="E69" s="265">
        <v>0</v>
      </c>
      <c r="F69" s="265">
        <v>100000</v>
      </c>
      <c r="G69" s="265">
        <v>0</v>
      </c>
      <c r="H69" s="265">
        <v>0</v>
      </c>
      <c r="I69" s="265">
        <v>0</v>
      </c>
      <c r="J69" s="265">
        <v>0</v>
      </c>
      <c r="K69" s="265">
        <v>0</v>
      </c>
      <c r="L69" s="265">
        <v>0</v>
      </c>
      <c r="M69" s="265">
        <v>0</v>
      </c>
      <c r="N69" s="37"/>
      <c r="O69"/>
      <c r="P69"/>
    </row>
    <row r="70" spans="1:16">
      <c r="A70" s="102" t="s">
        <v>1040</v>
      </c>
      <c r="B70" s="265">
        <v>0</v>
      </c>
      <c r="C70" s="265">
        <v>0</v>
      </c>
      <c r="D70" s="265">
        <v>-50000</v>
      </c>
      <c r="E70" s="265">
        <v>-100000</v>
      </c>
      <c r="F70" s="265">
        <v>0</v>
      </c>
      <c r="G70" s="265">
        <v>0</v>
      </c>
      <c r="H70" s="265">
        <v>0</v>
      </c>
      <c r="I70" s="265">
        <v>0</v>
      </c>
      <c r="J70" s="265">
        <v>0</v>
      </c>
      <c r="K70" s="265">
        <v>0</v>
      </c>
      <c r="L70" s="265">
        <v>0</v>
      </c>
      <c r="M70" s="265">
        <v>0</v>
      </c>
      <c r="N70" s="37"/>
      <c r="O70"/>
      <c r="P70"/>
    </row>
    <row r="71" spans="1:16">
      <c r="A71" s="102" t="s">
        <v>1041</v>
      </c>
      <c r="B71" s="265">
        <v>0</v>
      </c>
      <c r="C71" s="265">
        <v>0</v>
      </c>
      <c r="D71" s="265">
        <v>0</v>
      </c>
      <c r="E71" s="265">
        <v>0</v>
      </c>
      <c r="F71" s="265">
        <v>0</v>
      </c>
      <c r="G71" s="265">
        <v>0</v>
      </c>
      <c r="H71" s="265">
        <v>0</v>
      </c>
      <c r="I71" s="265">
        <v>0</v>
      </c>
      <c r="J71" s="265">
        <v>0</v>
      </c>
      <c r="K71" s="265">
        <v>0</v>
      </c>
      <c r="L71" s="265">
        <v>0</v>
      </c>
      <c r="M71" s="265">
        <v>0</v>
      </c>
      <c r="N71" s="37"/>
      <c r="O71"/>
      <c r="P71"/>
    </row>
    <row r="72" spans="1:16">
      <c r="A72" s="102" t="s">
        <v>1042</v>
      </c>
      <c r="B72" s="265">
        <v>0</v>
      </c>
      <c r="C72" s="265">
        <v>0</v>
      </c>
      <c r="D72" s="265">
        <v>0</v>
      </c>
      <c r="E72" s="265">
        <v>0</v>
      </c>
      <c r="F72" s="265">
        <v>0</v>
      </c>
      <c r="G72" s="265">
        <v>0</v>
      </c>
      <c r="H72" s="265">
        <v>0</v>
      </c>
      <c r="I72" s="265">
        <v>0</v>
      </c>
      <c r="J72" s="265">
        <v>0</v>
      </c>
      <c r="K72" s="265">
        <v>0</v>
      </c>
      <c r="L72" s="265">
        <v>0</v>
      </c>
      <c r="M72" s="265">
        <v>0</v>
      </c>
      <c r="N72" s="37"/>
      <c r="O72"/>
      <c r="P72"/>
    </row>
    <row r="73" spans="1:16">
      <c r="A73" s="102" t="s">
        <v>134</v>
      </c>
      <c r="B73" s="265">
        <v>0</v>
      </c>
      <c r="C73" s="265">
        <v>0</v>
      </c>
      <c r="D73" s="265">
        <v>0</v>
      </c>
      <c r="E73" s="265">
        <v>0</v>
      </c>
      <c r="F73" s="265">
        <v>0</v>
      </c>
      <c r="G73" s="265">
        <v>0</v>
      </c>
      <c r="H73" s="302">
        <v>0</v>
      </c>
      <c r="I73" s="265">
        <v>0</v>
      </c>
      <c r="J73" s="302">
        <v>0</v>
      </c>
      <c r="K73" s="265">
        <v>0</v>
      </c>
      <c r="L73" s="265">
        <v>0</v>
      </c>
      <c r="M73" s="265">
        <v>0</v>
      </c>
      <c r="N73" s="34" t="s">
        <v>1043</v>
      </c>
      <c r="O73" t="s">
        <v>492</v>
      </c>
      <c r="P73"/>
    </row>
    <row r="74" spans="1:16">
      <c r="A74" s="102" t="s">
        <v>613</v>
      </c>
      <c r="B74" s="265">
        <v>0</v>
      </c>
      <c r="C74" s="265">
        <v>-150000</v>
      </c>
      <c r="D74" s="265">
        <v>0</v>
      </c>
      <c r="E74" s="265">
        <v>0</v>
      </c>
      <c r="F74" s="265">
        <v>0</v>
      </c>
      <c r="G74" s="265">
        <v>-34991</v>
      </c>
      <c r="H74" s="302">
        <v>0</v>
      </c>
      <c r="I74" s="265">
        <v>0</v>
      </c>
      <c r="J74" s="302">
        <v>0</v>
      </c>
      <c r="K74" s="265">
        <v>0</v>
      </c>
      <c r="L74" s="265">
        <v>0</v>
      </c>
      <c r="M74" s="265">
        <v>0</v>
      </c>
      <c r="N74" s="34" t="s">
        <v>1043</v>
      </c>
      <c r="O74" t="str">
        <f>+A74</f>
        <v>Share buyback</v>
      </c>
      <c r="P74"/>
    </row>
    <row r="75" spans="1:16">
      <c r="A75" s="102" t="s">
        <v>1038</v>
      </c>
      <c r="B75" s="265">
        <v>0</v>
      </c>
      <c r="C75" s="265">
        <v>0</v>
      </c>
      <c r="D75" s="265">
        <v>0</v>
      </c>
      <c r="E75" s="265">
        <v>0</v>
      </c>
      <c r="F75" s="265">
        <v>0</v>
      </c>
      <c r="G75" s="265">
        <v>0</v>
      </c>
      <c r="H75" s="265">
        <v>0</v>
      </c>
      <c r="I75" s="265">
        <v>0</v>
      </c>
      <c r="J75" s="265">
        <v>0</v>
      </c>
      <c r="K75" s="265">
        <v>0</v>
      </c>
      <c r="L75" s="265">
        <v>0</v>
      </c>
      <c r="M75" s="265">
        <v>0</v>
      </c>
      <c r="N75" s="37"/>
      <c r="O75"/>
      <c r="P75"/>
    </row>
    <row r="76" spans="1:16" ht="13.9">
      <c r="A76" s="9" t="s">
        <v>137</v>
      </c>
      <c r="B76" s="264">
        <v>0</v>
      </c>
      <c r="C76" s="264">
        <v>0</v>
      </c>
      <c r="D76" s="264">
        <v>0</v>
      </c>
      <c r="E76" s="264">
        <v>0</v>
      </c>
      <c r="F76" s="264">
        <v>0</v>
      </c>
      <c r="G76" s="264">
        <v>0</v>
      </c>
      <c r="H76" s="264">
        <v>0</v>
      </c>
      <c r="I76" s="264">
        <v>0</v>
      </c>
      <c r="J76" s="264">
        <v>0</v>
      </c>
      <c r="K76" s="264">
        <v>0</v>
      </c>
      <c r="L76" s="264">
        <v>0</v>
      </c>
      <c r="M76" s="264">
        <v>0</v>
      </c>
      <c r="N76" s="37"/>
      <c r="O76"/>
      <c r="P76"/>
    </row>
    <row r="77" spans="1:16" ht="13.9">
      <c r="A77" s="9" t="s">
        <v>633</v>
      </c>
      <c r="B77" s="264">
        <f>B59+B64+B68+B76</f>
        <v>282779</v>
      </c>
      <c r="C77" s="264">
        <f t="shared" ref="C77:M77" si="41">C59+C64+C68+C76</f>
        <v>-87439</v>
      </c>
      <c r="D77" s="264">
        <f t="shared" si="41"/>
        <v>-324721</v>
      </c>
      <c r="E77" s="264">
        <f t="shared" si="41"/>
        <v>73270</v>
      </c>
      <c r="F77" s="264">
        <f t="shared" si="41"/>
        <v>163898</v>
      </c>
      <c r="G77" s="264">
        <f t="shared" si="41"/>
        <v>36697</v>
      </c>
      <c r="H77" s="264">
        <f t="shared" si="41"/>
        <v>-81413</v>
      </c>
      <c r="I77" s="264">
        <f>I59+I64+I68+I76</f>
        <v>321319</v>
      </c>
      <c r="J77" s="264">
        <f t="shared" si="41"/>
        <v>-640367</v>
      </c>
      <c r="K77" s="264">
        <f t="shared" si="41"/>
        <v>-188067</v>
      </c>
      <c r="L77" s="264">
        <f t="shared" si="41"/>
        <v>-71623</v>
      </c>
      <c r="M77" s="264">
        <f t="shared" si="41"/>
        <v>-92376</v>
      </c>
      <c r="N77" s="37"/>
      <c r="O77"/>
      <c r="P77"/>
    </row>
    <row r="78" spans="1:16">
      <c r="M78" s="24"/>
      <c r="N78"/>
      <c r="O78" t="s">
        <v>1044</v>
      </c>
      <c r="P78"/>
    </row>
    <row r="79" spans="1:16" ht="13.9">
      <c r="A79" s="50" t="s">
        <v>1045</v>
      </c>
      <c r="B79" s="50"/>
      <c r="C79" s="50"/>
      <c r="D79" s="50"/>
      <c r="E79" s="1549" t="s">
        <v>641</v>
      </c>
      <c r="F79" s="1549"/>
      <c r="G79" s="1549"/>
      <c r="H79" s="1549" t="s">
        <v>1046</v>
      </c>
      <c r="I79" s="1549"/>
      <c r="J79" s="50" t="s">
        <v>643</v>
      </c>
      <c r="K79" s="50" t="s">
        <v>644</v>
      </c>
      <c r="L79" s="50" t="s">
        <v>645</v>
      </c>
      <c r="M79" s="35"/>
      <c r="N79"/>
      <c r="O79"/>
      <c r="P79"/>
    </row>
    <row r="80" spans="1:16">
      <c r="A80" s="26" t="s">
        <v>1047</v>
      </c>
      <c r="B80" s="27"/>
      <c r="C80" s="40" t="s">
        <v>1048</v>
      </c>
      <c r="D80" s="24"/>
      <c r="E80" s="1546"/>
      <c r="F80" s="1546"/>
      <c r="G80" s="1546"/>
      <c r="H80" s="1547"/>
      <c r="I80" s="1547"/>
      <c r="J80" s="66"/>
      <c r="K80" s="65"/>
      <c r="L80" s="65"/>
      <c r="M80" s="24"/>
      <c r="N80" s="40" t="s">
        <v>1049</v>
      </c>
      <c r="O80"/>
      <c r="P80"/>
    </row>
    <row r="81" spans="1:16">
      <c r="A81" s="26" t="s">
        <v>1050</v>
      </c>
      <c r="B81" s="27"/>
      <c r="C81" s="40" t="s">
        <v>1051</v>
      </c>
      <c r="D81" s="24"/>
      <c r="E81" s="1546"/>
      <c r="F81" s="1546"/>
      <c r="G81" s="1546"/>
      <c r="H81" s="1547"/>
      <c r="I81" s="1547"/>
      <c r="J81" s="66"/>
      <c r="K81" s="65"/>
      <c r="L81" s="65"/>
      <c r="M81" s="24"/>
      <c r="N81" s="40" t="s">
        <v>1049</v>
      </c>
      <c r="O81"/>
      <c r="P81"/>
    </row>
    <row r="82" spans="1:16">
      <c r="A82" s="26" t="s">
        <v>43</v>
      </c>
      <c r="B82" s="519"/>
      <c r="C82" s="40" t="s">
        <v>1051</v>
      </c>
      <c r="D82" s="67"/>
      <c r="E82" s="1546"/>
      <c r="F82" s="1546"/>
      <c r="G82" s="1546"/>
      <c r="H82" s="1547"/>
      <c r="I82" s="1547"/>
      <c r="J82" s="66"/>
      <c r="K82" s="65"/>
      <c r="L82" s="65"/>
      <c r="M82" s="69"/>
      <c r="N82" s="40" t="s">
        <v>1049</v>
      </c>
      <c r="O82"/>
      <c r="P82"/>
    </row>
    <row r="83" spans="1:16">
      <c r="A83" s="26" t="s">
        <v>48</v>
      </c>
      <c r="B83" s="520"/>
      <c r="C83" s="40" t="s">
        <v>1051</v>
      </c>
      <c r="D83" s="68"/>
      <c r="E83" s="1546"/>
      <c r="F83" s="1546"/>
      <c r="G83" s="1546"/>
      <c r="H83" s="1547"/>
      <c r="I83" s="1547"/>
      <c r="J83" s="66"/>
      <c r="K83" s="65"/>
      <c r="L83" s="65"/>
      <c r="M83" s="69"/>
      <c r="N83" s="40" t="s">
        <v>1049</v>
      </c>
      <c r="O83"/>
      <c r="P83"/>
    </row>
    <row r="84" spans="1:16">
      <c r="A84" s="26" t="s">
        <v>637</v>
      </c>
      <c r="B84" s="27"/>
      <c r="C84" s="40" t="s">
        <v>1048</v>
      </c>
      <c r="D84" s="24"/>
      <c r="E84" s="1546"/>
      <c r="F84" s="1546"/>
      <c r="G84" s="1546"/>
      <c r="H84" s="1547"/>
      <c r="I84" s="1547"/>
      <c r="J84" s="66"/>
      <c r="K84" s="65"/>
      <c r="L84" s="65"/>
      <c r="M84" s="24"/>
      <c r="N84" s="40" t="s">
        <v>1049</v>
      </c>
      <c r="O84"/>
      <c r="P84"/>
    </row>
    <row r="85" spans="1:16">
      <c r="A85" s="26" t="s">
        <v>1052</v>
      </c>
      <c r="B85" s="521"/>
      <c r="C85" s="40" t="s">
        <v>1051</v>
      </c>
      <c r="D85" s="24"/>
      <c r="E85" s="1546"/>
      <c r="F85" s="1546"/>
      <c r="G85" s="1546"/>
      <c r="H85" s="1547"/>
      <c r="I85" s="1547"/>
      <c r="J85" s="65"/>
      <c r="K85" s="65"/>
      <c r="L85" s="65"/>
      <c r="M85" s="24"/>
      <c r="N85" s="40" t="s">
        <v>1049</v>
      </c>
      <c r="O85"/>
    </row>
    <row r="86" spans="1:16">
      <c r="A86" s="26" t="s">
        <v>639</v>
      </c>
      <c r="B86" s="27"/>
      <c r="C86" s="40" t="s">
        <v>1053</v>
      </c>
      <c r="D86" s="24"/>
      <c r="E86" s="1546"/>
      <c r="F86" s="1546"/>
      <c r="G86" s="1546"/>
      <c r="H86" s="1547"/>
      <c r="I86" s="1547"/>
      <c r="J86" s="65"/>
      <c r="K86" s="65"/>
      <c r="L86" s="65"/>
      <c r="M86" s="24"/>
      <c r="N86" s="40" t="s">
        <v>1049</v>
      </c>
    </row>
    <row r="87" spans="1:16" ht="13.9">
      <c r="B87" s="50">
        <f>B5</f>
        <v>2024</v>
      </c>
      <c r="C87" s="50">
        <f t="shared" ref="C87:D87" si="42">C5</f>
        <v>2023</v>
      </c>
      <c r="D87" s="50">
        <f t="shared" si="42"/>
        <v>2022</v>
      </c>
      <c r="E87" s="41"/>
      <c r="G87" s="41"/>
      <c r="H87" s="41"/>
      <c r="I87" s="41"/>
      <c r="J87" s="41"/>
      <c r="K87" s="41"/>
      <c r="L87" s="41"/>
      <c r="M87" s="41"/>
      <c r="N87"/>
    </row>
    <row r="88" spans="1:16">
      <c r="A88" s="26" t="s">
        <v>640</v>
      </c>
      <c r="E88" s="40" t="s">
        <v>1053</v>
      </c>
      <c r="K88" s="22"/>
      <c r="L88" s="22"/>
      <c r="O88"/>
      <c r="P88"/>
    </row>
    <row r="89" spans="1:16" ht="13.9">
      <c r="A89" s="26" t="s">
        <v>70</v>
      </c>
      <c r="B89" s="64"/>
      <c r="C89" s="64"/>
      <c r="D89" s="64"/>
      <c r="E89" s="40" t="s">
        <v>1053</v>
      </c>
      <c r="K89" s="22"/>
      <c r="L89" s="22"/>
      <c r="O89" s="50"/>
    </row>
    <row r="90" spans="1:16" ht="13.9">
      <c r="M90"/>
      <c r="N90" s="101"/>
      <c r="O90" s="50"/>
    </row>
    <row r="91" spans="1:16">
      <c r="J91" s="24"/>
      <c r="L91"/>
      <c r="M91"/>
      <c r="N91"/>
    </row>
    <row r="92" spans="1:16">
      <c r="J92" s="24"/>
      <c r="L92"/>
      <c r="M92"/>
      <c r="N92"/>
    </row>
    <row r="93" spans="1:16">
      <c r="J93" s="24"/>
      <c r="L93"/>
      <c r="M93"/>
      <c r="N93"/>
    </row>
    <row r="94" spans="1:16">
      <c r="J94" s="24"/>
      <c r="L94"/>
      <c r="M94"/>
      <c r="N94"/>
    </row>
    <row r="95" spans="1:16">
      <c r="J95" s="24"/>
      <c r="L95"/>
      <c r="M95"/>
      <c r="N95"/>
    </row>
    <row r="96" spans="1:16">
      <c r="J96" s="24"/>
      <c r="L96"/>
      <c r="M96"/>
      <c r="N96"/>
      <c r="O96"/>
    </row>
    <row r="97" spans="1:14">
      <c r="J97" s="24"/>
      <c r="L97"/>
      <c r="M97"/>
      <c r="N97"/>
    </row>
    <row r="98" spans="1:14">
      <c r="G98"/>
      <c r="M98"/>
      <c r="N98"/>
    </row>
    <row r="99" spans="1:14">
      <c r="A99"/>
      <c r="B99"/>
      <c r="C99"/>
      <c r="D99"/>
      <c r="E99"/>
      <c r="F99"/>
      <c r="G99"/>
    </row>
    <row r="100" spans="1:14">
      <c r="A100"/>
      <c r="B100"/>
      <c r="C100"/>
      <c r="D100"/>
      <c r="E100"/>
      <c r="F100"/>
      <c r="G100"/>
    </row>
  </sheetData>
  <mergeCells count="19">
    <mergeCell ref="G2:J2"/>
    <mergeCell ref="D4:M4"/>
    <mergeCell ref="R5:S5"/>
    <mergeCell ref="H79:I79"/>
    <mergeCell ref="E79:G7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s>
  <pageMargins left="0.75" right="0.75" top="1" bottom="1" header="0" footer="0"/>
  <pageSetup orientation="portrait" horizontalDpi="4294967292"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6328125" defaultRowHeight="12.75"/>
  <cols>
    <col min="1" max="9" width="0" hidden="1" customWidth="1"/>
    <col min="11" max="11" width="21.86328125" bestFit="1" customWidth="1"/>
  </cols>
  <sheetData>
    <row r="2" spans="2:27" ht="13.15">
      <c r="E2" s="10" t="s">
        <v>1054</v>
      </c>
      <c r="F2" s="10" t="s">
        <v>1055</v>
      </c>
      <c r="H2" s="10" t="s">
        <v>199</v>
      </c>
      <c r="K2" s="1550" t="s">
        <v>1054</v>
      </c>
      <c r="L2" s="1552" t="s">
        <v>1056</v>
      </c>
      <c r="M2" s="1553"/>
      <c r="N2" s="1553"/>
      <c r="O2" s="1553"/>
      <c r="P2" s="1554"/>
      <c r="Q2" s="1553" t="s">
        <v>541</v>
      </c>
      <c r="R2" s="1553"/>
      <c r="S2" s="1553"/>
      <c r="T2" s="1553"/>
      <c r="U2" s="1553"/>
      <c r="V2" s="1553"/>
      <c r="W2" s="1553"/>
      <c r="X2" s="1553"/>
      <c r="Y2" s="1553"/>
      <c r="Z2" s="1553"/>
      <c r="AA2" s="1554"/>
    </row>
    <row r="3" spans="2:27" ht="13.15">
      <c r="E3" t="s">
        <v>1057</v>
      </c>
      <c r="F3" t="s">
        <v>1058</v>
      </c>
      <c r="H3" s="10" t="s">
        <v>200</v>
      </c>
      <c r="K3" s="1551"/>
      <c r="L3" s="72" t="s">
        <v>1059</v>
      </c>
      <c r="M3" s="89" t="s">
        <v>1060</v>
      </c>
      <c r="N3" s="89" t="s">
        <v>1061</v>
      </c>
      <c r="O3" s="89" t="s">
        <v>1062</v>
      </c>
      <c r="P3" s="90" t="s">
        <v>1063</v>
      </c>
      <c r="Q3" s="89" t="s">
        <v>1064</v>
      </c>
      <c r="R3" s="89" t="s">
        <v>1065</v>
      </c>
      <c r="S3" s="89" t="s">
        <v>548</v>
      </c>
      <c r="T3" s="89" t="s">
        <v>1066</v>
      </c>
      <c r="U3" s="89" t="s">
        <v>1067</v>
      </c>
      <c r="V3" s="89" t="s">
        <v>1068</v>
      </c>
      <c r="W3" s="89" t="s">
        <v>1069</v>
      </c>
      <c r="X3" s="89" t="s">
        <v>1070</v>
      </c>
      <c r="Y3" s="89" t="s">
        <v>1071</v>
      </c>
      <c r="Z3" s="89" t="s">
        <v>1072</v>
      </c>
      <c r="AA3" s="90" t="s">
        <v>574</v>
      </c>
    </row>
    <row r="4" spans="2:27" ht="13.15">
      <c r="B4" s="73"/>
      <c r="E4" t="s">
        <v>1057</v>
      </c>
      <c r="F4" t="s">
        <v>1073</v>
      </c>
      <c r="H4" s="10" t="s">
        <v>590</v>
      </c>
      <c r="K4" s="91" t="s">
        <v>1057</v>
      </c>
      <c r="L4" s="92" t="s">
        <v>199</v>
      </c>
      <c r="M4" t="s">
        <v>199</v>
      </c>
      <c r="N4" t="s">
        <v>200</v>
      </c>
      <c r="O4" t="s">
        <v>199</v>
      </c>
      <c r="P4" s="93" t="s">
        <v>199</v>
      </c>
      <c r="Q4" t="s">
        <v>200</v>
      </c>
      <c r="R4" t="s">
        <v>200</v>
      </c>
      <c r="S4" t="s">
        <v>199</v>
      </c>
      <c r="T4" t="s">
        <v>199</v>
      </c>
      <c r="U4" t="s">
        <v>590</v>
      </c>
      <c r="V4" t="s">
        <v>199</v>
      </c>
      <c r="W4" t="s">
        <v>199</v>
      </c>
      <c r="X4" t="s">
        <v>199</v>
      </c>
      <c r="Y4" t="s">
        <v>199</v>
      </c>
      <c r="Z4" t="s">
        <v>199</v>
      </c>
      <c r="AA4" s="93" t="s">
        <v>200</v>
      </c>
    </row>
    <row r="5" spans="2:27" ht="13.9">
      <c r="B5" s="85" t="s">
        <v>527</v>
      </c>
      <c r="E5" t="s">
        <v>1057</v>
      </c>
      <c r="F5" t="s">
        <v>1074</v>
      </c>
      <c r="H5" s="10" t="s">
        <v>1075</v>
      </c>
      <c r="K5" s="91" t="s">
        <v>1076</v>
      </c>
      <c r="L5" s="92" t="s">
        <v>199</v>
      </c>
      <c r="M5" t="s">
        <v>199</v>
      </c>
      <c r="N5" t="s">
        <v>200</v>
      </c>
      <c r="O5" t="s">
        <v>200</v>
      </c>
      <c r="P5" s="93" t="s">
        <v>199</v>
      </c>
      <c r="Q5" t="s">
        <v>200</v>
      </c>
      <c r="R5" t="s">
        <v>200</v>
      </c>
      <c r="S5" t="s">
        <v>199</v>
      </c>
      <c r="T5" t="s">
        <v>199</v>
      </c>
      <c r="U5" t="s">
        <v>200</v>
      </c>
      <c r="V5" t="s">
        <v>200</v>
      </c>
      <c r="W5" t="s">
        <v>200</v>
      </c>
      <c r="X5" t="s">
        <v>590</v>
      </c>
      <c r="Y5" t="s">
        <v>199</v>
      </c>
      <c r="Z5" t="s">
        <v>590</v>
      </c>
      <c r="AA5" s="93" t="s">
        <v>199</v>
      </c>
    </row>
    <row r="6" spans="2:27">
      <c r="B6" s="87" t="s">
        <v>1077</v>
      </c>
      <c r="E6" t="s">
        <v>1057</v>
      </c>
      <c r="F6" t="s">
        <v>1078</v>
      </c>
      <c r="K6" s="91" t="s">
        <v>1079</v>
      </c>
      <c r="L6" s="92" t="s">
        <v>590</v>
      </c>
      <c r="M6" t="s">
        <v>1075</v>
      </c>
      <c r="N6" t="s">
        <v>590</v>
      </c>
      <c r="O6" t="s">
        <v>590</v>
      </c>
      <c r="P6" s="93" t="s">
        <v>590</v>
      </c>
      <c r="Q6" t="s">
        <v>200</v>
      </c>
      <c r="R6" t="s">
        <v>590</v>
      </c>
      <c r="S6" t="s">
        <v>590</v>
      </c>
      <c r="T6" t="s">
        <v>199</v>
      </c>
      <c r="U6" t="s">
        <v>200</v>
      </c>
      <c r="V6" t="s">
        <v>200</v>
      </c>
      <c r="W6" t="s">
        <v>199</v>
      </c>
      <c r="X6" t="s">
        <v>590</v>
      </c>
      <c r="Y6" t="s">
        <v>199</v>
      </c>
      <c r="Z6" t="s">
        <v>1075</v>
      </c>
      <c r="AA6" s="93" t="s">
        <v>199</v>
      </c>
    </row>
    <row r="7" spans="2:27">
      <c r="B7" s="87" t="s">
        <v>1080</v>
      </c>
      <c r="E7" t="s">
        <v>1057</v>
      </c>
      <c r="F7" t="s">
        <v>1081</v>
      </c>
      <c r="K7" s="91" t="s">
        <v>1061</v>
      </c>
      <c r="L7" s="92" t="s">
        <v>1075</v>
      </c>
      <c r="M7" t="s">
        <v>1075</v>
      </c>
      <c r="N7" t="s">
        <v>200</v>
      </c>
      <c r="O7" t="s">
        <v>1075</v>
      </c>
      <c r="P7" s="93" t="s">
        <v>590</v>
      </c>
      <c r="Q7" t="s">
        <v>590</v>
      </c>
      <c r="R7" t="s">
        <v>200</v>
      </c>
      <c r="S7" t="s">
        <v>200</v>
      </c>
      <c r="T7" t="s">
        <v>200</v>
      </c>
      <c r="U7" t="s">
        <v>200</v>
      </c>
      <c r="V7" t="s">
        <v>590</v>
      </c>
      <c r="W7" t="s">
        <v>200</v>
      </c>
      <c r="X7" t="s">
        <v>200</v>
      </c>
      <c r="Y7" t="s">
        <v>590</v>
      </c>
      <c r="Z7" t="s">
        <v>590</v>
      </c>
      <c r="AA7" s="93" t="s">
        <v>199</v>
      </c>
    </row>
    <row r="8" spans="2:27">
      <c r="B8" s="87"/>
      <c r="K8" s="91" t="s">
        <v>1082</v>
      </c>
      <c r="L8" s="92" t="s">
        <v>199</v>
      </c>
      <c r="M8" t="s">
        <v>199</v>
      </c>
      <c r="N8" t="s">
        <v>199</v>
      </c>
      <c r="O8" t="s">
        <v>200</v>
      </c>
      <c r="P8" s="93" t="s">
        <v>200</v>
      </c>
      <c r="Q8" t="s">
        <v>199</v>
      </c>
      <c r="R8" t="s">
        <v>200</v>
      </c>
      <c r="S8" t="s">
        <v>200</v>
      </c>
      <c r="T8" t="s">
        <v>590</v>
      </c>
      <c r="U8" t="s">
        <v>200</v>
      </c>
      <c r="V8" t="s">
        <v>199</v>
      </c>
      <c r="W8" t="s">
        <v>199</v>
      </c>
      <c r="X8" t="s">
        <v>200</v>
      </c>
      <c r="Y8" t="s">
        <v>200</v>
      </c>
      <c r="Z8" t="s">
        <v>590</v>
      </c>
      <c r="AA8" s="93" t="s">
        <v>199</v>
      </c>
    </row>
    <row r="9" spans="2:27">
      <c r="B9" s="87" t="s">
        <v>534</v>
      </c>
      <c r="E9" t="s">
        <v>1057</v>
      </c>
      <c r="F9" t="s">
        <v>1083</v>
      </c>
      <c r="K9" s="91" t="s">
        <v>1084</v>
      </c>
      <c r="L9" s="92" t="s">
        <v>199</v>
      </c>
      <c r="M9" t="s">
        <v>199</v>
      </c>
      <c r="N9" t="s">
        <v>199</v>
      </c>
      <c r="O9" t="s">
        <v>199</v>
      </c>
      <c r="P9" s="93" t="s">
        <v>199</v>
      </c>
      <c r="Q9" t="s">
        <v>199</v>
      </c>
      <c r="R9" t="s">
        <v>199</v>
      </c>
      <c r="S9" t="s">
        <v>200</v>
      </c>
      <c r="T9" t="s">
        <v>590</v>
      </c>
      <c r="U9" t="s">
        <v>200</v>
      </c>
      <c r="V9" t="s">
        <v>199</v>
      </c>
      <c r="W9" t="s">
        <v>199</v>
      </c>
      <c r="X9" t="s">
        <v>199</v>
      </c>
      <c r="Y9" t="s">
        <v>199</v>
      </c>
      <c r="Z9" t="s">
        <v>200</v>
      </c>
      <c r="AA9" s="93" t="s">
        <v>199</v>
      </c>
    </row>
    <row r="10" spans="2:27">
      <c r="B10" s="87"/>
      <c r="K10" s="91" t="s">
        <v>1085</v>
      </c>
      <c r="L10" s="92" t="s">
        <v>199</v>
      </c>
      <c r="M10" t="s">
        <v>200</v>
      </c>
      <c r="N10" t="s">
        <v>199</v>
      </c>
      <c r="O10" t="s">
        <v>200</v>
      </c>
      <c r="P10" s="93" t="s">
        <v>590</v>
      </c>
      <c r="Q10" t="s">
        <v>199</v>
      </c>
      <c r="R10" t="s">
        <v>199</v>
      </c>
      <c r="S10" t="s">
        <v>199</v>
      </c>
      <c r="T10" t="s">
        <v>199</v>
      </c>
      <c r="U10" t="s">
        <v>199</v>
      </c>
      <c r="V10" t="s">
        <v>199</v>
      </c>
      <c r="W10" t="s">
        <v>199</v>
      </c>
      <c r="X10" t="s">
        <v>199</v>
      </c>
      <c r="Y10" t="s">
        <v>200</v>
      </c>
      <c r="Z10" t="s">
        <v>199</v>
      </c>
      <c r="AA10" s="93" t="s">
        <v>199</v>
      </c>
    </row>
    <row r="11" spans="2:27">
      <c r="B11" s="87" t="s">
        <v>537</v>
      </c>
      <c r="E11" t="s">
        <v>1057</v>
      </c>
      <c r="F11" t="s">
        <v>1086</v>
      </c>
      <c r="K11" s="91" t="s">
        <v>1087</v>
      </c>
      <c r="L11" s="92" t="s">
        <v>199</v>
      </c>
      <c r="M11" t="s">
        <v>200</v>
      </c>
      <c r="N11" t="s">
        <v>199</v>
      </c>
      <c r="O11" t="s">
        <v>199</v>
      </c>
      <c r="P11" s="93" t="s">
        <v>199</v>
      </c>
      <c r="Q11" t="s">
        <v>199</v>
      </c>
      <c r="R11" t="s">
        <v>199</v>
      </c>
      <c r="S11" t="s">
        <v>200</v>
      </c>
      <c r="T11" t="s">
        <v>199</v>
      </c>
      <c r="U11" t="s">
        <v>590</v>
      </c>
      <c r="V11" t="s">
        <v>199</v>
      </c>
      <c r="W11" t="s">
        <v>199</v>
      </c>
      <c r="X11" t="s">
        <v>199</v>
      </c>
      <c r="Y11" t="s">
        <v>199</v>
      </c>
      <c r="Z11" t="s">
        <v>199</v>
      </c>
      <c r="AA11" s="93" t="s">
        <v>199</v>
      </c>
    </row>
    <row r="12" spans="2:27">
      <c r="B12" s="86" t="s">
        <v>1088</v>
      </c>
      <c r="E12" t="s">
        <v>1057</v>
      </c>
      <c r="F12" t="s">
        <v>1089</v>
      </c>
      <c r="K12" s="91" t="s">
        <v>1090</v>
      </c>
      <c r="L12" s="92" t="s">
        <v>1075</v>
      </c>
      <c r="M12" t="s">
        <v>1075</v>
      </c>
      <c r="N12" t="s">
        <v>1075</v>
      </c>
      <c r="O12" t="s">
        <v>590</v>
      </c>
      <c r="P12" s="93" t="s">
        <v>590</v>
      </c>
      <c r="Q12" t="s">
        <v>199</v>
      </c>
      <c r="R12" t="s">
        <v>200</v>
      </c>
      <c r="S12" t="s">
        <v>590</v>
      </c>
      <c r="T12" t="s">
        <v>1075</v>
      </c>
      <c r="U12" t="s">
        <v>200</v>
      </c>
      <c r="V12" t="s">
        <v>1075</v>
      </c>
      <c r="W12" t="s">
        <v>200</v>
      </c>
      <c r="X12" t="s">
        <v>1075</v>
      </c>
      <c r="Y12" t="s">
        <v>1075</v>
      </c>
      <c r="Z12" t="s">
        <v>1075</v>
      </c>
      <c r="AA12" s="93" t="s">
        <v>590</v>
      </c>
    </row>
    <row r="13" spans="2:27" ht="13.9">
      <c r="B13" s="85" t="s">
        <v>541</v>
      </c>
      <c r="E13" t="s">
        <v>1057</v>
      </c>
      <c r="F13" t="s">
        <v>1091</v>
      </c>
      <c r="K13" s="91" t="s">
        <v>513</v>
      </c>
      <c r="L13" s="92" t="s">
        <v>200</v>
      </c>
      <c r="M13" t="s">
        <v>199</v>
      </c>
      <c r="N13" t="s">
        <v>590</v>
      </c>
      <c r="O13" t="s">
        <v>199</v>
      </c>
      <c r="P13" s="93" t="s">
        <v>199</v>
      </c>
      <c r="Q13" t="s">
        <v>199</v>
      </c>
      <c r="R13" t="s">
        <v>199</v>
      </c>
      <c r="S13" t="s">
        <v>199</v>
      </c>
      <c r="T13" t="s">
        <v>199</v>
      </c>
      <c r="U13" t="s">
        <v>590</v>
      </c>
      <c r="V13" t="s">
        <v>199</v>
      </c>
      <c r="W13" t="s">
        <v>199</v>
      </c>
      <c r="X13" t="s">
        <v>199</v>
      </c>
      <c r="Y13" t="s">
        <v>199</v>
      </c>
      <c r="Z13" t="s">
        <v>200</v>
      </c>
      <c r="AA13" s="93" t="s">
        <v>1075</v>
      </c>
    </row>
    <row r="14" spans="2:27">
      <c r="B14" s="77" t="s">
        <v>1092</v>
      </c>
      <c r="E14" t="s">
        <v>1057</v>
      </c>
      <c r="F14" t="s">
        <v>1093</v>
      </c>
      <c r="K14" s="91" t="s">
        <v>1094</v>
      </c>
      <c r="L14" s="92" t="s">
        <v>1075</v>
      </c>
      <c r="M14" t="s">
        <v>1075</v>
      </c>
      <c r="N14" t="s">
        <v>1075</v>
      </c>
      <c r="O14" t="s">
        <v>1075</v>
      </c>
      <c r="P14" s="93" t="s">
        <v>590</v>
      </c>
      <c r="Q14" t="s">
        <v>590</v>
      </c>
      <c r="R14" t="s">
        <v>590</v>
      </c>
      <c r="S14" t="s">
        <v>200</v>
      </c>
      <c r="T14" t="s">
        <v>590</v>
      </c>
      <c r="U14" t="s">
        <v>199</v>
      </c>
      <c r="V14" t="s">
        <v>1075</v>
      </c>
      <c r="W14" t="s">
        <v>200</v>
      </c>
      <c r="X14" t="s">
        <v>200</v>
      </c>
      <c r="Y14" t="s">
        <v>1075</v>
      </c>
      <c r="Z14" t="s">
        <v>590</v>
      </c>
      <c r="AA14" s="93" t="s">
        <v>200</v>
      </c>
    </row>
    <row r="15" spans="2:27">
      <c r="B15" s="77" t="s">
        <v>1095</v>
      </c>
      <c r="E15" t="s">
        <v>1076</v>
      </c>
      <c r="F15" t="s">
        <v>1096</v>
      </c>
      <c r="K15" s="91" t="s">
        <v>1097</v>
      </c>
      <c r="L15" s="92" t="s">
        <v>199</v>
      </c>
      <c r="M15" t="s">
        <v>199</v>
      </c>
      <c r="N15" t="s">
        <v>200</v>
      </c>
      <c r="O15" t="s">
        <v>199</v>
      </c>
      <c r="P15" s="93" t="s">
        <v>199</v>
      </c>
      <c r="Q15" t="s">
        <v>200</v>
      </c>
      <c r="R15" t="s">
        <v>199</v>
      </c>
      <c r="S15" t="s">
        <v>199</v>
      </c>
      <c r="T15" t="s">
        <v>199</v>
      </c>
      <c r="U15" t="s">
        <v>590</v>
      </c>
      <c r="V15" t="s">
        <v>199</v>
      </c>
      <c r="W15" t="s">
        <v>200</v>
      </c>
      <c r="X15" t="s">
        <v>199</v>
      </c>
      <c r="Y15" t="s">
        <v>200</v>
      </c>
      <c r="Z15" t="s">
        <v>199</v>
      </c>
      <c r="AA15" s="93" t="s">
        <v>199</v>
      </c>
    </row>
    <row r="16" spans="2:27">
      <c r="B16" s="80" t="s">
        <v>1098</v>
      </c>
      <c r="E16" t="s">
        <v>1076</v>
      </c>
      <c r="F16" t="s">
        <v>1099</v>
      </c>
      <c r="K16" s="94" t="s">
        <v>1100</v>
      </c>
      <c r="L16" s="95" t="s">
        <v>1075</v>
      </c>
      <c r="M16" s="96" t="s">
        <v>590</v>
      </c>
      <c r="N16" s="96" t="s">
        <v>590</v>
      </c>
      <c r="O16" s="96" t="s">
        <v>200</v>
      </c>
      <c r="P16" s="97" t="s">
        <v>590</v>
      </c>
      <c r="Q16" s="96" t="s">
        <v>199</v>
      </c>
      <c r="R16" s="96" t="s">
        <v>200</v>
      </c>
      <c r="S16" s="96" t="s">
        <v>200</v>
      </c>
      <c r="T16" s="96" t="s">
        <v>199</v>
      </c>
      <c r="U16" s="96" t="s">
        <v>200</v>
      </c>
      <c r="V16" s="96" t="s">
        <v>200</v>
      </c>
      <c r="W16" s="96" t="s">
        <v>200</v>
      </c>
      <c r="X16" s="96" t="s">
        <v>200</v>
      </c>
      <c r="Y16" s="96" t="s">
        <v>199</v>
      </c>
      <c r="Z16" s="96" t="s">
        <v>200</v>
      </c>
      <c r="AA16" s="97" t="s">
        <v>199</v>
      </c>
    </row>
    <row r="17" spans="2:22">
      <c r="B17" s="80" t="s">
        <v>1101</v>
      </c>
      <c r="E17" t="s">
        <v>1076</v>
      </c>
      <c r="F17" t="s">
        <v>1102</v>
      </c>
    </row>
    <row r="18" spans="2:22" hidden="1">
      <c r="B18" s="77" t="s">
        <v>1103</v>
      </c>
      <c r="E18" t="s">
        <v>1076</v>
      </c>
      <c r="F18" t="s">
        <v>1104</v>
      </c>
    </row>
    <row r="19" spans="2:22" ht="13.15" hidden="1">
      <c r="B19" s="77" t="s">
        <v>1105</v>
      </c>
      <c r="E19" t="s">
        <v>1076</v>
      </c>
      <c r="F19" t="s">
        <v>1106</v>
      </c>
      <c r="L19" s="98" t="s">
        <v>1057</v>
      </c>
      <c r="M19" s="99" t="s">
        <v>1076</v>
      </c>
      <c r="N19" s="99" t="s">
        <v>1079</v>
      </c>
      <c r="O19" s="99" t="s">
        <v>1061</v>
      </c>
      <c r="P19" s="99" t="s">
        <v>1084</v>
      </c>
      <c r="Q19" s="99" t="s">
        <v>1087</v>
      </c>
      <c r="R19" s="99" t="s">
        <v>1090</v>
      </c>
      <c r="S19" s="99" t="s">
        <v>513</v>
      </c>
      <c r="T19" s="99" t="s">
        <v>1094</v>
      </c>
      <c r="U19" s="99" t="s">
        <v>1097</v>
      </c>
      <c r="V19" s="100" t="s">
        <v>1100</v>
      </c>
    </row>
    <row r="20" spans="2:22" hidden="1">
      <c r="B20" s="77" t="s">
        <v>558</v>
      </c>
      <c r="E20" t="s">
        <v>1076</v>
      </c>
      <c r="F20" t="s">
        <v>1107</v>
      </c>
      <c r="L20" s="92" t="s">
        <v>1058</v>
      </c>
      <c r="M20" t="s">
        <v>1096</v>
      </c>
      <c r="N20" t="s">
        <v>1108</v>
      </c>
      <c r="O20" t="s">
        <v>1109</v>
      </c>
      <c r="P20" t="s">
        <v>1110</v>
      </c>
      <c r="Q20" t="s">
        <v>1111</v>
      </c>
      <c r="R20" t="s">
        <v>1112</v>
      </c>
      <c r="S20" t="s">
        <v>1113</v>
      </c>
      <c r="T20" t="s">
        <v>1114</v>
      </c>
      <c r="U20" t="s">
        <v>1115</v>
      </c>
      <c r="V20" s="93" t="s">
        <v>1116</v>
      </c>
    </row>
    <row r="21" spans="2:22" hidden="1">
      <c r="B21" s="77" t="s">
        <v>563</v>
      </c>
      <c r="E21" t="s">
        <v>1076</v>
      </c>
      <c r="F21" t="s">
        <v>1117</v>
      </c>
      <c r="L21" s="92" t="s">
        <v>1073</v>
      </c>
      <c r="M21" t="s">
        <v>1099</v>
      </c>
      <c r="N21" t="s">
        <v>1118</v>
      </c>
      <c r="O21" t="s">
        <v>1119</v>
      </c>
      <c r="P21" t="s">
        <v>1120</v>
      </c>
      <c r="Q21" t="s">
        <v>1121</v>
      </c>
      <c r="R21" t="s">
        <v>1122</v>
      </c>
      <c r="S21" t="s">
        <v>1123</v>
      </c>
      <c r="T21" t="s">
        <v>1124</v>
      </c>
      <c r="U21" t="s">
        <v>1125</v>
      </c>
      <c r="V21" s="93" t="s">
        <v>1126</v>
      </c>
    </row>
    <row r="22" spans="2:22" hidden="1">
      <c r="B22" s="77" t="s">
        <v>568</v>
      </c>
      <c r="E22" t="s">
        <v>1076</v>
      </c>
      <c r="F22" t="s">
        <v>1127</v>
      </c>
      <c r="L22" s="92" t="s">
        <v>1074</v>
      </c>
      <c r="M22" t="s">
        <v>1102</v>
      </c>
      <c r="N22" t="s">
        <v>1128</v>
      </c>
      <c r="O22" t="s">
        <v>1129</v>
      </c>
      <c r="P22" t="s">
        <v>1130</v>
      </c>
      <c r="Q22" t="s">
        <v>1131</v>
      </c>
      <c r="R22" t="s">
        <v>1132</v>
      </c>
      <c r="S22" t="s">
        <v>1133</v>
      </c>
      <c r="T22" t="s">
        <v>1134</v>
      </c>
      <c r="U22" t="s">
        <v>1135</v>
      </c>
      <c r="V22" s="93" t="s">
        <v>1136</v>
      </c>
    </row>
    <row r="23" spans="2:22" hidden="1">
      <c r="B23" s="77" t="s">
        <v>572</v>
      </c>
      <c r="E23" t="s">
        <v>1076</v>
      </c>
      <c r="F23" t="s">
        <v>1137</v>
      </c>
      <c r="L23" s="92" t="s">
        <v>1078</v>
      </c>
      <c r="M23" t="s">
        <v>1104</v>
      </c>
      <c r="N23" t="s">
        <v>1138</v>
      </c>
      <c r="O23" t="s">
        <v>1139</v>
      </c>
      <c r="P23" t="s">
        <v>1140</v>
      </c>
      <c r="Q23" t="s">
        <v>1141</v>
      </c>
      <c r="R23" t="s">
        <v>1142</v>
      </c>
      <c r="S23" t="s">
        <v>1143</v>
      </c>
      <c r="T23" t="s">
        <v>1144</v>
      </c>
      <c r="U23" t="s">
        <v>1145</v>
      </c>
      <c r="V23" s="93" t="s">
        <v>1146</v>
      </c>
    </row>
    <row r="24" spans="2:22" hidden="1">
      <c r="B24" s="79" t="s">
        <v>574</v>
      </c>
      <c r="E24" t="s">
        <v>1076</v>
      </c>
      <c r="F24" t="s">
        <v>1147</v>
      </c>
      <c r="L24" s="92" t="s">
        <v>1081</v>
      </c>
      <c r="M24" t="s">
        <v>1106</v>
      </c>
      <c r="N24" t="s">
        <v>1148</v>
      </c>
      <c r="O24" t="s">
        <v>1149</v>
      </c>
      <c r="P24" t="s">
        <v>1150</v>
      </c>
      <c r="Q24" t="s">
        <v>1151</v>
      </c>
      <c r="R24" t="s">
        <v>1152</v>
      </c>
      <c r="S24" t="s">
        <v>1153</v>
      </c>
      <c r="T24" t="s">
        <v>1154</v>
      </c>
      <c r="U24" t="s">
        <v>1155</v>
      </c>
      <c r="V24" s="93" t="s">
        <v>1156</v>
      </c>
    </row>
    <row r="25" spans="2:22" hidden="1">
      <c r="E25" t="s">
        <v>1076</v>
      </c>
      <c r="F25" t="s">
        <v>1157</v>
      </c>
      <c r="L25" s="92" t="s">
        <v>1083</v>
      </c>
      <c r="M25" t="s">
        <v>1107</v>
      </c>
      <c r="N25" t="s">
        <v>1158</v>
      </c>
      <c r="P25" t="s">
        <v>1159</v>
      </c>
      <c r="Q25" t="s">
        <v>1160</v>
      </c>
      <c r="R25" t="s">
        <v>1161</v>
      </c>
      <c r="S25" t="s">
        <v>1162</v>
      </c>
      <c r="T25" t="s">
        <v>1163</v>
      </c>
      <c r="U25" t="s">
        <v>1164</v>
      </c>
      <c r="V25" s="93"/>
    </row>
    <row r="26" spans="2:22" hidden="1">
      <c r="E26" t="s">
        <v>1076</v>
      </c>
      <c r="F26" t="s">
        <v>1165</v>
      </c>
      <c r="L26" s="92" t="s">
        <v>1086</v>
      </c>
      <c r="M26" t="s">
        <v>1117</v>
      </c>
      <c r="N26" t="s">
        <v>1166</v>
      </c>
      <c r="P26" t="s">
        <v>1167</v>
      </c>
      <c r="Q26" t="s">
        <v>1168</v>
      </c>
      <c r="R26" t="s">
        <v>1169</v>
      </c>
      <c r="S26" t="s">
        <v>1170</v>
      </c>
      <c r="T26" t="s">
        <v>1171</v>
      </c>
      <c r="U26" t="s">
        <v>1172</v>
      </c>
      <c r="V26" s="93"/>
    </row>
    <row r="27" spans="2:22" hidden="1">
      <c r="E27" t="s">
        <v>1076</v>
      </c>
      <c r="F27" t="s">
        <v>1173</v>
      </c>
      <c r="L27" s="92" t="s">
        <v>1089</v>
      </c>
      <c r="M27" t="s">
        <v>1127</v>
      </c>
      <c r="N27" t="s">
        <v>1174</v>
      </c>
      <c r="P27" t="s">
        <v>1175</v>
      </c>
      <c r="Q27" t="s">
        <v>1176</v>
      </c>
      <c r="R27" t="s">
        <v>1177</v>
      </c>
      <c r="S27" t="s">
        <v>1178</v>
      </c>
      <c r="T27" t="s">
        <v>1179</v>
      </c>
      <c r="U27" t="s">
        <v>1180</v>
      </c>
      <c r="V27" s="93"/>
    </row>
    <row r="28" spans="2:22" hidden="1">
      <c r="E28" t="s">
        <v>1076</v>
      </c>
      <c r="F28" t="s">
        <v>1181</v>
      </c>
      <c r="L28" s="92" t="s">
        <v>1091</v>
      </c>
      <c r="M28" t="s">
        <v>1137</v>
      </c>
      <c r="N28" t="s">
        <v>1182</v>
      </c>
      <c r="P28" t="s">
        <v>1183</v>
      </c>
      <c r="Q28" t="s">
        <v>1184</v>
      </c>
      <c r="R28" t="s">
        <v>1185</v>
      </c>
      <c r="S28" t="s">
        <v>1186</v>
      </c>
      <c r="T28" t="s">
        <v>1187</v>
      </c>
      <c r="V28" s="93"/>
    </row>
    <row r="29" spans="2:22" hidden="1">
      <c r="E29" t="s">
        <v>1076</v>
      </c>
      <c r="F29" t="s">
        <v>1188</v>
      </c>
      <c r="L29" s="95" t="s">
        <v>1093</v>
      </c>
      <c r="M29" s="96" t="s">
        <v>1147</v>
      </c>
      <c r="N29" s="96" t="s">
        <v>1189</v>
      </c>
      <c r="O29" s="96"/>
      <c r="P29" s="96" t="s">
        <v>1190</v>
      </c>
      <c r="Q29" s="96" t="s">
        <v>1191</v>
      </c>
      <c r="R29" s="96" t="s">
        <v>1192</v>
      </c>
      <c r="S29" s="96" t="s">
        <v>1193</v>
      </c>
      <c r="T29" s="96" t="s">
        <v>1194</v>
      </c>
      <c r="U29" s="96"/>
      <c r="V29" s="97"/>
    </row>
    <row r="30" spans="2:22" hidden="1">
      <c r="E30" t="s">
        <v>1076</v>
      </c>
      <c r="F30" t="s">
        <v>1195</v>
      </c>
      <c r="M30" t="s">
        <v>1157</v>
      </c>
      <c r="N30" t="s">
        <v>1196</v>
      </c>
      <c r="P30" t="s">
        <v>1197</v>
      </c>
      <c r="R30" t="s">
        <v>1198</v>
      </c>
      <c r="S30" t="s">
        <v>1199</v>
      </c>
      <c r="T30" t="s">
        <v>1200</v>
      </c>
    </row>
    <row r="31" spans="2:22" hidden="1">
      <c r="E31" t="s">
        <v>1076</v>
      </c>
      <c r="F31" t="s">
        <v>1201</v>
      </c>
      <c r="M31" t="s">
        <v>1165</v>
      </c>
      <c r="N31" t="s">
        <v>1202</v>
      </c>
      <c r="P31" t="s">
        <v>1203</v>
      </c>
      <c r="R31" t="s">
        <v>1204</v>
      </c>
      <c r="S31" t="s">
        <v>1205</v>
      </c>
    </row>
    <row r="32" spans="2:22" hidden="1">
      <c r="E32" t="s">
        <v>1076</v>
      </c>
      <c r="F32" t="s">
        <v>1206</v>
      </c>
      <c r="M32" t="s">
        <v>1173</v>
      </c>
      <c r="P32" t="s">
        <v>1207</v>
      </c>
      <c r="R32" t="s">
        <v>1208</v>
      </c>
      <c r="S32" t="s">
        <v>1209</v>
      </c>
    </row>
    <row r="33" spans="5:18" hidden="1">
      <c r="E33" t="s">
        <v>1076</v>
      </c>
      <c r="F33" t="s">
        <v>1210</v>
      </c>
      <c r="M33" t="s">
        <v>1181</v>
      </c>
      <c r="R33" t="s">
        <v>1211</v>
      </c>
    </row>
    <row r="34" spans="5:18" hidden="1">
      <c r="E34" t="s">
        <v>1076</v>
      </c>
      <c r="F34" t="s">
        <v>1212</v>
      </c>
      <c r="M34" t="s">
        <v>1188</v>
      </c>
      <c r="R34" t="s">
        <v>1213</v>
      </c>
    </row>
    <row r="35" spans="5:18" hidden="1">
      <c r="E35" t="s">
        <v>1079</v>
      </c>
      <c r="F35" t="s">
        <v>1108</v>
      </c>
      <c r="M35" t="s">
        <v>1195</v>
      </c>
      <c r="R35" t="s">
        <v>1214</v>
      </c>
    </row>
    <row r="36" spans="5:18" hidden="1">
      <c r="E36" t="s">
        <v>1079</v>
      </c>
      <c r="F36" t="s">
        <v>1118</v>
      </c>
      <c r="M36" t="s">
        <v>1201</v>
      </c>
      <c r="R36" t="s">
        <v>1215</v>
      </c>
    </row>
    <row r="37" spans="5:18" hidden="1">
      <c r="E37" t="s">
        <v>1079</v>
      </c>
      <c r="F37" t="s">
        <v>1128</v>
      </c>
      <c r="M37" t="s">
        <v>1206</v>
      </c>
    </row>
    <row r="38" spans="5:18" hidden="1">
      <c r="E38" t="s">
        <v>1079</v>
      </c>
      <c r="F38" t="s">
        <v>1138</v>
      </c>
      <c r="M38" t="s">
        <v>1210</v>
      </c>
    </row>
    <row r="39" spans="5:18" hidden="1">
      <c r="E39" t="s">
        <v>1079</v>
      </c>
      <c r="F39" t="s">
        <v>1148</v>
      </c>
      <c r="M39" t="s">
        <v>1212</v>
      </c>
    </row>
    <row r="40" spans="5:18" hidden="1">
      <c r="E40" t="s">
        <v>1079</v>
      </c>
      <c r="F40" t="s">
        <v>1158</v>
      </c>
    </row>
    <row r="41" spans="5:18" hidden="1">
      <c r="E41" t="s">
        <v>1079</v>
      </c>
      <c r="F41" t="s">
        <v>1166</v>
      </c>
    </row>
    <row r="42" spans="5:18">
      <c r="E42" t="s">
        <v>1079</v>
      </c>
      <c r="F42" t="s">
        <v>1174</v>
      </c>
    </row>
    <row r="43" spans="5:18">
      <c r="E43" t="s">
        <v>1079</v>
      </c>
      <c r="F43" t="s">
        <v>1182</v>
      </c>
    </row>
    <row r="44" spans="5:18">
      <c r="E44" t="s">
        <v>1079</v>
      </c>
      <c r="F44" t="s">
        <v>1189</v>
      </c>
    </row>
    <row r="45" spans="5:18">
      <c r="E45" t="s">
        <v>1079</v>
      </c>
      <c r="F45" t="s">
        <v>1196</v>
      </c>
    </row>
    <row r="46" spans="5:18">
      <c r="E46" t="s">
        <v>1079</v>
      </c>
      <c r="F46" t="s">
        <v>1202</v>
      </c>
    </row>
    <row r="47" spans="5:18">
      <c r="E47" t="s">
        <v>1061</v>
      </c>
      <c r="F47" t="s">
        <v>1109</v>
      </c>
    </row>
    <row r="48" spans="5:18">
      <c r="E48" t="s">
        <v>1061</v>
      </c>
      <c r="F48" t="s">
        <v>1119</v>
      </c>
    </row>
    <row r="49" spans="5:6">
      <c r="E49" t="s">
        <v>1061</v>
      </c>
      <c r="F49" t="s">
        <v>1129</v>
      </c>
    </row>
    <row r="50" spans="5:6">
      <c r="E50" t="s">
        <v>1061</v>
      </c>
      <c r="F50" t="s">
        <v>1139</v>
      </c>
    </row>
    <row r="51" spans="5:6">
      <c r="E51" t="s">
        <v>1061</v>
      </c>
      <c r="F51" t="s">
        <v>1149</v>
      </c>
    </row>
    <row r="52" spans="5:6">
      <c r="E52" t="s">
        <v>1084</v>
      </c>
      <c r="F52" t="s">
        <v>1110</v>
      </c>
    </row>
    <row r="53" spans="5:6">
      <c r="E53" t="s">
        <v>1084</v>
      </c>
      <c r="F53" t="s">
        <v>1120</v>
      </c>
    </row>
    <row r="54" spans="5:6">
      <c r="E54" t="s">
        <v>1084</v>
      </c>
      <c r="F54" t="s">
        <v>1130</v>
      </c>
    </row>
    <row r="55" spans="5:6">
      <c r="E55" t="s">
        <v>1084</v>
      </c>
      <c r="F55" t="s">
        <v>1140</v>
      </c>
    </row>
    <row r="56" spans="5:6">
      <c r="E56" t="s">
        <v>1084</v>
      </c>
      <c r="F56" t="s">
        <v>1150</v>
      </c>
    </row>
    <row r="57" spans="5:6">
      <c r="E57" t="s">
        <v>1084</v>
      </c>
      <c r="F57" t="s">
        <v>1159</v>
      </c>
    </row>
    <row r="58" spans="5:6">
      <c r="E58" t="s">
        <v>1084</v>
      </c>
      <c r="F58" t="s">
        <v>1167</v>
      </c>
    </row>
    <row r="59" spans="5:6">
      <c r="E59" t="s">
        <v>1084</v>
      </c>
      <c r="F59" t="s">
        <v>1175</v>
      </c>
    </row>
    <row r="60" spans="5:6">
      <c r="E60" t="s">
        <v>1084</v>
      </c>
      <c r="F60" t="s">
        <v>1183</v>
      </c>
    </row>
    <row r="61" spans="5:6">
      <c r="E61" t="s">
        <v>1084</v>
      </c>
      <c r="F61" t="s">
        <v>1190</v>
      </c>
    </row>
    <row r="62" spans="5:6">
      <c r="E62" t="s">
        <v>1084</v>
      </c>
      <c r="F62" t="s">
        <v>1197</v>
      </c>
    </row>
    <row r="63" spans="5:6">
      <c r="E63" t="s">
        <v>1084</v>
      </c>
      <c r="F63" t="s">
        <v>1203</v>
      </c>
    </row>
    <row r="64" spans="5:6">
      <c r="E64" t="s">
        <v>1084</v>
      </c>
      <c r="F64" t="s">
        <v>1207</v>
      </c>
    </row>
    <row r="65" spans="5:6">
      <c r="E65" t="s">
        <v>1087</v>
      </c>
      <c r="F65" t="s">
        <v>1111</v>
      </c>
    </row>
    <row r="66" spans="5:6">
      <c r="E66" t="s">
        <v>1087</v>
      </c>
      <c r="F66" t="s">
        <v>1121</v>
      </c>
    </row>
    <row r="67" spans="5:6">
      <c r="E67" t="s">
        <v>1087</v>
      </c>
      <c r="F67" t="s">
        <v>1131</v>
      </c>
    </row>
    <row r="68" spans="5:6">
      <c r="E68" t="s">
        <v>1087</v>
      </c>
      <c r="F68" t="s">
        <v>1141</v>
      </c>
    </row>
    <row r="69" spans="5:6">
      <c r="E69" t="s">
        <v>1087</v>
      </c>
      <c r="F69" t="s">
        <v>1151</v>
      </c>
    </row>
    <row r="70" spans="5:6">
      <c r="E70" t="s">
        <v>1087</v>
      </c>
      <c r="F70" t="s">
        <v>1160</v>
      </c>
    </row>
    <row r="71" spans="5:6">
      <c r="E71" t="s">
        <v>1087</v>
      </c>
      <c r="F71" t="s">
        <v>1168</v>
      </c>
    </row>
    <row r="72" spans="5:6">
      <c r="E72" t="s">
        <v>1087</v>
      </c>
      <c r="F72" t="s">
        <v>1176</v>
      </c>
    </row>
    <row r="73" spans="5:6">
      <c r="E73" t="s">
        <v>1087</v>
      </c>
      <c r="F73" t="s">
        <v>1184</v>
      </c>
    </row>
    <row r="74" spans="5:6">
      <c r="E74" t="s">
        <v>1087</v>
      </c>
      <c r="F74" t="s">
        <v>1191</v>
      </c>
    </row>
    <row r="75" spans="5:6">
      <c r="E75" t="s">
        <v>1090</v>
      </c>
      <c r="F75" t="s">
        <v>1112</v>
      </c>
    </row>
    <row r="76" spans="5:6">
      <c r="E76" t="s">
        <v>1090</v>
      </c>
      <c r="F76" t="s">
        <v>1122</v>
      </c>
    </row>
    <row r="77" spans="5:6">
      <c r="E77" t="s">
        <v>1090</v>
      </c>
      <c r="F77" t="s">
        <v>1132</v>
      </c>
    </row>
    <row r="78" spans="5:6">
      <c r="E78" t="s">
        <v>1090</v>
      </c>
      <c r="F78" t="s">
        <v>1142</v>
      </c>
    </row>
    <row r="79" spans="5:6">
      <c r="E79" t="s">
        <v>1090</v>
      </c>
      <c r="F79" t="s">
        <v>1152</v>
      </c>
    </row>
    <row r="80" spans="5:6">
      <c r="E80" t="s">
        <v>1090</v>
      </c>
      <c r="F80" t="s">
        <v>1161</v>
      </c>
    </row>
    <row r="81" spans="5:6">
      <c r="E81" t="s">
        <v>1090</v>
      </c>
      <c r="F81" t="s">
        <v>1169</v>
      </c>
    </row>
    <row r="82" spans="5:6">
      <c r="E82" t="s">
        <v>1090</v>
      </c>
      <c r="F82" t="s">
        <v>1177</v>
      </c>
    </row>
    <row r="83" spans="5:6">
      <c r="E83" t="s">
        <v>1090</v>
      </c>
      <c r="F83" t="s">
        <v>1185</v>
      </c>
    </row>
    <row r="84" spans="5:6">
      <c r="E84" t="s">
        <v>1090</v>
      </c>
      <c r="F84" t="s">
        <v>1192</v>
      </c>
    </row>
    <row r="85" spans="5:6">
      <c r="E85" t="s">
        <v>1090</v>
      </c>
      <c r="F85" t="s">
        <v>1198</v>
      </c>
    </row>
    <row r="86" spans="5:6">
      <c r="E86" t="s">
        <v>1090</v>
      </c>
      <c r="F86" t="s">
        <v>1204</v>
      </c>
    </row>
    <row r="87" spans="5:6">
      <c r="E87" t="s">
        <v>1090</v>
      </c>
      <c r="F87" t="s">
        <v>1208</v>
      </c>
    </row>
    <row r="88" spans="5:6">
      <c r="E88" t="s">
        <v>1090</v>
      </c>
      <c r="F88" t="s">
        <v>1211</v>
      </c>
    </row>
    <row r="89" spans="5:6">
      <c r="E89" t="s">
        <v>1090</v>
      </c>
      <c r="F89" t="s">
        <v>1213</v>
      </c>
    </row>
    <row r="90" spans="5:6">
      <c r="E90" t="s">
        <v>1090</v>
      </c>
      <c r="F90" t="s">
        <v>1214</v>
      </c>
    </row>
    <row r="91" spans="5:6">
      <c r="E91" t="s">
        <v>1090</v>
      </c>
      <c r="F91" t="s">
        <v>1215</v>
      </c>
    </row>
    <row r="92" spans="5:6">
      <c r="E92" t="s">
        <v>513</v>
      </c>
      <c r="F92" t="s">
        <v>1113</v>
      </c>
    </row>
    <row r="93" spans="5:6">
      <c r="E93" t="s">
        <v>513</v>
      </c>
      <c r="F93" t="s">
        <v>1123</v>
      </c>
    </row>
    <row r="94" spans="5:6">
      <c r="E94" t="s">
        <v>513</v>
      </c>
      <c r="F94" t="s">
        <v>1133</v>
      </c>
    </row>
    <row r="95" spans="5:6">
      <c r="E95" t="s">
        <v>513</v>
      </c>
      <c r="F95" t="s">
        <v>1143</v>
      </c>
    </row>
    <row r="96" spans="5:6">
      <c r="E96" t="s">
        <v>513</v>
      </c>
      <c r="F96" t="s">
        <v>1153</v>
      </c>
    </row>
    <row r="97" spans="5:6">
      <c r="E97" t="s">
        <v>513</v>
      </c>
      <c r="F97" t="s">
        <v>1162</v>
      </c>
    </row>
    <row r="98" spans="5:6">
      <c r="E98" t="s">
        <v>513</v>
      </c>
      <c r="F98" t="s">
        <v>1170</v>
      </c>
    </row>
    <row r="99" spans="5:6">
      <c r="E99" t="s">
        <v>513</v>
      </c>
      <c r="F99" t="s">
        <v>1178</v>
      </c>
    </row>
    <row r="100" spans="5:6">
      <c r="E100" t="s">
        <v>513</v>
      </c>
      <c r="F100" t="s">
        <v>1186</v>
      </c>
    </row>
    <row r="101" spans="5:6">
      <c r="E101" t="s">
        <v>513</v>
      </c>
      <c r="F101" t="s">
        <v>1193</v>
      </c>
    </row>
    <row r="102" spans="5:6">
      <c r="E102" t="s">
        <v>513</v>
      </c>
      <c r="F102" t="s">
        <v>1199</v>
      </c>
    </row>
    <row r="103" spans="5:6">
      <c r="E103" t="s">
        <v>513</v>
      </c>
      <c r="F103" t="s">
        <v>1205</v>
      </c>
    </row>
    <row r="104" spans="5:6">
      <c r="E104" t="s">
        <v>513</v>
      </c>
      <c r="F104" t="s">
        <v>1209</v>
      </c>
    </row>
    <row r="105" spans="5:6">
      <c r="E105" t="s">
        <v>1094</v>
      </c>
      <c r="F105" t="s">
        <v>1114</v>
      </c>
    </row>
    <row r="106" spans="5:6">
      <c r="E106" t="s">
        <v>1094</v>
      </c>
      <c r="F106" t="s">
        <v>1124</v>
      </c>
    </row>
    <row r="107" spans="5:6">
      <c r="E107" t="s">
        <v>1094</v>
      </c>
      <c r="F107" t="s">
        <v>1134</v>
      </c>
    </row>
    <row r="108" spans="5:6">
      <c r="E108" t="s">
        <v>1094</v>
      </c>
      <c r="F108" t="s">
        <v>1144</v>
      </c>
    </row>
    <row r="109" spans="5:6">
      <c r="E109" t="s">
        <v>1094</v>
      </c>
      <c r="F109" t="s">
        <v>1154</v>
      </c>
    </row>
    <row r="110" spans="5:6">
      <c r="E110" t="s">
        <v>1094</v>
      </c>
      <c r="F110" t="s">
        <v>1163</v>
      </c>
    </row>
    <row r="111" spans="5:6">
      <c r="E111" t="s">
        <v>1094</v>
      </c>
      <c r="F111" t="s">
        <v>1171</v>
      </c>
    </row>
    <row r="112" spans="5:6">
      <c r="E112" t="s">
        <v>1094</v>
      </c>
      <c r="F112" t="s">
        <v>1179</v>
      </c>
    </row>
    <row r="113" spans="5:6">
      <c r="E113" t="s">
        <v>1094</v>
      </c>
      <c r="F113" t="s">
        <v>1187</v>
      </c>
    </row>
    <row r="114" spans="5:6">
      <c r="E114" t="s">
        <v>1094</v>
      </c>
      <c r="F114" t="s">
        <v>1194</v>
      </c>
    </row>
    <row r="115" spans="5:6">
      <c r="E115" t="s">
        <v>1094</v>
      </c>
      <c r="F115" t="s">
        <v>1200</v>
      </c>
    </row>
    <row r="116" spans="5:6">
      <c r="E116" t="s">
        <v>1097</v>
      </c>
      <c r="F116" t="s">
        <v>1115</v>
      </c>
    </row>
    <row r="117" spans="5:6">
      <c r="E117" t="s">
        <v>1097</v>
      </c>
      <c r="F117" t="s">
        <v>1125</v>
      </c>
    </row>
    <row r="118" spans="5:6">
      <c r="E118" t="s">
        <v>1097</v>
      </c>
      <c r="F118" t="s">
        <v>1135</v>
      </c>
    </row>
    <row r="119" spans="5:6">
      <c r="E119" t="s">
        <v>1097</v>
      </c>
      <c r="F119" t="s">
        <v>1145</v>
      </c>
    </row>
    <row r="120" spans="5:6">
      <c r="E120" t="s">
        <v>1097</v>
      </c>
      <c r="F120" t="s">
        <v>1155</v>
      </c>
    </row>
    <row r="121" spans="5:6">
      <c r="E121" t="s">
        <v>1097</v>
      </c>
      <c r="F121" t="s">
        <v>1164</v>
      </c>
    </row>
    <row r="122" spans="5:6">
      <c r="E122" t="s">
        <v>1097</v>
      </c>
      <c r="F122" t="s">
        <v>1172</v>
      </c>
    </row>
    <row r="123" spans="5:6">
      <c r="E123" t="s">
        <v>1097</v>
      </c>
      <c r="F123" t="s">
        <v>1180</v>
      </c>
    </row>
    <row r="124" spans="5:6">
      <c r="E124" t="s">
        <v>1100</v>
      </c>
      <c r="F124" t="s">
        <v>1116</v>
      </c>
    </row>
    <row r="125" spans="5:6">
      <c r="E125" t="s">
        <v>1100</v>
      </c>
      <c r="F125" t="s">
        <v>1126</v>
      </c>
    </row>
    <row r="126" spans="5:6">
      <c r="E126" t="s">
        <v>1100</v>
      </c>
      <c r="F126" t="s">
        <v>1136</v>
      </c>
    </row>
    <row r="127" spans="5:6">
      <c r="E127" t="s">
        <v>1100</v>
      </c>
      <c r="F127" t="s">
        <v>1146</v>
      </c>
    </row>
    <row r="128" spans="5:6">
      <c r="E128" t="s">
        <v>1100</v>
      </c>
      <c r="F128" t="s">
        <v>1156</v>
      </c>
    </row>
  </sheetData>
  <mergeCells count="3">
    <mergeCell ref="K2:K3"/>
    <mergeCell ref="L2:P2"/>
    <mergeCell ref="Q2:AA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Props1.xml><?xml version="1.0" encoding="utf-8"?>
<ds:datastoreItem xmlns:ds="http://schemas.openxmlformats.org/officeDocument/2006/customXml" ds:itemID="{E4E33FEE-1117-4802-A5BB-FA073D1C6E04}">
  <ds:schemaRefs>
    <ds:schemaRef ds:uri="http://schemas.microsoft.com/sharepoint/v3/contenttype/forms"/>
  </ds:schemaRefs>
</ds:datastoreItem>
</file>

<file path=customXml/itemProps2.xml><?xml version="1.0" encoding="utf-8"?>
<ds:datastoreItem xmlns:ds="http://schemas.openxmlformats.org/officeDocument/2006/customXml" ds:itemID="{E6A82481-24E8-4DDD-B8F0-84112FA0B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81089C-6E2A-4FD7-A402-55E9C86C97B5}">
  <ds:schemaRefs>
    <ds:schemaRef ds:uri="http://schemas.microsoft.com/office/2006/metadata/properties"/>
    <ds:schemaRef ds:uri="http://schemas.microsoft.com/office/infopath/2007/PartnerControls"/>
    <ds:schemaRef ds:uri="http://purl.org/dc/elements/1.1/"/>
    <ds:schemaRef ds:uri="http://schemas.microsoft.com/office/2006/documentManagement/types"/>
    <ds:schemaRef ds:uri="http://schemas.openxmlformats.org/package/2006/metadata/core-properties"/>
    <ds:schemaRef ds:uri="http://www.w3.org/XML/1998/namespace"/>
    <ds:schemaRef ds:uri="http://purl.org/dc/dcmitype/"/>
    <ds:schemaRef ds:uri="6ba73c8a-1af7-4183-b158-1cd1291da2b6"/>
    <ds:schemaRef ds:uri="8c89d0e4-a8d9-42ba-a773-c59a56f7723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OP</vt:lpstr>
      <vt:lpstr>Segments</vt:lpstr>
      <vt:lpstr>Acuerdo</vt:lpstr>
      <vt:lpstr>Peers</vt:lpstr>
      <vt:lpstr>Folha1</vt:lpstr>
      <vt:lpstr>ESG</vt:lpstr>
      <vt:lpstr>Fin. Data</vt:lpstr>
      <vt:lpstr>Assumptions</vt:lpstr>
      <vt:lpstr>DCF (Capped cash to buybacks)</vt:lpstr>
      <vt:lpstr>DCF</vt:lpstr>
      <vt:lpstr>Inputs</vt:lpstr>
      <vt:lpstr>Sector Impact</vt:lpstr>
      <vt:lpstr>OP!Print_Area</vt:lpstr>
      <vt:lpstr>Sectors</vt:lpstr>
    </vt:vector>
  </TitlesOfParts>
  <Manager/>
  <Company>HIL CONSULTORES, S.C.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Rosario la Spina</cp:lastModifiedBy>
  <cp:revision/>
  <dcterms:created xsi:type="dcterms:W3CDTF">2000-04-19T14:51:26Z</dcterms:created>
  <dcterms:modified xsi:type="dcterms:W3CDTF">2025-04-27T23:24:23Z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